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mollysharone/Desktop/all/Jobs/UN/CTCN/AFCIA/Mozambique/SPIS Pangalata/Deliverables 4/Revised Output 4/"/>
    </mc:Choice>
  </mc:AlternateContent>
  <xr:revisionPtr revIDLastSave="0" documentId="13_ncr:1_{9AFC1560-AF73-474F-AA11-8C5F5F576ACB}" xr6:coauthVersionLast="47" xr6:coauthVersionMax="47" xr10:uidLastSave="{00000000-0000-0000-0000-000000000000}"/>
  <bookViews>
    <workbookView xWindow="0" yWindow="500" windowWidth="28800" windowHeight="15620" activeTab="3" xr2:uid="{6DD4FB8E-381E-5D40-8EA6-15134EE4DB2C}"/>
  </bookViews>
  <sheets>
    <sheet name="Cover and Intro " sheetId="6" r:id="rId1"/>
    <sheet name="Detailed BOQ" sheetId="3" r:id="rId2"/>
    <sheet name="Financial Scenario" sheetId="5" r:id="rId3"/>
    <sheet name="Total Costs Summary " sheetId="7" r:id="rId4"/>
  </sheets>
  <externalReferences>
    <externalReference r:id="rId5"/>
    <externalReference r:id="rId6"/>
  </externalReferences>
  <definedNames>
    <definedName name="Appli" localSheetId="1">#REF!</definedName>
    <definedName name="Appli">#REF!</definedName>
    <definedName name="Carburant" localSheetId="1">#REF!</definedName>
    <definedName name="Carburant">#REF!</definedName>
    <definedName name="Carburant2">#REF!</definedName>
    <definedName name="Cd_E">[1]Tab_ges!$I$109:$I$117</definedName>
    <definedName name="Cd_pays">[1]Tab_ges!$C$5:$C$100</definedName>
    <definedName name="Cd_start">[1]Tab_ges!$D$4</definedName>
    <definedName name="Cd_start2">[1]Tab_ges!$I$4</definedName>
    <definedName name="Cd_start3">[1]Tab_ges!$J$108</definedName>
    <definedName name="Cd_ville">[1]Tab_ges!$H$5:$H$100</definedName>
    <definedName name="Culture">#REF!</definedName>
    <definedName name="Debit">#REF!</definedName>
    <definedName name="Niveau">#REF!</definedName>
    <definedName name="Pays">#REF!</definedName>
    <definedName name="Pompe">#REF!</definedName>
    <definedName name="Pression">#REF!</definedName>
    <definedName name="SurfaceA">#REF!</definedName>
    <definedName name="SurfaceM">#REF!</definedName>
    <definedName name="Typcapt">[2]Menu!$E$25</definedName>
    <definedName name="Vil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34" i="5" l="1"/>
  <c r="N34" i="5"/>
  <c r="M27" i="5"/>
  <c r="M23" i="5"/>
  <c r="M22" i="5"/>
  <c r="M21" i="5"/>
  <c r="M20" i="5"/>
  <c r="M19" i="5"/>
  <c r="M18" i="5"/>
  <c r="M17" i="5"/>
  <c r="M16" i="5"/>
  <c r="M13" i="5"/>
  <c r="L31" i="5"/>
  <c r="N31" i="5" s="1"/>
  <c r="L30" i="5"/>
  <c r="N27" i="5"/>
  <c r="N22" i="5"/>
  <c r="O22" i="5" s="1"/>
  <c r="N21" i="5"/>
  <c r="O21" i="5" s="1"/>
  <c r="N20" i="5"/>
  <c r="O20" i="5" s="1"/>
  <c r="N19" i="5"/>
  <c r="O19" i="5" s="1"/>
  <c r="N18" i="5"/>
  <c r="O18" i="5" s="1"/>
  <c r="N17" i="5"/>
  <c r="O17" i="5" s="1"/>
  <c r="N16" i="5"/>
  <c r="B13" i="7"/>
  <c r="B3" i="7"/>
  <c r="F34" i="3"/>
  <c r="G34" i="3" s="1"/>
  <c r="F35" i="3"/>
  <c r="G35" i="3" s="1"/>
  <c r="F36" i="3"/>
  <c r="G36" i="3" s="1"/>
  <c r="F37" i="3"/>
  <c r="G37" i="3" s="1"/>
  <c r="F33" i="3"/>
  <c r="G33" i="3" s="1"/>
  <c r="N30" i="5"/>
  <c r="N23" i="5"/>
  <c r="O23" i="5" s="1"/>
  <c r="N13" i="5"/>
  <c r="O13" i="5" s="1"/>
  <c r="N12" i="5"/>
  <c r="O12" i="5" s="1"/>
  <c r="N11" i="5"/>
  <c r="F38" i="3" l="1"/>
  <c r="F32" i="3"/>
  <c r="O31" i="5"/>
  <c r="N32" i="5"/>
  <c r="G32" i="3"/>
  <c r="G31" i="3" s="1"/>
  <c r="G38" i="3"/>
  <c r="N24" i="5"/>
  <c r="O30" i="5"/>
  <c r="O16" i="5"/>
  <c r="O24" i="5" s="1"/>
  <c r="O27" i="5"/>
  <c r="O11" i="5"/>
  <c r="O14" i="5" s="1"/>
  <c r="N14" i="5"/>
  <c r="E73" i="3"/>
  <c r="F73" i="3" s="1"/>
  <c r="D72" i="3"/>
  <c r="F72" i="3" s="1"/>
  <c r="D71" i="3"/>
  <c r="F71" i="3" s="1"/>
  <c r="F63" i="3"/>
  <c r="D69" i="3"/>
  <c r="F69" i="3" s="1"/>
  <c r="D68" i="3"/>
  <c r="F68" i="3" s="1"/>
  <c r="D67" i="3"/>
  <c r="F67" i="3" s="1"/>
  <c r="D66" i="3"/>
  <c r="F66" i="3" s="1"/>
  <c r="D65" i="3"/>
  <c r="F65" i="3" s="1"/>
  <c r="D64" i="3"/>
  <c r="F64" i="3" s="1"/>
  <c r="F61" i="3"/>
  <c r="G61" i="3" s="1"/>
  <c r="F19" i="3"/>
  <c r="F31" i="5"/>
  <c r="E30" i="5"/>
  <c r="F30" i="5" s="1"/>
  <c r="E27" i="5"/>
  <c r="E17" i="5"/>
  <c r="F17" i="5" s="1"/>
  <c r="E18" i="5"/>
  <c r="F18" i="5" s="1"/>
  <c r="E19" i="5"/>
  <c r="F19" i="5" s="1"/>
  <c r="E20" i="5"/>
  <c r="F20" i="5" s="1"/>
  <c r="E21" i="5"/>
  <c r="F21" i="5" s="1"/>
  <c r="E22" i="5"/>
  <c r="F22" i="5" s="1"/>
  <c r="E23" i="5"/>
  <c r="F23" i="5" s="1"/>
  <c r="E16" i="5"/>
  <c r="E12" i="5"/>
  <c r="E13" i="5"/>
  <c r="F13" i="5" s="1"/>
  <c r="E11" i="5"/>
  <c r="F11" i="5" s="1"/>
  <c r="F31" i="3" l="1"/>
  <c r="B6" i="7"/>
  <c r="O32" i="5"/>
  <c r="N25" i="5"/>
  <c r="O25" i="5"/>
  <c r="O28" i="5" s="1"/>
  <c r="F70" i="3"/>
  <c r="G70" i="3" s="1"/>
  <c r="F62" i="3"/>
  <c r="G62" i="3" s="1"/>
  <c r="F32" i="5"/>
  <c r="E14" i="5"/>
  <c r="E24" i="5"/>
  <c r="E32" i="5"/>
  <c r="F27" i="5"/>
  <c r="F12" i="5"/>
  <c r="F14" i="5" s="1"/>
  <c r="F16" i="5"/>
  <c r="F24" i="5" s="1"/>
  <c r="F51" i="3"/>
  <c r="F49" i="3"/>
  <c r="F48" i="3" s="1"/>
  <c r="F60" i="3"/>
  <c r="F59" i="3"/>
  <c r="F58" i="3"/>
  <c r="F57" i="3"/>
  <c r="F56" i="3"/>
  <c r="F55" i="3"/>
  <c r="G48" i="3" l="1"/>
  <c r="C3" i="7"/>
  <c r="C13" i="7" s="1"/>
  <c r="O33" i="5"/>
  <c r="N28" i="5"/>
  <c r="G51" i="3"/>
  <c r="F50" i="3"/>
  <c r="G49" i="3"/>
  <c r="F54" i="3"/>
  <c r="F25" i="5"/>
  <c r="E25" i="5"/>
  <c r="E28" i="5" s="1"/>
  <c r="E33" i="5" s="1"/>
  <c r="E34" i="5" s="1"/>
  <c r="E29" i="3"/>
  <c r="F29" i="3" s="1"/>
  <c r="F17" i="3"/>
  <c r="G17" i="3" s="1"/>
  <c r="F12" i="3"/>
  <c r="F13" i="3"/>
  <c r="F14" i="3"/>
  <c r="F15" i="3"/>
  <c r="F16" i="3"/>
  <c r="F11" i="3"/>
  <c r="F7" i="3"/>
  <c r="F5" i="3"/>
  <c r="F4" i="3" s="1"/>
  <c r="G4" i="3" s="1"/>
  <c r="D28" i="3"/>
  <c r="F28" i="3" s="1"/>
  <c r="D27" i="3"/>
  <c r="F27" i="3" s="1"/>
  <c r="D25" i="3"/>
  <c r="F25" i="3" s="1"/>
  <c r="D24" i="3"/>
  <c r="F24" i="3" s="1"/>
  <c r="D23" i="3"/>
  <c r="F23" i="3" s="1"/>
  <c r="D22" i="3"/>
  <c r="F22" i="3" s="1"/>
  <c r="D21" i="3"/>
  <c r="F21" i="3" s="1"/>
  <c r="D20" i="3"/>
  <c r="F20" i="3" s="1"/>
  <c r="G50" i="3" l="1"/>
  <c r="C4" i="7"/>
  <c r="N33" i="5"/>
  <c r="F28" i="5"/>
  <c r="F33" i="5" s="1"/>
  <c r="F34" i="5" s="1"/>
  <c r="G54" i="3"/>
  <c r="G74" i="3" s="1"/>
  <c r="F53" i="3"/>
  <c r="C5" i="7" s="1"/>
  <c r="C15" i="7" s="1"/>
  <c r="G7" i="3"/>
  <c r="F6" i="3"/>
  <c r="F74" i="3"/>
  <c r="F26" i="3"/>
  <c r="G26" i="3" s="1"/>
  <c r="G5" i="3"/>
  <c r="F18" i="3"/>
  <c r="G18" i="3" s="1"/>
  <c r="F10" i="3"/>
  <c r="C14" i="7" l="1"/>
  <c r="C17" i="7" s="1"/>
  <c r="C7" i="7"/>
  <c r="G6" i="3"/>
  <c r="B4" i="7"/>
  <c r="B14" i="7" s="1"/>
  <c r="G10" i="3"/>
  <c r="F9" i="3"/>
  <c r="F30" i="3"/>
  <c r="F39" i="3" s="1"/>
  <c r="G30" i="3"/>
  <c r="G39" i="3" s="1"/>
  <c r="G9" i="3" l="1"/>
  <c r="B5" i="7"/>
  <c r="B15" i="7" l="1"/>
  <c r="B17" i="7" s="1"/>
  <c r="B18" i="7" s="1"/>
  <c r="B7" i="7"/>
  <c r="B8" i="7" s="1"/>
</calcChain>
</file>

<file path=xl/sharedStrings.xml><?xml version="1.0" encoding="utf-8"?>
<sst xmlns="http://schemas.openxmlformats.org/spreadsheetml/2006/main" count="352" uniqueCount="173">
  <si>
    <t>Plot 1</t>
  </si>
  <si>
    <t>n°</t>
  </si>
  <si>
    <t>Specifications</t>
  </si>
  <si>
    <t>Unit</t>
  </si>
  <si>
    <t>Quantity</t>
  </si>
  <si>
    <t>Remarks</t>
  </si>
  <si>
    <t>Borehole</t>
  </si>
  <si>
    <t>1.1</t>
  </si>
  <si>
    <t>Borehole using rotary method, and supply and installation of 8 inch casing, including flow rate testing.</t>
  </si>
  <si>
    <t xml:space="preserve"> meter</t>
  </si>
  <si>
    <t>Minimum yield 22 m3/h, max dynamic level 25 m</t>
  </si>
  <si>
    <t>2.1</t>
  </si>
  <si>
    <t>Supply, and installation of a submersible pump 22 m3/h at 41 m (TDH), 6-inch diameter , including pipes and accessories.</t>
  </si>
  <si>
    <t>unit</t>
  </si>
  <si>
    <t>2.2</t>
  </si>
  <si>
    <t>Supply, and installation of a solar generator, including electrical accessories for regulation and protection, wiring, and panel support.</t>
  </si>
  <si>
    <t>kW</t>
  </si>
  <si>
    <t>Around 26 pannels (320 Wp 2m x 1m) = 52 m2 = 13m x 4m (2 lignes)</t>
  </si>
  <si>
    <t>Irrigation equipment</t>
  </si>
  <si>
    <t>3.1</t>
  </si>
  <si>
    <t>Supply, and installation of a header station: connection accessories, valves, 130-micron filtration, pressure gauge, water meter.</t>
  </si>
  <si>
    <t>fertilizer injector is excluded</t>
  </si>
  <si>
    <t>3.2</t>
  </si>
  <si>
    <t>Supply, and underground installation of main PVC pressure pipe with a diameter of 90 mm, including connection accessories</t>
  </si>
  <si>
    <t>m</t>
  </si>
  <si>
    <t>3.3</t>
  </si>
  <si>
    <t>Supply, and underground installation of manifold diameter 50 mm, including regulation unit and accessories</t>
  </si>
  <si>
    <t>3.4</t>
  </si>
  <si>
    <t>Supply and surface installation of integrated drip line diameter 16 mm, 1 L/h at 10 m, spacing 0.3 m, including connection accessories</t>
  </si>
  <si>
    <t>Plot 2</t>
  </si>
  <si>
    <t>Supply, and installation of a submersible pump 22 m3/h at 44 m (TDH), 6-inch diameter , including pipes and accessories.</t>
  </si>
  <si>
    <t>Around 28 pannels (320 Wp 2m x 1m) = 56 m2 = 14m x 4m (2 lignes)</t>
  </si>
  <si>
    <t xml:space="preserve">unit </t>
  </si>
  <si>
    <t>3.1.1</t>
  </si>
  <si>
    <t>3.1.2</t>
  </si>
  <si>
    <t>Tee 90mm</t>
  </si>
  <si>
    <t>3.1.3</t>
  </si>
  <si>
    <t>3.1.4</t>
  </si>
  <si>
    <t>Tee 50 mm</t>
  </si>
  <si>
    <t>Air valve 50 mm</t>
  </si>
  <si>
    <t>3.4.2</t>
  </si>
  <si>
    <t>Barb connectors 16 mm</t>
  </si>
  <si>
    <t>3.4.3</t>
  </si>
  <si>
    <t>Drip line 16 mm 1L/h at 10 m, spacing 0.3 m</t>
  </si>
  <si>
    <t>3.3.1</t>
  </si>
  <si>
    <t>3.3.2</t>
  </si>
  <si>
    <t>3.3.3</t>
  </si>
  <si>
    <t>3.3.4</t>
  </si>
  <si>
    <t>3.3.5</t>
  </si>
  <si>
    <t>3.3.6</t>
  </si>
  <si>
    <t xml:space="preserve">Bushing reduction 90 mm- 50mm to glue </t>
  </si>
  <si>
    <t xml:space="preserve">Elbow 90- 50 mm to glue </t>
  </si>
  <si>
    <t xml:space="preserve">Ball valve 50 mm to glue </t>
  </si>
  <si>
    <t>Control valve 75mm</t>
  </si>
  <si>
    <t xml:space="preserve">Pressure gauge 50mm including reduction </t>
  </si>
  <si>
    <t>3.4.1</t>
  </si>
  <si>
    <t>Start connectors 16 mm</t>
  </si>
  <si>
    <t xml:space="preserve">*Included with the pump installation </t>
  </si>
  <si>
    <t>TOTAL</t>
  </si>
  <si>
    <t>3.1.5</t>
  </si>
  <si>
    <t>3.1.6</t>
  </si>
  <si>
    <t>Crop</t>
  </si>
  <si>
    <t>Potato</t>
  </si>
  <si>
    <t>Area</t>
  </si>
  <si>
    <t>Period</t>
  </si>
  <si>
    <t>Number of members</t>
  </si>
  <si>
    <t>Unit cost</t>
  </si>
  <si>
    <t>Amount</t>
  </si>
  <si>
    <t>total MZN</t>
  </si>
  <si>
    <t xml:space="preserve">€ </t>
  </si>
  <si>
    <r>
      <t>(A)</t>
    </r>
    <r>
      <rPr>
        <b/>
        <sz val="7"/>
        <color rgb="FF000000"/>
        <rFont val="Times New Roman"/>
        <family val="1"/>
      </rPr>
      <t xml:space="preserve">   </t>
    </r>
    <r>
      <rPr>
        <b/>
        <sz val="11"/>
        <color rgb="FF000000"/>
        <rFont val="Calibri"/>
        <family val="2"/>
        <scheme val="minor"/>
      </rPr>
      <t>Irrigation cost</t>
    </r>
  </si>
  <si>
    <t>liter</t>
  </si>
  <si>
    <t>Lubricant</t>
  </si>
  <si>
    <t>Maintenance</t>
  </si>
  <si>
    <t xml:space="preserve">Year </t>
  </si>
  <si>
    <t>SUBTOTAL</t>
  </si>
  <si>
    <r>
      <t>(B)</t>
    </r>
    <r>
      <rPr>
        <b/>
        <sz val="7"/>
        <color rgb="FF000000"/>
        <rFont val="Times New Roman"/>
        <family val="1"/>
      </rPr>
      <t xml:space="preserve">   </t>
    </r>
    <r>
      <rPr>
        <b/>
        <sz val="11"/>
        <color rgb="FF000000"/>
        <rFont val="Calibri"/>
        <family val="2"/>
        <scheme val="minor"/>
      </rPr>
      <t>Production cost</t>
    </r>
  </si>
  <si>
    <t>Seed</t>
  </si>
  <si>
    <t>kg</t>
  </si>
  <si>
    <t>Transport seed + fertilizer</t>
  </si>
  <si>
    <t>lump sum</t>
  </si>
  <si>
    <t>Fertilizer</t>
  </si>
  <si>
    <t>50 kg</t>
  </si>
  <si>
    <t>Pesticides</t>
  </si>
  <si>
    <t>Labour seeding</t>
  </si>
  <si>
    <t>mday</t>
  </si>
  <si>
    <t>Labour harvest</t>
  </si>
  <si>
    <t>Transport to Maputo</t>
  </si>
  <si>
    <t>return</t>
  </si>
  <si>
    <t>Market fee</t>
  </si>
  <si>
    <t>sales</t>
  </si>
  <si>
    <t>(A+B) Total Production costs</t>
  </si>
  <si>
    <r>
      <t>(C)</t>
    </r>
    <r>
      <rPr>
        <b/>
        <sz val="7"/>
        <color rgb="FF000000"/>
        <rFont val="Times New Roman"/>
        <family val="1"/>
      </rPr>
      <t xml:space="preserve">   </t>
    </r>
    <r>
      <rPr>
        <b/>
        <sz val="11"/>
        <color rgb="FF000000"/>
        <rFont val="Calibri"/>
        <family val="2"/>
        <scheme val="minor"/>
      </rPr>
      <t>Income from sales</t>
    </r>
  </si>
  <si>
    <t>Revenue (50 MZN/kg)</t>
  </si>
  <si>
    <t>D=(C-(A+B)) Gross profit</t>
  </si>
  <si>
    <r>
      <t>(E)</t>
    </r>
    <r>
      <rPr>
        <b/>
        <sz val="7"/>
        <color rgb="FF000000"/>
        <rFont val="Times New Roman"/>
        <family val="1"/>
      </rPr>
      <t xml:space="preserve">   </t>
    </r>
    <r>
      <rPr>
        <b/>
        <sz val="11"/>
        <color rgb="FF000000"/>
        <rFont val="Calibri"/>
        <family val="2"/>
        <scheme val="minor"/>
      </rPr>
      <t>Depreciation</t>
    </r>
  </si>
  <si>
    <t>Depreciation pump</t>
  </si>
  <si>
    <t>5 year</t>
  </si>
  <si>
    <t>(D-E) Nett profit</t>
  </si>
  <si>
    <t xml:space="preserve">SUBTOTAL </t>
  </si>
  <si>
    <t>Type of pump</t>
  </si>
  <si>
    <t xml:space="preserve">Current Diesel Pump </t>
  </si>
  <si>
    <t>Pipe 50 mm</t>
  </si>
  <si>
    <t xml:space="preserve">Unitary Price (MZN) </t>
  </si>
  <si>
    <r>
      <t>Water meter 75</t>
    </r>
    <r>
      <rPr>
        <sz val="12"/>
        <rFont val="Calibri (Corps)"/>
      </rPr>
      <t xml:space="preserve"> mm</t>
    </r>
  </si>
  <si>
    <r>
      <t xml:space="preserve">Filter 130-micron </t>
    </r>
    <r>
      <rPr>
        <sz val="12"/>
        <rFont val="Calibri (Corps)"/>
      </rPr>
      <t xml:space="preserve">75 mm </t>
    </r>
  </si>
  <si>
    <r>
      <t xml:space="preserve">Clamp saddle or Tee </t>
    </r>
    <r>
      <rPr>
        <sz val="12"/>
        <rFont val="Calibri (Corps)"/>
      </rPr>
      <t>75mm</t>
    </r>
  </si>
  <si>
    <t xml:space="preserve">Total price (MZN) </t>
  </si>
  <si>
    <t xml:space="preserve">Total Price (USD) </t>
  </si>
  <si>
    <t xml:space="preserve">To the 03rd June 2024 </t>
  </si>
  <si>
    <t>Supply, and underground installation of manifold diameter 50 mm, including regulation unit (4 manifolds) and accessories</t>
  </si>
  <si>
    <t xml:space="preserve">Internet of Things (Sensors) </t>
  </si>
  <si>
    <t xml:space="preserve">Soil moisture sensor </t>
  </si>
  <si>
    <t xml:space="preserve">pH sensor </t>
  </si>
  <si>
    <t xml:space="preserve">Light sensor </t>
  </si>
  <si>
    <t xml:space="preserve">Weather station </t>
  </si>
  <si>
    <t xml:space="preserve">Hydraulic sensor </t>
  </si>
  <si>
    <t xml:space="preserve">TOTAL </t>
  </si>
  <si>
    <t xml:space="preserve">Sensors for the implementation of smart-irrigation systems in Mozambique </t>
  </si>
  <si>
    <t xml:space="preserve">1 USD= </t>
  </si>
  <si>
    <t>Commissioned by:</t>
  </si>
  <si>
    <t xml:space="preserve">UN Environment, CTCN, Adaptation Fund </t>
  </si>
  <si>
    <t xml:space="preserve">Project Title </t>
  </si>
  <si>
    <t xml:space="preserve">Proposed by </t>
  </si>
  <si>
    <t xml:space="preserve">Implemented by </t>
  </si>
  <si>
    <t xml:space="preserve">Country </t>
  </si>
  <si>
    <t xml:space="preserve">Mozambique </t>
  </si>
  <si>
    <t xml:space="preserve">Deliverable </t>
  </si>
  <si>
    <t>Solar based irrigation business mode ‘pay as you irrigate’ for women empowerment, water management and food security in Mozambique</t>
  </si>
  <si>
    <t>Universidade Pedagógica de Moçambique</t>
  </si>
  <si>
    <t>Practica &amp;HUB</t>
  </si>
  <si>
    <t xml:space="preserve">4.2 Cost estimation of the prioritized technologies </t>
  </si>
  <si>
    <t xml:space="preserve">Cost estimation of the prioritized technologies </t>
  </si>
  <si>
    <r>
      <rPr>
        <b/>
        <sz val="11"/>
        <color theme="1"/>
        <rFont val="Calibri"/>
        <family val="2"/>
        <scheme val="minor"/>
      </rPr>
      <t>Introduction:</t>
    </r>
    <r>
      <rPr>
        <sz val="12"/>
        <color theme="1"/>
        <rFont val="Calibri"/>
        <family val="2"/>
        <scheme val="minor"/>
      </rPr>
      <t xml:space="preserve"> This deliverable is part of the project Implementation of Solar based irrigation business mode ‘pay as you irrigate’ for women empowerment, water management and food security in Mozambique. Implemented by the consortium PRACTICA and HUB. The overall objective of the project is to  identify the best powered irrigation system (SPIS) for the Pangalata association in Moamba that could be deployed using groundwater. The system will be reinforced by the definition of a clear pay as you irrigate business model customized for the lowest-income farmers. 
This Excel provides an overview of the cost estimation of all components required to operate the solar powered irrigation system designed and approved for the Pangalata association.  </t>
    </r>
  </si>
  <si>
    <t>1 USD=</t>
  </si>
  <si>
    <t>USD part; https://commission.europa.eu/funding-tenders/procedures-guidelines-tenders/information-contractors-and-beneficiaries/exchange-rate-inforeuro_es</t>
  </si>
  <si>
    <t>(1 USD =63.51 MZN)</t>
  </si>
  <si>
    <t>5 ha</t>
  </si>
  <si>
    <t>2.5 ha</t>
  </si>
  <si>
    <t xml:space="preserve">Solar Pump </t>
  </si>
  <si>
    <t>Solar pumping equipment</t>
  </si>
  <si>
    <t>-</t>
  </si>
  <si>
    <t>4.1.1</t>
  </si>
  <si>
    <t>4.1.2</t>
  </si>
  <si>
    <t>4.1.3</t>
  </si>
  <si>
    <t>4.1.4</t>
  </si>
  <si>
    <t>4.1.5</t>
  </si>
  <si>
    <t>Borehole Drilling</t>
  </si>
  <si>
    <t xml:space="preserve">Irrigation Equipment </t>
  </si>
  <si>
    <t xml:space="preserve">Sensors (Internet of Things) </t>
  </si>
  <si>
    <t xml:space="preserve">Total (MZN) </t>
  </si>
  <si>
    <t xml:space="preserve">Solar Pumping Equipment </t>
  </si>
  <si>
    <t xml:space="preserve">Note: Price in Meticais, including components from the Internet of Things </t>
  </si>
  <si>
    <t xml:space="preserve">Summary Table prices in Meticais </t>
  </si>
  <si>
    <t xml:space="preserve">Component </t>
  </si>
  <si>
    <t xml:space="preserve">Note: Price in Meticais,excluding  components from the Internet of Things </t>
  </si>
  <si>
    <t xml:space="preserve">Solar based irrigation business model 'pay as you irrigate' for women empowerment, water management, and food security in Mozambique </t>
  </si>
  <si>
    <t>3.3.7</t>
  </si>
  <si>
    <t>Nett profit per ha</t>
  </si>
  <si>
    <t xml:space="preserve">Association Pangalata (Current Situation) </t>
  </si>
  <si>
    <t>5 years</t>
  </si>
  <si>
    <t>Depreciation irrigation system</t>
  </si>
  <si>
    <t xml:space="preserve">6 months (2 irrigated cycles) </t>
  </si>
  <si>
    <t xml:space="preserve">3 months (One irrigated cycle) </t>
  </si>
  <si>
    <t xml:space="preserve">Assumptions: As the petrol costs will be zero, the association will have 2 irrigated cycles. With the new system, they will be able to increase the irrigated area up to 5 ha. Excludes the borehole civil construction and IoT depreciation costs. </t>
  </si>
  <si>
    <t>underground with PE flat pipe</t>
  </si>
  <si>
    <t>underground  with PE flat pipe</t>
  </si>
  <si>
    <t xml:space="preserve">Netafim streamlineX </t>
  </si>
  <si>
    <t>Netafim streamlineX</t>
  </si>
  <si>
    <t xml:space="preserve">Lorentz PSk2-7 C-SJ30-6 (Includes pump+controller+electric wiring+pipes+pannels+supports &amp;structures) </t>
  </si>
  <si>
    <t>Association Pangalata (SPIS installation )</t>
  </si>
  <si>
    <t xml:space="preserve">Assumptions: The association only produces irrigated crops during one season, due to the high costs associated to the production: seeds, fertilizers, but also irrigation (mainly diesel). With the current pump they can only irrigate 2.5 ha. </t>
  </si>
  <si>
    <t>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</si>
</sst>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_ ;_ * \(#,##0.00\)_ ;_ * &quot;-&quot;??_)_ ;_ @_ "/>
    <numFmt numFmtId="165" formatCode="_ * #,##0_)_ ;_ * \(#,##0\)_ ;_ * &quot;-&quot;??_)_ ;_ @_ "/>
    <numFmt numFmtId="166" formatCode="_ * #,##0.0_)_ ;_ * \(#,##0.0\)_ ;_ * &quot;-&quot;??_)_ ;_ @_ "/>
    <numFmt numFmtId="167" formatCode="0.0"/>
    <numFmt numFmtId="168" formatCode="0.0%"/>
  </numFmts>
  <fonts count="16" x14ac:knownFonts="1">
    <font>
      <sz val="12"/>
      <color theme="1"/>
      <name val="Calibri"/>
      <family val="2"/>
      <scheme val="minor"/>
    </font>
    <font>
      <sz val="12"/>
      <color theme="1"/>
      <name val="Calibri"/>
      <family val="2"/>
      <scheme val="minor"/>
    </font>
    <font>
      <b/>
      <sz val="12"/>
      <color theme="1"/>
      <name val="Calibri"/>
      <family val="2"/>
      <scheme val="minor"/>
    </font>
    <font>
      <sz val="12"/>
      <color rgb="FF0D0D0D"/>
      <name val="Calibri"/>
      <family val="2"/>
      <scheme val="minor"/>
    </font>
    <font>
      <sz val="12"/>
      <color rgb="FF0D0D0D"/>
      <name val="Calibri"/>
      <family val="2"/>
    </font>
    <font>
      <sz val="11"/>
      <color theme="1"/>
      <name val="Calibri"/>
      <family val="2"/>
      <scheme val="minor"/>
    </font>
    <font>
      <b/>
      <sz val="11"/>
      <color rgb="FF000000"/>
      <name val="Calibri"/>
      <family val="2"/>
      <scheme val="minor"/>
    </font>
    <font>
      <sz val="11"/>
      <color rgb="FF000000"/>
      <name val="Calibri"/>
      <family val="2"/>
      <scheme val="minor"/>
    </font>
    <font>
      <sz val="10"/>
      <color theme="1"/>
      <name val="Times New Roman"/>
      <family val="1"/>
    </font>
    <font>
      <b/>
      <sz val="7"/>
      <color rgb="FF000000"/>
      <name val="Times New Roman"/>
      <family val="1"/>
    </font>
    <font>
      <sz val="12"/>
      <name val="Calibri"/>
      <family val="2"/>
      <scheme val="minor"/>
    </font>
    <font>
      <sz val="12"/>
      <name val="Calibri (Corps)"/>
    </font>
    <font>
      <sz val="8"/>
      <name val="Calibri"/>
      <family val="2"/>
      <scheme val="minor"/>
    </font>
    <font>
      <b/>
      <sz val="12"/>
      <color rgb="FF000000"/>
      <name val="Calibri"/>
      <family val="2"/>
      <scheme val="minor"/>
    </font>
    <font>
      <b/>
      <sz val="11"/>
      <color theme="1"/>
      <name val="Calibri"/>
      <family val="2"/>
      <scheme val="minor"/>
    </font>
    <font>
      <sz val="12"/>
      <color theme="1"/>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EEBF6"/>
        <bgColor indexed="64"/>
      </patternFill>
    </fill>
    <fill>
      <patternFill patternType="solid">
        <fgColor rgb="FFBFBFBF"/>
        <bgColor indexed="64"/>
      </patternFill>
    </fill>
    <fill>
      <patternFill patternType="solid">
        <fgColor rgb="FFA6A6A6"/>
        <bgColor indexed="64"/>
      </patternFill>
    </fill>
    <fill>
      <patternFill patternType="solid">
        <fgColor theme="8" tint="0.79998168889431442"/>
        <bgColor indexed="64"/>
      </patternFill>
    </fill>
    <fill>
      <patternFill patternType="solid">
        <fgColor rgb="FFD9D9D9"/>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thin">
        <color indexed="64"/>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s>
  <cellStyleXfs count="5">
    <xf numFmtId="0" fontId="0" fillId="0" borderId="0"/>
    <xf numFmtId="164" fontId="1" fillId="0" borderId="0" applyFont="0" applyFill="0" applyBorder="0" applyAlignment="0" applyProtection="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0" fillId="2" borderId="0" xfId="0" applyFill="1"/>
    <xf numFmtId="0" fontId="2" fillId="2" borderId="1" xfId="0" applyFont="1" applyFill="1" applyBorder="1"/>
    <xf numFmtId="0" fontId="2" fillId="2" borderId="1" xfId="0" applyFont="1" applyFill="1" applyBorder="1" applyAlignment="1">
      <alignment horizontal="center"/>
    </xf>
    <xf numFmtId="0" fontId="2" fillId="3" borderId="1" xfId="0" applyFont="1" applyFill="1" applyBorder="1" applyAlignment="1">
      <alignment horizontal="right" vertical="center"/>
    </xf>
    <xf numFmtId="0" fontId="2" fillId="3" borderId="1" xfId="0" applyFont="1" applyFill="1" applyBorder="1"/>
    <xf numFmtId="0" fontId="0" fillId="3" borderId="1" xfId="0" applyFill="1" applyBorder="1"/>
    <xf numFmtId="0" fontId="0" fillId="2" borderId="1" xfId="0" applyFill="1" applyBorder="1"/>
    <xf numFmtId="0" fontId="0" fillId="2" borderId="1" xfId="0" applyFill="1" applyBorder="1" applyAlignment="1">
      <alignment horizontal="right" vertical="center"/>
    </xf>
    <xf numFmtId="0" fontId="0" fillId="2" borderId="1" xfId="0" applyFill="1" applyBorder="1" applyAlignment="1">
      <alignment wrapText="1"/>
    </xf>
    <xf numFmtId="0" fontId="0" fillId="2" borderId="1" xfId="0" applyFill="1" applyBorder="1" applyAlignment="1">
      <alignment vertical="center"/>
    </xf>
    <xf numFmtId="0" fontId="2" fillId="3" borderId="1" xfId="0" applyFont="1" applyFill="1" applyBorder="1" applyAlignment="1">
      <alignment horizontal="left" wrapText="1"/>
    </xf>
    <xf numFmtId="0" fontId="0" fillId="3" borderId="1" xfId="0" applyFill="1" applyBorder="1" applyAlignment="1">
      <alignment horizontal="center" vertical="center"/>
    </xf>
    <xf numFmtId="166" fontId="0" fillId="3" borderId="1" xfId="1" applyNumberFormat="1" applyFon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xf>
    <xf numFmtId="165" fontId="0" fillId="3" borderId="1" xfId="1" applyNumberFormat="1" applyFont="1" applyFill="1" applyBorder="1" applyAlignment="1">
      <alignment vertical="center"/>
    </xf>
    <xf numFmtId="165" fontId="0" fillId="2" borderId="1" xfId="0" applyNumberFormat="1" applyFill="1" applyBorder="1"/>
    <xf numFmtId="165" fontId="0" fillId="2" borderId="0" xfId="0" applyNumberFormat="1" applyFill="1"/>
    <xf numFmtId="0" fontId="0" fillId="4" borderId="1" xfId="0" applyFill="1" applyBorder="1"/>
    <xf numFmtId="1" fontId="0" fillId="2" borderId="1" xfId="0" applyNumberFormat="1" applyFill="1" applyBorder="1"/>
    <xf numFmtId="1" fontId="0" fillId="2" borderId="0" xfId="0" applyNumberFormat="1" applyFill="1"/>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lignment horizontal="right" vertical="center" wrapText="1"/>
    </xf>
    <xf numFmtId="0" fontId="6" fillId="6" borderId="1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7" fillId="6" borderId="7" xfId="0" applyFont="1" applyFill="1" applyBorder="1" applyAlignment="1">
      <alignment horizontal="right" vertical="center" wrapText="1"/>
    </xf>
    <xf numFmtId="0" fontId="8" fillId="6" borderId="8" xfId="0" applyFont="1" applyFill="1" applyBorder="1" applyAlignment="1">
      <alignment horizontal="left" vertical="center" wrapText="1"/>
    </xf>
    <xf numFmtId="0" fontId="7" fillId="6" borderId="8" xfId="0" applyFont="1" applyFill="1" applyBorder="1" applyAlignment="1">
      <alignment horizontal="right" vertical="center" wrapText="1"/>
    </xf>
    <xf numFmtId="0" fontId="7" fillId="7" borderId="7" xfId="0" applyFont="1" applyFill="1" applyBorder="1" applyAlignment="1">
      <alignment horizontal="right" vertical="center" wrapText="1"/>
    </xf>
    <xf numFmtId="0" fontId="7" fillId="7" borderId="8" xfId="0" applyFont="1" applyFill="1" applyBorder="1" applyAlignment="1">
      <alignment horizontal="left" vertical="center" wrapText="1"/>
    </xf>
    <xf numFmtId="0" fontId="7" fillId="7" borderId="8" xfId="0" applyFont="1" applyFill="1" applyBorder="1" applyAlignment="1">
      <alignment horizontal="right" vertical="center" wrapText="1"/>
    </xf>
    <xf numFmtId="0" fontId="6" fillId="0" borderId="8" xfId="0" applyFont="1" applyBorder="1" applyAlignment="1">
      <alignment horizontal="right" vertical="center" wrapText="1"/>
    </xf>
    <xf numFmtId="0" fontId="6" fillId="7" borderId="7" xfId="0" applyFont="1" applyFill="1" applyBorder="1" applyAlignment="1">
      <alignment horizontal="left" vertical="center" wrapText="1"/>
    </xf>
    <xf numFmtId="167" fontId="7" fillId="0" borderId="8" xfId="0" applyNumberFormat="1" applyFont="1" applyBorder="1" applyAlignment="1">
      <alignment horizontal="right" vertical="center" wrapText="1"/>
    </xf>
    <xf numFmtId="167" fontId="7" fillId="6" borderId="8" xfId="0" applyNumberFormat="1" applyFont="1" applyFill="1" applyBorder="1" applyAlignment="1">
      <alignment horizontal="right" vertical="center" wrapText="1"/>
    </xf>
    <xf numFmtId="167" fontId="7" fillId="7" borderId="8" xfId="0" applyNumberFormat="1" applyFont="1" applyFill="1" applyBorder="1" applyAlignment="1">
      <alignment horizontal="right" vertical="center" wrapText="1"/>
    </xf>
    <xf numFmtId="167" fontId="6" fillId="7" borderId="8" xfId="0" applyNumberFormat="1" applyFont="1" applyFill="1" applyBorder="1" applyAlignment="1">
      <alignment horizontal="right" vertical="center" wrapText="1"/>
    </xf>
    <xf numFmtId="0" fontId="6" fillId="7" borderId="4" xfId="0" applyFont="1" applyFill="1" applyBorder="1" applyAlignment="1">
      <alignment vertical="center" wrapText="1"/>
    </xf>
    <xf numFmtId="167" fontId="6" fillId="7" borderId="5" xfId="0" applyNumberFormat="1" applyFont="1" applyFill="1" applyBorder="1" applyAlignment="1">
      <alignment vertical="center" wrapText="1"/>
    </xf>
    <xf numFmtId="0" fontId="7" fillId="0" borderId="9" xfId="0" applyFont="1" applyBorder="1" applyAlignment="1">
      <alignment horizontal="left" vertical="center" wrapText="1"/>
    </xf>
    <xf numFmtId="0" fontId="2" fillId="2" borderId="2" xfId="0" applyFont="1" applyFill="1" applyBorder="1"/>
    <xf numFmtId="0" fontId="2" fillId="3" borderId="2" xfId="0" applyFont="1" applyFill="1" applyBorder="1" applyAlignment="1">
      <alignment horizontal="right" vertical="center"/>
    </xf>
    <xf numFmtId="0" fontId="0" fillId="2" borderId="2" xfId="0" applyFill="1" applyBorder="1" applyAlignment="1">
      <alignment horizontal="right" vertical="center"/>
    </xf>
    <xf numFmtId="0" fontId="0" fillId="0" borderId="1" xfId="0" applyBorder="1"/>
    <xf numFmtId="165" fontId="2" fillId="2" borderId="1" xfId="0" applyNumberFormat="1" applyFont="1" applyFill="1" applyBorder="1"/>
    <xf numFmtId="0" fontId="0" fillId="8" borderId="1" xfId="0" applyFill="1" applyBorder="1" applyAlignment="1">
      <alignment wrapText="1"/>
    </xf>
    <xf numFmtId="0" fontId="0" fillId="8" borderId="1" xfId="0" applyFill="1" applyBorder="1" applyAlignment="1">
      <alignment horizontal="center" vertical="center"/>
    </xf>
    <xf numFmtId="165" fontId="0" fillId="8" borderId="1" xfId="1" applyNumberFormat="1" applyFont="1" applyFill="1" applyBorder="1" applyAlignment="1">
      <alignment vertical="center"/>
    </xf>
    <xf numFmtId="0" fontId="0" fillId="8" borderId="1" xfId="0" applyFill="1" applyBorder="1"/>
    <xf numFmtId="165" fontId="0" fillId="8" borderId="1" xfId="0" applyNumberFormat="1" applyFill="1" applyBorder="1"/>
    <xf numFmtId="0" fontId="3" fillId="8" borderId="1" xfId="0" applyFont="1" applyFill="1" applyBorder="1" applyAlignment="1">
      <alignment horizontal="left" wrapText="1"/>
    </xf>
    <xf numFmtId="0" fontId="4" fillId="8" borderId="1" xfId="0" applyFont="1" applyFill="1" applyBorder="1" applyAlignment="1">
      <alignment horizontal="left" wrapText="1"/>
    </xf>
    <xf numFmtId="166" fontId="0" fillId="8" borderId="1" xfId="1" applyNumberFormat="1" applyFont="1" applyFill="1" applyBorder="1" applyAlignment="1">
      <alignment vertical="center"/>
    </xf>
    <xf numFmtId="0" fontId="0" fillId="8" borderId="1" xfId="0" applyFill="1" applyBorder="1" applyAlignment="1">
      <alignment horizontal="left" wrapText="1"/>
    </xf>
    <xf numFmtId="165" fontId="10" fillId="8" borderId="1" xfId="1" applyNumberFormat="1" applyFont="1" applyFill="1" applyBorder="1" applyAlignment="1">
      <alignment vertical="center"/>
    </xf>
    <xf numFmtId="1" fontId="0" fillId="8" borderId="1" xfId="0" applyNumberFormat="1" applyFill="1" applyBorder="1"/>
    <xf numFmtId="0" fontId="10" fillId="0" borderId="1" xfId="0" applyFont="1" applyBorder="1" applyAlignment="1">
      <alignment horizontal="left" wrapText="1"/>
    </xf>
    <xf numFmtId="0" fontId="0" fillId="0" borderId="1" xfId="0" applyBorder="1" applyAlignment="1">
      <alignment horizontal="center" vertical="center"/>
    </xf>
    <xf numFmtId="165" fontId="10" fillId="0" borderId="1" xfId="1" applyNumberFormat="1" applyFont="1" applyFill="1" applyBorder="1" applyAlignment="1">
      <alignment vertical="center"/>
    </xf>
    <xf numFmtId="0" fontId="11" fillId="0" borderId="1" xfId="0" applyFont="1" applyBorder="1" applyAlignment="1">
      <alignment horizontal="left" wrapText="1"/>
    </xf>
    <xf numFmtId="0" fontId="0" fillId="0" borderId="1" xfId="0" applyBorder="1" applyAlignment="1">
      <alignment horizontal="left" wrapText="1"/>
    </xf>
    <xf numFmtId="165" fontId="0" fillId="0" borderId="1" xfId="1" applyNumberFormat="1" applyFont="1" applyFill="1" applyBorder="1" applyAlignment="1">
      <alignment vertical="center"/>
    </xf>
    <xf numFmtId="0" fontId="2" fillId="2" borderId="0" xfId="0" applyFont="1" applyFill="1"/>
    <xf numFmtId="165" fontId="2" fillId="2" borderId="0" xfId="0" applyNumberFormat="1" applyFont="1" applyFill="1"/>
    <xf numFmtId="167" fontId="0" fillId="0" borderId="0" xfId="0" applyNumberFormat="1"/>
    <xf numFmtId="165" fontId="2" fillId="3" borderId="1" xfId="0" applyNumberFormat="1" applyFont="1" applyFill="1" applyBorder="1"/>
    <xf numFmtId="43" fontId="2" fillId="3" borderId="1" xfId="0" applyNumberFormat="1" applyFont="1" applyFill="1" applyBorder="1"/>
    <xf numFmtId="165" fontId="13" fillId="9" borderId="1" xfId="0" applyNumberFormat="1" applyFont="1" applyFill="1" applyBorder="1"/>
    <xf numFmtId="43" fontId="13" fillId="9" borderId="3" xfId="0" applyNumberFormat="1" applyFont="1" applyFill="1" applyBorder="1"/>
    <xf numFmtId="1" fontId="2" fillId="3" borderId="1" xfId="0" applyNumberFormat="1" applyFont="1" applyFill="1" applyBorder="1"/>
    <xf numFmtId="0" fontId="0" fillId="0" borderId="1" xfId="0" applyBorder="1" applyAlignment="1">
      <alignment horizontal="right" vertical="center"/>
    </xf>
    <xf numFmtId="0" fontId="2" fillId="4" borderId="1" xfId="0" applyFont="1" applyFill="1" applyBorder="1"/>
    <xf numFmtId="165" fontId="2" fillId="4" borderId="1" xfId="0" applyNumberFormat="1" applyFont="1" applyFill="1" applyBorder="1"/>
    <xf numFmtId="0" fontId="0" fillId="0" borderId="2" xfId="0" applyBorder="1" applyAlignment="1">
      <alignment horizontal="right" vertical="center"/>
    </xf>
    <xf numFmtId="0" fontId="14" fillId="0" borderId="0" xfId="2" applyFont="1" applyAlignment="1">
      <alignment wrapText="1"/>
    </xf>
    <xf numFmtId="0" fontId="5" fillId="0" borderId="0" xfId="2"/>
    <xf numFmtId="0" fontId="14" fillId="0" borderId="0" xfId="2" applyFont="1"/>
    <xf numFmtId="0" fontId="15" fillId="0" borderId="0" xfId="2" applyFont="1" applyAlignment="1">
      <alignment vertical="center"/>
    </xf>
    <xf numFmtId="0" fontId="0" fillId="0" borderId="0" xfId="0" applyAlignment="1">
      <alignment horizontal="justify" vertical="center" wrapText="1"/>
    </xf>
    <xf numFmtId="43" fontId="0" fillId="2" borderId="0" xfId="0" applyNumberFormat="1" applyFill="1"/>
    <xf numFmtId="0" fontId="7" fillId="4" borderId="10" xfId="0" applyFont="1" applyFill="1" applyBorder="1" applyAlignment="1">
      <alignment horizontal="right" vertical="center" wrapText="1"/>
    </xf>
    <xf numFmtId="0" fontId="2" fillId="8" borderId="1" xfId="0" applyFont="1" applyFill="1" applyBorder="1"/>
    <xf numFmtId="1" fontId="2" fillId="8" borderId="1" xfId="0" applyNumberFormat="1" applyFont="1" applyFill="1" applyBorder="1"/>
    <xf numFmtId="165" fontId="2" fillId="8" borderId="1" xfId="0" applyNumberFormat="1" applyFont="1" applyFill="1" applyBorder="1"/>
    <xf numFmtId="165" fontId="0" fillId="0" borderId="1" xfId="0" applyNumberFormat="1" applyBorder="1"/>
    <xf numFmtId="165" fontId="13" fillId="0" borderId="1" xfId="0" applyNumberFormat="1" applyFont="1" applyBorder="1"/>
    <xf numFmtId="165" fontId="0" fillId="0" borderId="1" xfId="1" applyNumberFormat="1" applyFont="1" applyBorder="1"/>
    <xf numFmtId="0" fontId="7" fillId="0" borderId="0" xfId="0" applyFont="1" applyAlignment="1">
      <alignment horizontal="left" vertical="center" wrapText="1"/>
    </xf>
    <xf numFmtId="0" fontId="7" fillId="0" borderId="0" xfId="0" applyFont="1" applyAlignment="1">
      <alignment horizontal="right" vertical="center" wrapText="1"/>
    </xf>
    <xf numFmtId="167" fontId="7" fillId="0" borderId="0" xfId="0" applyNumberFormat="1" applyFont="1" applyAlignment="1">
      <alignment horizontal="right" vertical="center" wrapText="1"/>
    </xf>
    <xf numFmtId="0" fontId="6" fillId="0" borderId="0" xfId="0" applyFont="1" applyAlignment="1">
      <alignment vertical="center" wrapText="1"/>
    </xf>
    <xf numFmtId="167" fontId="6" fillId="0" borderId="0" xfId="0" applyNumberFormat="1" applyFont="1" applyAlignment="1">
      <alignment vertical="center" wrapText="1"/>
    </xf>
    <xf numFmtId="167" fontId="6" fillId="0" borderId="0" xfId="0" applyNumberFormat="1" applyFont="1" applyAlignment="1">
      <alignment horizontal="right" vertical="center" wrapText="1"/>
    </xf>
    <xf numFmtId="0" fontId="6"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167" fontId="6" fillId="7" borderId="1" xfId="0" applyNumberFormat="1" applyFont="1" applyFill="1" applyBorder="1" applyAlignment="1">
      <alignment horizontal="right" vertical="center" wrapText="1"/>
    </xf>
    <xf numFmtId="1" fontId="7" fillId="0" borderId="8" xfId="0" applyNumberFormat="1" applyFont="1" applyBorder="1" applyAlignment="1">
      <alignment horizontal="right" vertical="center" wrapText="1"/>
    </xf>
    <xf numFmtId="1" fontId="6" fillId="7" borderId="4" xfId="0" applyNumberFormat="1" applyFont="1" applyFill="1" applyBorder="1" applyAlignment="1">
      <alignment vertical="center" wrapText="1"/>
    </xf>
    <xf numFmtId="1" fontId="6" fillId="7" borderId="5" xfId="0" applyNumberFormat="1" applyFont="1" applyFill="1" applyBorder="1" applyAlignment="1">
      <alignment vertical="center" wrapText="1"/>
    </xf>
    <xf numFmtId="1" fontId="6" fillId="7" borderId="10" xfId="0" applyNumberFormat="1" applyFont="1" applyFill="1" applyBorder="1" applyAlignment="1">
      <alignment horizontal="right" vertical="center" wrapText="1"/>
    </xf>
    <xf numFmtId="1" fontId="7" fillId="7" borderId="8" xfId="0" applyNumberFormat="1" applyFont="1" applyFill="1" applyBorder="1" applyAlignment="1">
      <alignment horizontal="right" vertical="center" wrapText="1"/>
    </xf>
    <xf numFmtId="1" fontId="6" fillId="7" borderId="8" xfId="0" applyNumberFormat="1" applyFont="1" applyFill="1" applyBorder="1" applyAlignment="1">
      <alignment horizontal="right" vertical="center" wrapText="1"/>
    </xf>
    <xf numFmtId="1" fontId="7" fillId="6" borderId="8"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68" fontId="5" fillId="0" borderId="0" xfId="4" applyNumberFormat="1" applyFont="1" applyFill="1" applyBorder="1" applyAlignment="1">
      <alignment horizontal="center" vertical="center" wrapText="1"/>
    </xf>
    <xf numFmtId="0" fontId="5" fillId="0" borderId="0" xfId="2" applyAlignment="1">
      <alignment horizontal="center"/>
    </xf>
    <xf numFmtId="0" fontId="14" fillId="0" borderId="0" xfId="2" applyFont="1" applyAlignment="1">
      <alignment horizontal="center"/>
    </xf>
    <xf numFmtId="0" fontId="5" fillId="0" borderId="0" xfId="2" applyAlignment="1">
      <alignment horizontal="left" vertical="center" wrapText="1"/>
    </xf>
    <xf numFmtId="0" fontId="2" fillId="2" borderId="1" xfId="0" applyFont="1" applyFill="1" applyBorder="1" applyAlignment="1">
      <alignment horizontal="center"/>
    </xf>
    <xf numFmtId="0" fontId="0" fillId="8" borderId="1" xfId="0" applyFill="1" applyBorder="1" applyAlignment="1">
      <alignment horizontal="center" vertical="center"/>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8" fillId="6" borderId="11" xfId="0" applyFont="1" applyFill="1" applyBorder="1" applyAlignment="1">
      <alignment horizontal="left" vertical="center" wrapText="1"/>
    </xf>
    <xf numFmtId="0" fontId="8" fillId="6" borderId="7"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7" xfId="0" applyFont="1" applyFill="1" applyBorder="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7" borderId="4" xfId="0" applyFont="1" applyFill="1" applyBorder="1" applyAlignment="1">
      <alignment horizontal="right" vertical="center" wrapText="1"/>
    </xf>
    <xf numFmtId="0" fontId="6" fillId="7" borderId="5" xfId="0" applyFont="1" applyFill="1" applyBorder="1" applyAlignment="1">
      <alignment horizontal="right" vertical="center" wrapText="1"/>
    </xf>
    <xf numFmtId="0" fontId="6" fillId="7" borderId="6" xfId="0" applyFont="1" applyFill="1" applyBorder="1" applyAlignment="1">
      <alignment horizontal="right"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6" fillId="0" borderId="0" xfId="0" applyFont="1" applyAlignment="1">
      <alignment horizontal="right" vertical="center" wrapText="1"/>
    </xf>
    <xf numFmtId="0" fontId="7" fillId="0" borderId="0" xfId="0" applyFont="1" applyAlignment="1">
      <alignment horizontal="left"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7" borderId="14" xfId="0" applyFont="1" applyFill="1" applyBorder="1" applyAlignment="1">
      <alignment horizontal="right" vertical="center" wrapText="1"/>
    </xf>
    <xf numFmtId="0" fontId="6" fillId="7" borderId="13" xfId="0" applyFont="1" applyFill="1" applyBorder="1" applyAlignment="1">
      <alignment horizontal="right" vertical="center" wrapText="1"/>
    </xf>
    <xf numFmtId="0" fontId="6" fillId="7" borderId="15" xfId="0" applyFont="1" applyFill="1" applyBorder="1" applyAlignment="1">
      <alignment horizontal="right"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165" fontId="2" fillId="0" borderId="2" xfId="1" applyNumberFormat="1" applyFont="1" applyBorder="1" applyAlignment="1">
      <alignment horizontal="center"/>
    </xf>
    <xf numFmtId="165" fontId="2" fillId="0" borderId="3" xfId="1" applyNumberFormat="1" applyFont="1" applyBorder="1" applyAlignment="1">
      <alignment horizontal="center"/>
    </xf>
    <xf numFmtId="0" fontId="0" fillId="0" borderId="0" xfId="0" applyAlignment="1">
      <alignment horizontal="center" wrapText="1"/>
    </xf>
    <xf numFmtId="0" fontId="2" fillId="3" borderId="12" xfId="0" applyFont="1" applyFill="1" applyBorder="1" applyAlignment="1">
      <alignment horizontal="center"/>
    </xf>
    <xf numFmtId="0" fontId="2" fillId="3" borderId="1" xfId="0" applyFont="1" applyFill="1" applyBorder="1" applyAlignment="1">
      <alignment horizontal="center"/>
    </xf>
    <xf numFmtId="165" fontId="2" fillId="0" borderId="2" xfId="1" applyNumberFormat="1" applyFont="1" applyBorder="1" applyAlignment="1">
      <alignment horizontal="left"/>
    </xf>
    <xf numFmtId="165" fontId="2" fillId="0" borderId="3" xfId="1" applyNumberFormat="1" applyFont="1" applyBorder="1" applyAlignment="1">
      <alignment horizontal="left"/>
    </xf>
  </cellXfs>
  <cellStyles count="5">
    <cellStyle name="Comma" xfId="1" builtinId="3"/>
    <cellStyle name="Millares 2" xfId="3" xr:uid="{498F34D5-4E2F-1543-9440-A428E90A6780}"/>
    <cellStyle name="Normal" xfId="0" builtinId="0"/>
    <cellStyle name="Normal 2" xfId="2" xr:uid="{9F9F0C65-3BAA-0E4B-B377-51E761E5B941}"/>
    <cellStyle name="Per 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1054100</xdr:colOff>
      <xdr:row>6</xdr:row>
      <xdr:rowOff>88900</xdr:rowOff>
    </xdr:from>
    <xdr:to>
      <xdr:col>1</xdr:col>
      <xdr:colOff>5905500</xdr:colOff>
      <xdr:row>22</xdr:row>
      <xdr:rowOff>9525</xdr:rowOff>
    </xdr:to>
    <xdr:pic>
      <xdr:nvPicPr>
        <xdr:cNvPr id="2" name="image19.png">
          <a:extLst>
            <a:ext uri="{FF2B5EF4-FFF2-40B4-BE49-F238E27FC236}">
              <a16:creationId xmlns:a16="http://schemas.microsoft.com/office/drawing/2014/main" id="{E308D057-363E-0046-AFD0-CC3389CEDD40}"/>
            </a:ext>
          </a:extLst>
        </xdr:cNvPr>
        <xdr:cNvPicPr/>
      </xdr:nvPicPr>
      <xdr:blipFill>
        <a:blip xmlns:r="http://schemas.openxmlformats.org/officeDocument/2006/relationships" r:embed="rId1"/>
        <a:srcRect/>
        <a:stretch>
          <a:fillRect/>
        </a:stretch>
      </xdr:blipFill>
      <xdr:spPr>
        <a:xfrm>
          <a:off x="1054100" y="1257300"/>
          <a:ext cx="5943600" cy="2968625"/>
        </a:xfrm>
        <a:prstGeom prst="rect">
          <a:avLst/>
        </a:prstGeom>
        <a:ln/>
      </xdr:spPr>
    </xdr:pic>
    <xdr:clientData/>
  </xdr:twoCellAnchor>
  <xdr:twoCellAnchor editAs="oneCell">
    <xdr:from>
      <xdr:col>1</xdr:col>
      <xdr:colOff>1638300</xdr:colOff>
      <xdr:row>26</xdr:row>
      <xdr:rowOff>0</xdr:rowOff>
    </xdr:from>
    <xdr:to>
      <xdr:col>1</xdr:col>
      <xdr:colOff>2679700</xdr:colOff>
      <xdr:row>31</xdr:row>
      <xdr:rowOff>127000</xdr:rowOff>
    </xdr:to>
    <xdr:pic>
      <xdr:nvPicPr>
        <xdr:cNvPr id="4" name="image14.png">
          <a:extLst>
            <a:ext uri="{FF2B5EF4-FFF2-40B4-BE49-F238E27FC236}">
              <a16:creationId xmlns:a16="http://schemas.microsoft.com/office/drawing/2014/main" id="{EA38EA37-0BB8-4944-B8A8-CA382C0ACB2B}"/>
            </a:ext>
          </a:extLst>
        </xdr:cNvPr>
        <xdr:cNvPicPr/>
      </xdr:nvPicPr>
      <xdr:blipFill>
        <a:blip xmlns:r="http://schemas.openxmlformats.org/officeDocument/2006/relationships" r:embed="rId2"/>
        <a:srcRect/>
        <a:stretch>
          <a:fillRect/>
        </a:stretch>
      </xdr:blipFill>
      <xdr:spPr>
        <a:xfrm>
          <a:off x="2730500" y="4978400"/>
          <a:ext cx="1041400" cy="1079500"/>
        </a:xfrm>
        <a:prstGeom prst="rect">
          <a:avLst/>
        </a:prstGeom>
        <a:ln/>
      </xdr:spPr>
    </xdr:pic>
    <xdr:clientData/>
  </xdr:twoCellAnchor>
  <xdr:twoCellAnchor editAs="oneCell">
    <xdr:from>
      <xdr:col>1</xdr:col>
      <xdr:colOff>2882900</xdr:colOff>
      <xdr:row>27</xdr:row>
      <xdr:rowOff>114300</xdr:rowOff>
    </xdr:from>
    <xdr:to>
      <xdr:col>1</xdr:col>
      <xdr:colOff>5640705</xdr:colOff>
      <xdr:row>29</xdr:row>
      <xdr:rowOff>113030</xdr:rowOff>
    </xdr:to>
    <xdr:pic>
      <xdr:nvPicPr>
        <xdr:cNvPr id="5" name="image8.jpg">
          <a:extLst>
            <a:ext uri="{FF2B5EF4-FFF2-40B4-BE49-F238E27FC236}">
              <a16:creationId xmlns:a16="http://schemas.microsoft.com/office/drawing/2014/main" id="{7F7C2A30-F487-F145-B2D8-CE99C132F69C}"/>
            </a:ext>
          </a:extLst>
        </xdr:cNvPr>
        <xdr:cNvPicPr/>
      </xdr:nvPicPr>
      <xdr:blipFill>
        <a:blip xmlns:r="http://schemas.openxmlformats.org/officeDocument/2006/relationships" r:embed="rId3"/>
        <a:srcRect/>
        <a:stretch>
          <a:fillRect/>
        </a:stretch>
      </xdr:blipFill>
      <xdr:spPr>
        <a:xfrm>
          <a:off x="3975100" y="5283200"/>
          <a:ext cx="2757805" cy="379730"/>
        </a:xfrm>
        <a:prstGeom prst="rect">
          <a:avLst/>
        </a:prstGeom>
        <a:ln/>
      </xdr:spPr>
    </xdr:pic>
    <xdr:clientData/>
  </xdr:twoCellAnchor>
  <xdr:twoCellAnchor editAs="oneCell">
    <xdr:from>
      <xdr:col>1</xdr:col>
      <xdr:colOff>5740400</xdr:colOff>
      <xdr:row>25</xdr:row>
      <xdr:rowOff>177800</xdr:rowOff>
    </xdr:from>
    <xdr:to>
      <xdr:col>1</xdr:col>
      <xdr:colOff>7041515</xdr:colOff>
      <xdr:row>30</xdr:row>
      <xdr:rowOff>133985</xdr:rowOff>
    </xdr:to>
    <xdr:pic>
      <xdr:nvPicPr>
        <xdr:cNvPr id="6" name="image1.png">
          <a:extLst>
            <a:ext uri="{FF2B5EF4-FFF2-40B4-BE49-F238E27FC236}">
              <a16:creationId xmlns:a16="http://schemas.microsoft.com/office/drawing/2014/main" id="{36B7BB7C-2815-1248-BCC6-CB74B6866872}"/>
            </a:ext>
          </a:extLst>
        </xdr:cNvPr>
        <xdr:cNvPicPr/>
      </xdr:nvPicPr>
      <xdr:blipFill>
        <a:blip xmlns:r="http://schemas.openxmlformats.org/officeDocument/2006/relationships" r:embed="rId4"/>
        <a:srcRect/>
        <a:stretch>
          <a:fillRect/>
        </a:stretch>
      </xdr:blipFill>
      <xdr:spPr>
        <a:xfrm>
          <a:off x="6832600" y="4965700"/>
          <a:ext cx="1301115" cy="908685"/>
        </a:xfrm>
        <a:prstGeom prst="rect">
          <a:avLst/>
        </a:prstGeom>
        <a:ln/>
      </xdr:spPr>
    </xdr:pic>
    <xdr:clientData/>
  </xdr:twoCellAnchor>
  <xdr:twoCellAnchor editAs="oneCell">
    <xdr:from>
      <xdr:col>0</xdr:col>
      <xdr:colOff>317500</xdr:colOff>
      <xdr:row>26</xdr:row>
      <xdr:rowOff>88900</xdr:rowOff>
    </xdr:from>
    <xdr:to>
      <xdr:col>1</xdr:col>
      <xdr:colOff>1329055</xdr:colOff>
      <xdr:row>30</xdr:row>
      <xdr:rowOff>147955</xdr:rowOff>
    </xdr:to>
    <xdr:pic>
      <xdr:nvPicPr>
        <xdr:cNvPr id="7" name="image4.png">
          <a:extLst>
            <a:ext uri="{FF2B5EF4-FFF2-40B4-BE49-F238E27FC236}">
              <a16:creationId xmlns:a16="http://schemas.microsoft.com/office/drawing/2014/main" id="{DF7D278B-D069-727A-8255-D0CC3BCB3F1D}"/>
            </a:ext>
          </a:extLst>
        </xdr:cNvPr>
        <xdr:cNvPicPr/>
      </xdr:nvPicPr>
      <xdr:blipFill>
        <a:blip xmlns:r="http://schemas.openxmlformats.org/officeDocument/2006/relationships" r:embed="rId5"/>
        <a:srcRect/>
        <a:stretch>
          <a:fillRect/>
        </a:stretch>
      </xdr:blipFill>
      <xdr:spPr>
        <a:xfrm>
          <a:off x="317500" y="5295900"/>
          <a:ext cx="2103755" cy="821055"/>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245045</xdr:colOff>
      <xdr:row>12</xdr:row>
      <xdr:rowOff>391585</xdr:rowOff>
    </xdr:from>
    <xdr:to>
      <xdr:col>9</xdr:col>
      <xdr:colOff>0</xdr:colOff>
      <xdr:row>16</xdr:row>
      <xdr:rowOff>621975</xdr:rowOff>
    </xdr:to>
    <xdr:sp macro="" textlink="">
      <xdr:nvSpPr>
        <xdr:cNvPr id="2" name="Flecha derecha 1">
          <a:extLst>
            <a:ext uri="{FF2B5EF4-FFF2-40B4-BE49-F238E27FC236}">
              <a16:creationId xmlns:a16="http://schemas.microsoft.com/office/drawing/2014/main" id="{24B932B2-413D-57D0-6B4C-F795EC7431AA}"/>
            </a:ext>
          </a:extLst>
        </xdr:cNvPr>
        <xdr:cNvSpPr/>
      </xdr:nvSpPr>
      <xdr:spPr>
        <a:xfrm>
          <a:off x="5930737" y="4025739"/>
          <a:ext cx="2274602" cy="129523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a:p>
          <a:pPr algn="l"/>
          <a:r>
            <a:rPr lang="es-MX" sz="1100"/>
            <a:t>Diesel</a:t>
          </a:r>
          <a:r>
            <a:rPr lang="es-MX" sz="1100" baseline="0"/>
            <a:t> pump--&gt; Solar Pump</a:t>
          </a:r>
          <a:endParaRPr lang="es-MX"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fceline/Desktop/Palangata%20surf%20sola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fceline/Dropbox%20(Compte%20personnel)/Transfert/IRRIS%20Concept%20version2.3_VLIB%20S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onnées"/>
      <sheetName val="Cadre devis"/>
      <sheetName val="Synthèse"/>
      <sheetName val="Paramètres"/>
      <sheetName val="Données ETO"/>
      <sheetName val="Référentiels"/>
      <sheetName val="Import"/>
      <sheetName val="Extract"/>
      <sheetName val="Tab_ges"/>
      <sheetName val="Infos"/>
      <sheetName val="Design"/>
      <sheetName val="Palangata surf solar"/>
    </sheetNames>
    <sheetDataSet>
      <sheetData sheetId="0"/>
      <sheetData sheetId="1"/>
      <sheetData sheetId="2"/>
      <sheetData sheetId="3"/>
      <sheetData sheetId="4"/>
      <sheetData sheetId="5"/>
      <sheetData sheetId="6"/>
      <sheetData sheetId="7"/>
      <sheetData sheetId="8"/>
      <sheetData sheetId="9">
        <row r="4">
          <cell r="D4" t="str">
            <v>ss doublon</v>
          </cell>
          <cell r="I4" t="str">
            <v>choix ville</v>
          </cell>
        </row>
        <row r="5">
          <cell r="C5">
            <v>1</v>
          </cell>
          <cell r="H5">
            <v>1</v>
          </cell>
        </row>
        <row r="6">
          <cell r="C6">
            <v>1</v>
          </cell>
          <cell r="H6">
            <v>1</v>
          </cell>
        </row>
        <row r="7">
          <cell r="C7">
            <v>1</v>
          </cell>
          <cell r="H7">
            <v>1</v>
          </cell>
        </row>
        <row r="8">
          <cell r="C8">
            <v>1</v>
          </cell>
          <cell r="H8">
            <v>2</v>
          </cell>
        </row>
        <row r="9">
          <cell r="C9">
            <v>1</v>
          </cell>
          <cell r="H9">
            <v>2</v>
          </cell>
        </row>
        <row r="10">
          <cell r="C10">
            <v>1</v>
          </cell>
          <cell r="H10">
            <v>2</v>
          </cell>
        </row>
        <row r="11">
          <cell r="C11">
            <v>1</v>
          </cell>
          <cell r="H11">
            <v>2</v>
          </cell>
        </row>
        <row r="12">
          <cell r="C12">
            <v>1</v>
          </cell>
          <cell r="H12">
            <v>2</v>
          </cell>
        </row>
        <row r="13">
          <cell r="C13">
            <v>1</v>
          </cell>
          <cell r="H13">
            <v>2</v>
          </cell>
        </row>
        <row r="14">
          <cell r="C14">
            <v>1</v>
          </cell>
          <cell r="H14">
            <v>2</v>
          </cell>
        </row>
        <row r="15">
          <cell r="C15">
            <v>1</v>
          </cell>
          <cell r="H15">
            <v>2</v>
          </cell>
        </row>
        <row r="16">
          <cell r="C16">
            <v>2</v>
          </cell>
          <cell r="H16">
            <v>2</v>
          </cell>
        </row>
        <row r="17">
          <cell r="C17">
            <v>2</v>
          </cell>
          <cell r="H17">
            <v>2</v>
          </cell>
        </row>
        <row r="18">
          <cell r="C18">
            <v>2</v>
          </cell>
          <cell r="H18">
            <v>2</v>
          </cell>
        </row>
        <row r="19">
          <cell r="C19">
            <v>2</v>
          </cell>
          <cell r="H19">
            <v>2</v>
          </cell>
        </row>
        <row r="20">
          <cell r="C20">
            <v>2</v>
          </cell>
          <cell r="H20">
            <v>2</v>
          </cell>
        </row>
        <row r="21">
          <cell r="C21">
            <v>2</v>
          </cell>
          <cell r="H21">
            <v>2</v>
          </cell>
        </row>
        <row r="22">
          <cell r="C22">
            <v>2</v>
          </cell>
          <cell r="H22">
            <v>2</v>
          </cell>
        </row>
        <row r="23">
          <cell r="C23">
            <v>2</v>
          </cell>
          <cell r="H23">
            <v>2</v>
          </cell>
        </row>
        <row r="24">
          <cell r="C24">
            <v>2</v>
          </cell>
          <cell r="H24">
            <v>2</v>
          </cell>
        </row>
        <row r="25">
          <cell r="C25">
            <v>2</v>
          </cell>
          <cell r="H25">
            <v>2</v>
          </cell>
        </row>
        <row r="26">
          <cell r="C26">
            <v>2</v>
          </cell>
          <cell r="H26">
            <v>2</v>
          </cell>
        </row>
        <row r="27">
          <cell r="C27">
            <v>2</v>
          </cell>
          <cell r="H27">
            <v>2</v>
          </cell>
        </row>
        <row r="28">
          <cell r="C28">
            <v>2</v>
          </cell>
          <cell r="H28">
            <v>2</v>
          </cell>
        </row>
        <row r="29">
          <cell r="C29">
            <v>2</v>
          </cell>
          <cell r="H29">
            <v>2</v>
          </cell>
        </row>
        <row r="30">
          <cell r="C30">
            <v>2</v>
          </cell>
          <cell r="H30">
            <v>2</v>
          </cell>
        </row>
        <row r="31">
          <cell r="C31">
            <v>2</v>
          </cell>
          <cell r="H31">
            <v>2</v>
          </cell>
        </row>
        <row r="32">
          <cell r="C32">
            <v>2</v>
          </cell>
          <cell r="H32">
            <v>2</v>
          </cell>
        </row>
        <row r="33">
          <cell r="C33">
            <v>2</v>
          </cell>
          <cell r="H33">
            <v>2</v>
          </cell>
        </row>
        <row r="34">
          <cell r="C34">
            <v>2</v>
          </cell>
          <cell r="H34">
            <v>2</v>
          </cell>
        </row>
        <row r="35">
          <cell r="C35">
            <v>2</v>
          </cell>
          <cell r="H35">
            <v>2</v>
          </cell>
        </row>
        <row r="36">
          <cell r="C36">
            <v>2</v>
          </cell>
          <cell r="H36">
            <v>2</v>
          </cell>
        </row>
        <row r="37">
          <cell r="C37">
            <v>2</v>
          </cell>
          <cell r="H37">
            <v>2</v>
          </cell>
        </row>
        <row r="38">
          <cell r="C38">
            <v>2</v>
          </cell>
          <cell r="H38">
            <v>2</v>
          </cell>
        </row>
        <row r="39">
          <cell r="C39">
            <v>2</v>
          </cell>
          <cell r="H39">
            <v>2</v>
          </cell>
        </row>
        <row r="40">
          <cell r="C40">
            <v>2</v>
          </cell>
          <cell r="H40">
            <v>2</v>
          </cell>
        </row>
        <row r="41">
          <cell r="C41">
            <v>2</v>
          </cell>
          <cell r="H41">
            <v>2</v>
          </cell>
        </row>
        <row r="42">
          <cell r="C42">
            <v>2</v>
          </cell>
          <cell r="H42">
            <v>2</v>
          </cell>
        </row>
        <row r="43">
          <cell r="C43">
            <v>2</v>
          </cell>
          <cell r="H43">
            <v>2</v>
          </cell>
        </row>
        <row r="44">
          <cell r="C44">
            <v>2</v>
          </cell>
          <cell r="H44">
            <v>2</v>
          </cell>
        </row>
        <row r="45">
          <cell r="C45">
            <v>2</v>
          </cell>
          <cell r="H45">
            <v>2</v>
          </cell>
        </row>
        <row r="46">
          <cell r="C46">
            <v>2</v>
          </cell>
          <cell r="H46">
            <v>2</v>
          </cell>
        </row>
        <row r="47">
          <cell r="C47">
            <v>2</v>
          </cell>
          <cell r="H47">
            <v>2</v>
          </cell>
        </row>
        <row r="48">
          <cell r="C48">
            <v>2</v>
          </cell>
          <cell r="H48">
            <v>2</v>
          </cell>
        </row>
        <row r="49">
          <cell r="C49">
            <v>2</v>
          </cell>
          <cell r="H49">
            <v>2</v>
          </cell>
        </row>
        <row r="50">
          <cell r="C50">
            <v>2</v>
          </cell>
          <cell r="H50">
            <v>2</v>
          </cell>
        </row>
        <row r="51">
          <cell r="C51">
            <v>2</v>
          </cell>
          <cell r="H51">
            <v>2</v>
          </cell>
        </row>
        <row r="52">
          <cell r="C52">
            <v>2</v>
          </cell>
          <cell r="H52">
            <v>2</v>
          </cell>
        </row>
        <row r="53">
          <cell r="C53">
            <v>2</v>
          </cell>
          <cell r="H53">
            <v>2</v>
          </cell>
        </row>
        <row r="54">
          <cell r="C54">
            <v>2</v>
          </cell>
          <cell r="H54">
            <v>2</v>
          </cell>
        </row>
        <row r="55">
          <cell r="C55">
            <v>2</v>
          </cell>
          <cell r="H55">
            <v>2</v>
          </cell>
        </row>
        <row r="56">
          <cell r="C56">
            <v>2</v>
          </cell>
          <cell r="H56">
            <v>2</v>
          </cell>
        </row>
        <row r="57">
          <cell r="C57">
            <v>2</v>
          </cell>
          <cell r="H57">
            <v>2</v>
          </cell>
        </row>
        <row r="58">
          <cell r="C58">
            <v>2</v>
          </cell>
          <cell r="H58">
            <v>2</v>
          </cell>
        </row>
        <row r="59">
          <cell r="C59">
            <v>2</v>
          </cell>
          <cell r="H59">
            <v>2</v>
          </cell>
        </row>
        <row r="60">
          <cell r="C60">
            <v>2</v>
          </cell>
          <cell r="H60">
            <v>2</v>
          </cell>
        </row>
        <row r="61">
          <cell r="C61">
            <v>2</v>
          </cell>
          <cell r="H61">
            <v>2</v>
          </cell>
        </row>
        <row r="62">
          <cell r="C62">
            <v>2</v>
          </cell>
          <cell r="H62">
            <v>2</v>
          </cell>
        </row>
        <row r="63">
          <cell r="C63">
            <v>2</v>
          </cell>
          <cell r="H63">
            <v>2</v>
          </cell>
        </row>
        <row r="64">
          <cell r="C64">
            <v>2</v>
          </cell>
          <cell r="H64">
            <v>2</v>
          </cell>
        </row>
        <row r="65">
          <cell r="C65">
            <v>2</v>
          </cell>
          <cell r="H65">
            <v>2</v>
          </cell>
        </row>
        <row r="66">
          <cell r="C66">
            <v>2</v>
          </cell>
          <cell r="H66">
            <v>2</v>
          </cell>
        </row>
        <row r="67">
          <cell r="C67">
            <v>2</v>
          </cell>
          <cell r="H67">
            <v>2</v>
          </cell>
        </row>
        <row r="68">
          <cell r="C68">
            <v>2</v>
          </cell>
          <cell r="H68">
            <v>2</v>
          </cell>
        </row>
        <row r="69">
          <cell r="C69">
            <v>2</v>
          </cell>
          <cell r="H69">
            <v>2</v>
          </cell>
        </row>
        <row r="70">
          <cell r="C70">
            <v>2</v>
          </cell>
          <cell r="H70">
            <v>2</v>
          </cell>
        </row>
        <row r="71">
          <cell r="C71">
            <v>2</v>
          </cell>
          <cell r="H71">
            <v>2</v>
          </cell>
        </row>
        <row r="72">
          <cell r="C72">
            <v>2</v>
          </cell>
          <cell r="H72">
            <v>2</v>
          </cell>
        </row>
        <row r="73">
          <cell r="C73">
            <v>2</v>
          </cell>
          <cell r="H73">
            <v>2</v>
          </cell>
        </row>
        <row r="74">
          <cell r="C74">
            <v>2</v>
          </cell>
          <cell r="H74">
            <v>2</v>
          </cell>
        </row>
        <row r="75">
          <cell r="C75">
            <v>2</v>
          </cell>
          <cell r="H75">
            <v>2</v>
          </cell>
        </row>
        <row r="76">
          <cell r="C76">
            <v>2</v>
          </cell>
          <cell r="H76">
            <v>2</v>
          </cell>
        </row>
        <row r="77">
          <cell r="C77">
            <v>2</v>
          </cell>
          <cell r="H77">
            <v>2</v>
          </cell>
        </row>
        <row r="78">
          <cell r="C78">
            <v>2</v>
          </cell>
          <cell r="H78">
            <v>2</v>
          </cell>
        </row>
        <row r="79">
          <cell r="C79">
            <v>2</v>
          </cell>
          <cell r="H79">
            <v>2</v>
          </cell>
        </row>
        <row r="80">
          <cell r="C80">
            <v>2</v>
          </cell>
          <cell r="H80">
            <v>2</v>
          </cell>
        </row>
        <row r="81">
          <cell r="C81">
            <v>2</v>
          </cell>
          <cell r="H81">
            <v>2</v>
          </cell>
        </row>
        <row r="82">
          <cell r="C82">
            <v>2</v>
          </cell>
          <cell r="H82">
            <v>2</v>
          </cell>
        </row>
        <row r="83">
          <cell r="C83">
            <v>2</v>
          </cell>
          <cell r="H83">
            <v>2</v>
          </cell>
        </row>
        <row r="84">
          <cell r="C84">
            <v>2</v>
          </cell>
          <cell r="H84">
            <v>2</v>
          </cell>
        </row>
        <row r="85">
          <cell r="C85">
            <v>2</v>
          </cell>
          <cell r="H85">
            <v>2</v>
          </cell>
        </row>
        <row r="86">
          <cell r="C86">
            <v>2</v>
          </cell>
          <cell r="H86">
            <v>2</v>
          </cell>
        </row>
        <row r="87">
          <cell r="C87">
            <v>2</v>
          </cell>
          <cell r="H87">
            <v>2</v>
          </cell>
        </row>
        <row r="88">
          <cell r="C88">
            <v>2</v>
          </cell>
          <cell r="H88">
            <v>2</v>
          </cell>
        </row>
        <row r="89">
          <cell r="C89">
            <v>2</v>
          </cell>
          <cell r="H89">
            <v>2</v>
          </cell>
        </row>
        <row r="90">
          <cell r="C90">
            <v>2</v>
          </cell>
          <cell r="H90">
            <v>2</v>
          </cell>
        </row>
        <row r="91">
          <cell r="C91">
            <v>2</v>
          </cell>
          <cell r="H91">
            <v>2</v>
          </cell>
        </row>
        <row r="92">
          <cell r="C92">
            <v>2</v>
          </cell>
          <cell r="H92">
            <v>2</v>
          </cell>
        </row>
        <row r="93">
          <cell r="C93">
            <v>2</v>
          </cell>
          <cell r="H93">
            <v>2</v>
          </cell>
        </row>
        <row r="94">
          <cell r="C94">
            <v>2</v>
          </cell>
          <cell r="H94">
            <v>2</v>
          </cell>
        </row>
        <row r="95">
          <cell r="C95">
            <v>2</v>
          </cell>
          <cell r="H95">
            <v>2</v>
          </cell>
        </row>
        <row r="96">
          <cell r="C96">
            <v>2</v>
          </cell>
          <cell r="H96">
            <v>2</v>
          </cell>
        </row>
        <row r="97">
          <cell r="C97">
            <v>2</v>
          </cell>
          <cell r="H97">
            <v>2</v>
          </cell>
        </row>
        <row r="98">
          <cell r="C98">
            <v>2</v>
          </cell>
          <cell r="H98">
            <v>2</v>
          </cell>
        </row>
        <row r="99">
          <cell r="C99">
            <v>2</v>
          </cell>
          <cell r="H99">
            <v>2</v>
          </cell>
        </row>
        <row r="100">
          <cell r="C100">
            <v>2</v>
          </cell>
          <cell r="H100">
            <v>2</v>
          </cell>
        </row>
        <row r="108">
          <cell r="J108" t="str">
            <v>Choix E</v>
          </cell>
        </row>
        <row r="109">
          <cell r="I109">
            <v>2</v>
          </cell>
        </row>
        <row r="110">
          <cell r="I110">
            <v>2</v>
          </cell>
        </row>
        <row r="111">
          <cell r="I111">
            <v>2</v>
          </cell>
        </row>
        <row r="112">
          <cell r="I112">
            <v>2</v>
          </cell>
        </row>
        <row r="113">
          <cell r="I113">
            <v>2</v>
          </cell>
        </row>
        <row r="114">
          <cell r="I114">
            <v>2</v>
          </cell>
        </row>
        <row r="115">
          <cell r="I115">
            <v>2</v>
          </cell>
        </row>
        <row r="116">
          <cell r="I116">
            <v>2</v>
          </cell>
        </row>
        <row r="117">
          <cell r="I117">
            <v>2</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onnées"/>
      <sheetName val="Cadre devis"/>
      <sheetName val="Cahier des charges"/>
      <sheetName val="Synthèse"/>
      <sheetName val="Paramètres"/>
      <sheetName val="Données climatiques"/>
      <sheetName val="Référentiels"/>
      <sheetName val="Fournisseurs"/>
      <sheetName val="Import"/>
      <sheetName val="Extract"/>
      <sheetName val="Tab_ges"/>
      <sheetName val="Infos"/>
      <sheetName val="Design"/>
      <sheetName val="Choix diamètre"/>
      <sheetName val="Choix technologie energie"/>
    </sheetNames>
    <sheetDataSet>
      <sheetData sheetId="0">
        <row r="25">
          <cell r="E25" t="str">
            <v xml:space="preserve">Puits busé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D933-C7C9-FD45-86FD-6D79332E2F8F}">
  <dimension ref="A1:B39"/>
  <sheetViews>
    <sheetView topLeftCell="A17" zoomScale="110" zoomScaleNormal="110" workbookViewId="0">
      <selection activeCell="B2" sqref="B2"/>
    </sheetView>
  </sheetViews>
  <sheetFormatPr baseColWidth="10" defaultRowHeight="15" x14ac:dyDescent="0.2"/>
  <cols>
    <col min="1" max="1" width="14.33203125" style="77" bestFit="1" customWidth="1"/>
    <col min="2" max="2" width="94.1640625" style="77" bestFit="1" customWidth="1"/>
    <col min="3" max="16384" width="10.83203125" style="77"/>
  </cols>
  <sheetData>
    <row r="1" spans="1:2" ht="15" customHeight="1" x14ac:dyDescent="0.2">
      <c r="A1" s="76" t="s">
        <v>120</v>
      </c>
      <c r="B1" s="77" t="s">
        <v>121</v>
      </c>
    </row>
    <row r="2" spans="1:2" ht="34" x14ac:dyDescent="0.2">
      <c r="A2" s="78" t="s">
        <v>122</v>
      </c>
      <c r="B2" s="80" t="s">
        <v>128</v>
      </c>
    </row>
    <row r="3" spans="1:2" ht="16" x14ac:dyDescent="0.2">
      <c r="A3" s="78" t="s">
        <v>123</v>
      </c>
      <c r="B3" s="79" t="s">
        <v>129</v>
      </c>
    </row>
    <row r="4" spans="1:2" x14ac:dyDescent="0.2">
      <c r="A4" s="78" t="s">
        <v>124</v>
      </c>
      <c r="B4" s="77" t="s">
        <v>130</v>
      </c>
    </row>
    <row r="5" spans="1:2" x14ac:dyDescent="0.2">
      <c r="A5" s="78" t="s">
        <v>125</v>
      </c>
      <c r="B5" s="77" t="s">
        <v>126</v>
      </c>
    </row>
    <row r="6" spans="1:2" x14ac:dyDescent="0.2">
      <c r="A6" s="78" t="s">
        <v>127</v>
      </c>
      <c r="B6" s="77" t="s">
        <v>131</v>
      </c>
    </row>
    <row r="24" spans="1:2" x14ac:dyDescent="0.2">
      <c r="A24" s="109" t="s">
        <v>156</v>
      </c>
      <c r="B24" s="109"/>
    </row>
    <row r="25" spans="1:2" x14ac:dyDescent="0.2">
      <c r="A25" s="110" t="s">
        <v>132</v>
      </c>
      <c r="B25" s="110"/>
    </row>
    <row r="33" spans="1:2" x14ac:dyDescent="0.2">
      <c r="A33" s="111" t="s">
        <v>133</v>
      </c>
      <c r="B33" s="111"/>
    </row>
    <row r="34" spans="1:2" x14ac:dyDescent="0.2">
      <c r="A34" s="111"/>
      <c r="B34" s="111"/>
    </row>
    <row r="35" spans="1:2" x14ac:dyDescent="0.2">
      <c r="A35" s="111"/>
      <c r="B35" s="111"/>
    </row>
    <row r="36" spans="1:2" x14ac:dyDescent="0.2">
      <c r="A36" s="111"/>
      <c r="B36" s="111"/>
    </row>
    <row r="37" spans="1:2" x14ac:dyDescent="0.2">
      <c r="A37" s="111"/>
      <c r="B37" s="111"/>
    </row>
    <row r="38" spans="1:2" x14ac:dyDescent="0.2">
      <c r="A38" s="111"/>
      <c r="B38" s="111"/>
    </row>
    <row r="39" spans="1:2" ht="39" customHeight="1" x14ac:dyDescent="0.2">
      <c r="A39" s="111"/>
      <c r="B39" s="111"/>
    </row>
  </sheetData>
  <mergeCells count="3">
    <mergeCell ref="A24:B24"/>
    <mergeCell ref="A25:B25"/>
    <mergeCell ref="A33:B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5ACC-40A4-334B-AADA-D318985930E8}">
  <sheetPr>
    <tabColor rgb="FF00B050"/>
    <pageSetUpPr fitToPage="1"/>
  </sheetPr>
  <dimension ref="A1:AC74"/>
  <sheetViews>
    <sheetView topLeftCell="A2" zoomScale="75" zoomScaleNormal="110" workbookViewId="0">
      <selection activeCell="A7" sqref="A7"/>
    </sheetView>
  </sheetViews>
  <sheetFormatPr baseColWidth="10" defaultRowHeight="16" x14ac:dyDescent="0.2"/>
  <cols>
    <col min="1" max="1" width="5.6640625" style="1" bestFit="1" customWidth="1"/>
    <col min="2" max="2" width="78.33203125" style="1" bestFit="1" customWidth="1"/>
    <col min="3" max="3" width="6.6640625" style="1" bestFit="1" customWidth="1"/>
    <col min="4" max="4" width="10.83203125" style="1"/>
    <col min="5" max="5" width="17" style="1" customWidth="1"/>
    <col min="6" max="6" width="15.5" style="1" customWidth="1"/>
    <col min="7" max="7" width="18.1640625" style="1" customWidth="1"/>
    <col min="8" max="8" width="42.83203125" style="1" bestFit="1" customWidth="1"/>
    <col min="9" max="25" width="10.83203125" style="1"/>
  </cols>
  <sheetData>
    <row r="1" spans="1:29" x14ac:dyDescent="0.2">
      <c r="D1" s="1" t="s">
        <v>119</v>
      </c>
      <c r="E1" s="1">
        <v>63.84</v>
      </c>
      <c r="G1" s="1" t="s">
        <v>109</v>
      </c>
    </row>
    <row r="2" spans="1:29" x14ac:dyDescent="0.2">
      <c r="A2" s="112" t="s">
        <v>0</v>
      </c>
      <c r="B2" s="112"/>
      <c r="C2" s="112"/>
      <c r="D2" s="112"/>
      <c r="E2" s="112"/>
      <c r="F2" s="112"/>
      <c r="G2" s="112"/>
      <c r="H2" s="112"/>
    </row>
    <row r="3" spans="1:29" x14ac:dyDescent="0.2">
      <c r="A3" s="2" t="s">
        <v>1</v>
      </c>
      <c r="B3" s="2" t="s">
        <v>2</v>
      </c>
      <c r="C3" s="3" t="s">
        <v>3</v>
      </c>
      <c r="D3" s="3" t="s">
        <v>4</v>
      </c>
      <c r="E3" s="3" t="s">
        <v>103</v>
      </c>
      <c r="F3" s="3" t="s">
        <v>107</v>
      </c>
      <c r="G3" s="2" t="s">
        <v>108</v>
      </c>
      <c r="H3" s="2" t="s">
        <v>5</v>
      </c>
    </row>
    <row r="4" spans="1:29" x14ac:dyDescent="0.2">
      <c r="A4" s="4">
        <v>1</v>
      </c>
      <c r="B4" s="5" t="s">
        <v>6</v>
      </c>
      <c r="C4" s="5"/>
      <c r="D4" s="5"/>
      <c r="E4" s="5"/>
      <c r="F4" s="67">
        <f>SUM(F5)</f>
        <v>525000</v>
      </c>
      <c r="G4" s="68">
        <f>F4/$E$1</f>
        <v>8223.6842105263149</v>
      </c>
      <c r="H4" s="2"/>
    </row>
    <row r="5" spans="1:29" ht="34" x14ac:dyDescent="0.2">
      <c r="A5" s="8" t="s">
        <v>7</v>
      </c>
      <c r="B5" s="47" t="s">
        <v>8</v>
      </c>
      <c r="C5" s="48" t="s">
        <v>9</v>
      </c>
      <c r="D5" s="49">
        <v>35</v>
      </c>
      <c r="E5" s="50">
        <v>15000</v>
      </c>
      <c r="F5" s="51">
        <f>D5*E5</f>
        <v>525000</v>
      </c>
      <c r="G5" s="51">
        <f>F5/$E$1</f>
        <v>8223.6842105263149</v>
      </c>
      <c r="H5" s="10" t="s">
        <v>10</v>
      </c>
    </row>
    <row r="6" spans="1:29" ht="17" x14ac:dyDescent="0.2">
      <c r="A6" s="4">
        <v>2</v>
      </c>
      <c r="B6" s="11" t="s">
        <v>140</v>
      </c>
      <c r="C6" s="12"/>
      <c r="D6" s="13"/>
      <c r="E6" s="13"/>
      <c r="F6" s="67">
        <f>SUM(F7)</f>
        <v>584289.4</v>
      </c>
      <c r="G6" s="68">
        <f>F6/$E$1</f>
        <v>9152.4028822055134</v>
      </c>
      <c r="H6" s="7"/>
    </row>
    <row r="7" spans="1:29" ht="51" x14ac:dyDescent="0.2">
      <c r="A7" s="8" t="s">
        <v>11</v>
      </c>
      <c r="B7" s="52" t="s">
        <v>12</v>
      </c>
      <c r="C7" s="48" t="s">
        <v>13</v>
      </c>
      <c r="D7" s="49">
        <v>1</v>
      </c>
      <c r="E7" s="50">
        <v>584289.4</v>
      </c>
      <c r="F7" s="51">
        <f>D7*E7</f>
        <v>584289.4</v>
      </c>
      <c r="G7" s="51">
        <f>F7/$E$1</f>
        <v>9152.4028822055134</v>
      </c>
      <c r="H7" s="14" t="s">
        <v>169</v>
      </c>
    </row>
    <row r="8" spans="1:29" ht="34" x14ac:dyDescent="0.2">
      <c r="A8" s="8" t="s">
        <v>14</v>
      </c>
      <c r="B8" s="53" t="s">
        <v>15</v>
      </c>
      <c r="C8" s="48" t="s">
        <v>16</v>
      </c>
      <c r="D8" s="54">
        <v>8.1999999999999993</v>
      </c>
      <c r="E8" s="113" t="s">
        <v>57</v>
      </c>
      <c r="F8" s="113"/>
      <c r="G8" s="50"/>
      <c r="H8" s="9" t="s">
        <v>17</v>
      </c>
    </row>
    <row r="9" spans="1:29" ht="17" x14ac:dyDescent="0.2">
      <c r="A9" s="4">
        <v>3</v>
      </c>
      <c r="B9" s="11" t="s">
        <v>18</v>
      </c>
      <c r="C9" s="12"/>
      <c r="D9" s="13"/>
      <c r="E9" s="13"/>
      <c r="F9" s="67">
        <f>F10+F17+F18+F26</f>
        <v>413561.11764705885</v>
      </c>
      <c r="G9" s="68">
        <f>F9/$E$1</f>
        <v>6478.0876824413981</v>
      </c>
      <c r="H9" s="7"/>
    </row>
    <row r="10" spans="1:29" s="1" customFormat="1" ht="34" x14ac:dyDescent="0.2">
      <c r="A10" s="8" t="s">
        <v>19</v>
      </c>
      <c r="B10" s="55" t="s">
        <v>20</v>
      </c>
      <c r="C10" s="48" t="s">
        <v>13</v>
      </c>
      <c r="D10" s="56">
        <v>1</v>
      </c>
      <c r="E10" s="50">
        <v>43511</v>
      </c>
      <c r="F10" s="51">
        <f>SUM(F11:F16)</f>
        <v>43511</v>
      </c>
      <c r="G10" s="51">
        <f>F10/$E$1</f>
        <v>681.56328320802004</v>
      </c>
      <c r="H10" s="10" t="s">
        <v>21</v>
      </c>
      <c r="Z10"/>
      <c r="AA10"/>
      <c r="AB10"/>
      <c r="AC10"/>
    </row>
    <row r="11" spans="1:29" s="1" customFormat="1" ht="17" hidden="1" x14ac:dyDescent="0.2">
      <c r="A11" s="72" t="s">
        <v>33</v>
      </c>
      <c r="B11" s="58" t="s">
        <v>104</v>
      </c>
      <c r="C11" s="59" t="s">
        <v>13</v>
      </c>
      <c r="D11" s="60">
        <v>1</v>
      </c>
      <c r="E11" s="7">
        <v>31500</v>
      </c>
      <c r="F11" s="17">
        <f>E11*D11</f>
        <v>31500</v>
      </c>
      <c r="G11" s="17"/>
      <c r="H11" s="10"/>
      <c r="Z11"/>
      <c r="AA11"/>
      <c r="AB11"/>
      <c r="AC11"/>
    </row>
    <row r="12" spans="1:29" s="1" customFormat="1" ht="17" hidden="1" x14ac:dyDescent="0.2">
      <c r="A12" s="72" t="s">
        <v>34</v>
      </c>
      <c r="B12" s="58" t="s">
        <v>105</v>
      </c>
      <c r="C12" s="59" t="s">
        <v>32</v>
      </c>
      <c r="D12" s="60">
        <v>1</v>
      </c>
      <c r="E12" s="7">
        <v>4108</v>
      </c>
      <c r="F12" s="17">
        <f t="shared" ref="F12:F25" si="0">E12*D12</f>
        <v>4108</v>
      </c>
      <c r="G12" s="17"/>
      <c r="H12" s="10"/>
      <c r="Z12"/>
      <c r="AA12"/>
      <c r="AB12"/>
      <c r="AC12"/>
    </row>
    <row r="13" spans="1:29" s="1" customFormat="1" ht="17" hidden="1" x14ac:dyDescent="0.2">
      <c r="A13" s="72" t="s">
        <v>36</v>
      </c>
      <c r="B13" s="58" t="s">
        <v>106</v>
      </c>
      <c r="C13" s="59" t="s">
        <v>13</v>
      </c>
      <c r="D13" s="60">
        <v>2</v>
      </c>
      <c r="E13" s="7">
        <v>587</v>
      </c>
      <c r="F13" s="17">
        <f t="shared" si="0"/>
        <v>1174</v>
      </c>
      <c r="G13" s="17"/>
      <c r="H13" s="10"/>
      <c r="Z13"/>
      <c r="AA13"/>
      <c r="AB13"/>
      <c r="AC13"/>
    </row>
    <row r="14" spans="1:29" s="1" customFormat="1" ht="17" hidden="1" x14ac:dyDescent="0.2">
      <c r="A14" s="72" t="s">
        <v>37</v>
      </c>
      <c r="B14" s="61" t="s">
        <v>53</v>
      </c>
      <c r="C14" s="59" t="s">
        <v>13</v>
      </c>
      <c r="D14" s="60">
        <v>1</v>
      </c>
      <c r="E14" s="7">
        <v>5342</v>
      </c>
      <c r="F14" s="17">
        <f t="shared" si="0"/>
        <v>5342</v>
      </c>
      <c r="G14" s="17"/>
      <c r="H14" s="10"/>
      <c r="Z14"/>
      <c r="AA14"/>
      <c r="AB14"/>
      <c r="AC14"/>
    </row>
    <row r="15" spans="1:29" s="1" customFormat="1" ht="17" hidden="1" x14ac:dyDescent="0.2">
      <c r="A15" s="72" t="s">
        <v>59</v>
      </c>
      <c r="B15" s="61" t="s">
        <v>39</v>
      </c>
      <c r="C15" s="59"/>
      <c r="D15" s="60">
        <v>1</v>
      </c>
      <c r="E15" s="7">
        <v>489</v>
      </c>
      <c r="F15" s="17">
        <f t="shared" si="0"/>
        <v>489</v>
      </c>
      <c r="G15" s="17"/>
      <c r="H15" s="10"/>
      <c r="Z15"/>
      <c r="AA15"/>
      <c r="AB15"/>
      <c r="AC15"/>
    </row>
    <row r="16" spans="1:29" s="1" customFormat="1" ht="17" hidden="1" x14ac:dyDescent="0.2">
      <c r="A16" s="72" t="s">
        <v>60</v>
      </c>
      <c r="B16" s="58" t="s">
        <v>54</v>
      </c>
      <c r="C16" s="59" t="s">
        <v>13</v>
      </c>
      <c r="D16" s="60">
        <v>2</v>
      </c>
      <c r="E16" s="7">
        <v>449</v>
      </c>
      <c r="F16" s="17">
        <f t="shared" si="0"/>
        <v>898</v>
      </c>
      <c r="G16" s="17"/>
      <c r="H16" s="10"/>
      <c r="Z16"/>
      <c r="AA16"/>
      <c r="AB16"/>
      <c r="AC16"/>
    </row>
    <row r="17" spans="1:29" s="1" customFormat="1" ht="34" x14ac:dyDescent="0.2">
      <c r="A17" s="8" t="s">
        <v>22</v>
      </c>
      <c r="B17" s="55" t="s">
        <v>23</v>
      </c>
      <c r="C17" s="48" t="s">
        <v>24</v>
      </c>
      <c r="D17" s="49">
        <v>120</v>
      </c>
      <c r="E17" s="57">
        <v>97</v>
      </c>
      <c r="F17" s="51">
        <f t="shared" si="0"/>
        <v>11640</v>
      </c>
      <c r="G17" s="51">
        <f>F17/$E$1</f>
        <v>182.33082706766916</v>
      </c>
      <c r="H17" s="7"/>
      <c r="Z17"/>
      <c r="AA17"/>
      <c r="AB17"/>
      <c r="AC17"/>
    </row>
    <row r="18" spans="1:29" s="1" customFormat="1" ht="34" x14ac:dyDescent="0.2">
      <c r="A18" s="8" t="s">
        <v>25</v>
      </c>
      <c r="B18" s="55" t="s">
        <v>110</v>
      </c>
      <c r="C18" s="48" t="s">
        <v>24</v>
      </c>
      <c r="D18" s="49">
        <v>264</v>
      </c>
      <c r="E18" s="57">
        <v>51648</v>
      </c>
      <c r="F18" s="51">
        <f>SUM(F19:F25)</f>
        <v>51468</v>
      </c>
      <c r="G18" s="51">
        <f>F18/$E$1</f>
        <v>806.20300751879699</v>
      </c>
      <c r="H18" s="15" t="s">
        <v>165</v>
      </c>
      <c r="Z18"/>
      <c r="AA18"/>
      <c r="AB18"/>
      <c r="AC18"/>
    </row>
    <row r="19" spans="1:29" s="1" customFormat="1" ht="17" hidden="1" x14ac:dyDescent="0.2">
      <c r="A19" s="8" t="s">
        <v>44</v>
      </c>
      <c r="B19" s="62" t="s">
        <v>102</v>
      </c>
      <c r="C19" s="59" t="s">
        <v>24</v>
      </c>
      <c r="D19" s="63">
        <v>264</v>
      </c>
      <c r="E19" s="20">
        <v>68</v>
      </c>
      <c r="F19" s="17">
        <f t="shared" si="0"/>
        <v>17952</v>
      </c>
      <c r="G19" s="17"/>
      <c r="H19" s="15"/>
      <c r="Z19"/>
      <c r="AA19"/>
      <c r="AB19"/>
      <c r="AC19"/>
    </row>
    <row r="20" spans="1:29" s="1" customFormat="1" ht="17" hidden="1" x14ac:dyDescent="0.2">
      <c r="A20" s="8" t="s">
        <v>45</v>
      </c>
      <c r="B20" s="62" t="s">
        <v>35</v>
      </c>
      <c r="C20" s="59" t="s">
        <v>13</v>
      </c>
      <c r="D20" s="63">
        <f>1*4</f>
        <v>4</v>
      </c>
      <c r="E20" s="7">
        <v>785</v>
      </c>
      <c r="F20" s="17">
        <f t="shared" si="0"/>
        <v>3140</v>
      </c>
      <c r="G20" s="17"/>
      <c r="H20" s="15"/>
      <c r="Z20"/>
      <c r="AA20"/>
      <c r="AB20"/>
      <c r="AC20"/>
    </row>
    <row r="21" spans="1:29" s="1" customFormat="1" ht="17" hidden="1" x14ac:dyDescent="0.2">
      <c r="A21" s="8" t="s">
        <v>46</v>
      </c>
      <c r="B21" s="62" t="s">
        <v>50</v>
      </c>
      <c r="C21" s="59" t="s">
        <v>13</v>
      </c>
      <c r="D21" s="63">
        <f>1*4</f>
        <v>4</v>
      </c>
      <c r="E21" s="7">
        <v>750</v>
      </c>
      <c r="F21" s="17">
        <f t="shared" si="0"/>
        <v>3000</v>
      </c>
      <c r="G21" s="17"/>
      <c r="H21" s="15"/>
      <c r="Z21"/>
      <c r="AA21"/>
      <c r="AB21"/>
      <c r="AC21"/>
    </row>
    <row r="22" spans="1:29" s="1" customFormat="1" ht="17" hidden="1" x14ac:dyDescent="0.2">
      <c r="A22" s="8" t="s">
        <v>47</v>
      </c>
      <c r="B22" s="62" t="s">
        <v>38</v>
      </c>
      <c r="C22" s="59" t="s">
        <v>13</v>
      </c>
      <c r="D22" s="63">
        <f>5*4</f>
        <v>20</v>
      </c>
      <c r="E22" s="7">
        <v>474</v>
      </c>
      <c r="F22" s="17">
        <f t="shared" si="0"/>
        <v>9480</v>
      </c>
      <c r="G22" s="17"/>
      <c r="H22" s="15"/>
      <c r="Z22"/>
      <c r="AA22"/>
      <c r="AB22"/>
      <c r="AC22"/>
    </row>
    <row r="23" spans="1:29" s="1" customFormat="1" ht="17" hidden="1" x14ac:dyDescent="0.2">
      <c r="A23" s="8" t="s">
        <v>48</v>
      </c>
      <c r="B23" s="62" t="s">
        <v>51</v>
      </c>
      <c r="C23" s="59" t="s">
        <v>13</v>
      </c>
      <c r="D23" s="63">
        <f>5*4</f>
        <v>20</v>
      </c>
      <c r="E23" s="7">
        <v>159</v>
      </c>
      <c r="F23" s="17">
        <f t="shared" si="0"/>
        <v>3180</v>
      </c>
      <c r="G23" s="17"/>
      <c r="H23" s="15"/>
      <c r="Z23"/>
      <c r="AA23"/>
      <c r="AB23"/>
      <c r="AC23"/>
    </row>
    <row r="24" spans="1:29" s="1" customFormat="1" ht="17" hidden="1" x14ac:dyDescent="0.2">
      <c r="A24" s="8" t="s">
        <v>49</v>
      </c>
      <c r="B24" s="62" t="s">
        <v>52</v>
      </c>
      <c r="C24" s="59" t="s">
        <v>13</v>
      </c>
      <c r="D24" s="63">
        <f>5*4</f>
        <v>20</v>
      </c>
      <c r="E24" s="7">
        <v>638</v>
      </c>
      <c r="F24" s="17">
        <f t="shared" si="0"/>
        <v>12760</v>
      </c>
      <c r="G24" s="17"/>
      <c r="H24" s="15"/>
      <c r="Z24"/>
      <c r="AA24"/>
      <c r="AB24"/>
      <c r="AC24"/>
    </row>
    <row r="25" spans="1:29" s="1" customFormat="1" ht="17" hidden="1" x14ac:dyDescent="0.2">
      <c r="A25" s="1" t="s">
        <v>157</v>
      </c>
      <c r="B25" s="62" t="s">
        <v>39</v>
      </c>
      <c r="C25" s="59" t="s">
        <v>13</v>
      </c>
      <c r="D25" s="63">
        <f>1*4</f>
        <v>4</v>
      </c>
      <c r="E25" s="7">
        <v>489</v>
      </c>
      <c r="F25" s="17">
        <f t="shared" si="0"/>
        <v>1956</v>
      </c>
      <c r="G25" s="17"/>
      <c r="H25" s="15"/>
      <c r="Z25"/>
      <c r="AA25"/>
      <c r="AB25"/>
      <c r="AC25"/>
    </row>
    <row r="26" spans="1:29" s="1" customFormat="1" ht="34" x14ac:dyDescent="0.2">
      <c r="A26" s="8" t="s">
        <v>27</v>
      </c>
      <c r="B26" s="53" t="s">
        <v>28</v>
      </c>
      <c r="C26" s="48" t="s">
        <v>24</v>
      </c>
      <c r="D26" s="49">
        <v>1</v>
      </c>
      <c r="E26" s="50">
        <v>306942</v>
      </c>
      <c r="F26" s="51">
        <f>SUM(F27:F29)</f>
        <v>306942.11764705885</v>
      </c>
      <c r="G26" s="51">
        <f>F26/$E$1</f>
        <v>4807.9905646469115</v>
      </c>
      <c r="H26" s="10" t="s">
        <v>168</v>
      </c>
      <c r="Z26"/>
      <c r="AA26"/>
      <c r="AB26"/>
      <c r="AC26"/>
    </row>
    <row r="27" spans="1:29" s="1" customFormat="1" hidden="1" x14ac:dyDescent="0.2">
      <c r="A27" s="45" t="s">
        <v>55</v>
      </c>
      <c r="B27" s="45" t="s">
        <v>56</v>
      </c>
      <c r="C27" s="45" t="s">
        <v>13</v>
      </c>
      <c r="D27" s="45">
        <f>66*8</f>
        <v>528</v>
      </c>
      <c r="E27" s="7">
        <v>34</v>
      </c>
      <c r="F27" s="17">
        <f>E27*D27</f>
        <v>17952</v>
      </c>
      <c r="G27" s="17"/>
      <c r="H27" s="7"/>
      <c r="Z27"/>
      <c r="AA27"/>
      <c r="AB27"/>
      <c r="AC27"/>
    </row>
    <row r="28" spans="1:29" s="1" customFormat="1" hidden="1" x14ac:dyDescent="0.2">
      <c r="A28" s="45" t="s">
        <v>40</v>
      </c>
      <c r="B28" s="45" t="s">
        <v>41</v>
      </c>
      <c r="C28" s="45" t="s">
        <v>32</v>
      </c>
      <c r="D28" s="45">
        <f>66*8</f>
        <v>528</v>
      </c>
      <c r="E28" s="7">
        <v>7</v>
      </c>
      <c r="F28" s="17">
        <f t="shared" ref="F28:F29" si="1">E28*D28</f>
        <v>3696</v>
      </c>
      <c r="G28" s="17"/>
      <c r="H28" s="7"/>
      <c r="Z28"/>
      <c r="AA28"/>
      <c r="AB28"/>
      <c r="AC28"/>
    </row>
    <row r="29" spans="1:29" s="1" customFormat="1" hidden="1" x14ac:dyDescent="0.2">
      <c r="A29" s="45" t="s">
        <v>42</v>
      </c>
      <c r="B29" s="45" t="s">
        <v>43</v>
      </c>
      <c r="C29" s="45" t="s">
        <v>24</v>
      </c>
      <c r="D29" s="45">
        <v>50000</v>
      </c>
      <c r="E29" s="20">
        <f>9700/1700</f>
        <v>5.7058823529411766</v>
      </c>
      <c r="F29" s="17">
        <f t="shared" si="1"/>
        <v>285294.11764705885</v>
      </c>
      <c r="G29" s="17"/>
      <c r="H29" s="7"/>
      <c r="Z29"/>
      <c r="AA29"/>
      <c r="AB29"/>
      <c r="AC29"/>
    </row>
    <row r="30" spans="1:29" s="1" customFormat="1" hidden="1" x14ac:dyDescent="0.2">
      <c r="A30" s="45"/>
      <c r="B30" s="45"/>
      <c r="C30" s="45"/>
      <c r="D30" s="45"/>
      <c r="E30" s="2" t="s">
        <v>99</v>
      </c>
      <c r="F30" s="46">
        <f>F5+F7+F10+F17+F18+F26</f>
        <v>1522850.5176470587</v>
      </c>
      <c r="G30" s="46">
        <f>G5+G7+G10+G17+G18+G26</f>
        <v>23854.174775173225</v>
      </c>
      <c r="H30" s="7"/>
      <c r="I30" s="81"/>
      <c r="Z30"/>
      <c r="AA30"/>
      <c r="AB30"/>
      <c r="AC30"/>
    </row>
    <row r="31" spans="1:29" s="1" customFormat="1" x14ac:dyDescent="0.2">
      <c r="A31" s="5">
        <v>4</v>
      </c>
      <c r="B31" s="5" t="s">
        <v>111</v>
      </c>
      <c r="C31" s="5"/>
      <c r="D31" s="5"/>
      <c r="E31" s="71"/>
      <c r="F31" s="67">
        <f>F32</f>
        <v>277000</v>
      </c>
      <c r="G31" s="67">
        <f>G32</f>
        <v>4338.9724310776937</v>
      </c>
      <c r="H31" s="7"/>
      <c r="Z31"/>
      <c r="AA31"/>
      <c r="AB31"/>
      <c r="AC31"/>
    </row>
    <row r="32" spans="1:29" s="1" customFormat="1" x14ac:dyDescent="0.2">
      <c r="A32" s="50">
        <v>4.0999999999999996</v>
      </c>
      <c r="B32" s="50" t="s">
        <v>118</v>
      </c>
      <c r="C32" s="83"/>
      <c r="D32" s="83"/>
      <c r="E32" s="84"/>
      <c r="F32" s="85">
        <f>SUM(F33:F37)</f>
        <v>277000</v>
      </c>
      <c r="G32" s="85">
        <f>SUM(G33:G37)</f>
        <v>4338.9724310776937</v>
      </c>
      <c r="H32" s="7"/>
      <c r="Z32"/>
      <c r="AA32"/>
      <c r="AB32"/>
      <c r="AC32"/>
    </row>
    <row r="33" spans="1:29" s="1" customFormat="1" hidden="1" x14ac:dyDescent="0.2">
      <c r="A33" s="45" t="s">
        <v>142</v>
      </c>
      <c r="B33" s="45" t="s">
        <v>112</v>
      </c>
      <c r="C33" s="45" t="s">
        <v>13</v>
      </c>
      <c r="D33" s="45">
        <v>4</v>
      </c>
      <c r="E33" s="20">
        <v>15000</v>
      </c>
      <c r="F33" s="17">
        <f>D33*E33</f>
        <v>60000</v>
      </c>
      <c r="G33" s="86">
        <f>F33/$E$1</f>
        <v>939.84962406015029</v>
      </c>
      <c r="H33" s="7"/>
      <c r="Z33"/>
      <c r="AA33"/>
      <c r="AB33"/>
      <c r="AC33"/>
    </row>
    <row r="34" spans="1:29" s="1" customFormat="1" hidden="1" x14ac:dyDescent="0.2">
      <c r="A34" s="45" t="s">
        <v>143</v>
      </c>
      <c r="B34" s="45" t="s">
        <v>113</v>
      </c>
      <c r="C34" s="45" t="s">
        <v>32</v>
      </c>
      <c r="D34" s="45">
        <v>4</v>
      </c>
      <c r="E34" s="20">
        <v>8000</v>
      </c>
      <c r="F34" s="17">
        <f t="shared" ref="F34:F37" si="2">D34*E34</f>
        <v>32000</v>
      </c>
      <c r="G34" s="86">
        <f t="shared" ref="G34:G37" si="3">F34/$E$1</f>
        <v>501.25313283208015</v>
      </c>
      <c r="H34" s="7"/>
      <c r="Z34"/>
      <c r="AA34"/>
      <c r="AB34"/>
      <c r="AC34"/>
    </row>
    <row r="35" spans="1:29" s="1" customFormat="1" hidden="1" x14ac:dyDescent="0.2">
      <c r="A35" s="45" t="s">
        <v>144</v>
      </c>
      <c r="B35" s="45" t="s">
        <v>114</v>
      </c>
      <c r="C35" s="45" t="s">
        <v>32</v>
      </c>
      <c r="D35" s="45">
        <v>4</v>
      </c>
      <c r="E35" s="20">
        <v>12000</v>
      </c>
      <c r="F35" s="17">
        <f t="shared" si="2"/>
        <v>48000</v>
      </c>
      <c r="G35" s="86">
        <f t="shared" si="3"/>
        <v>751.87969924812023</v>
      </c>
      <c r="H35" s="7"/>
      <c r="Z35"/>
      <c r="AA35"/>
      <c r="AB35"/>
      <c r="AC35"/>
    </row>
    <row r="36" spans="1:29" s="1" customFormat="1" hidden="1" x14ac:dyDescent="0.2">
      <c r="A36" s="45" t="s">
        <v>145</v>
      </c>
      <c r="B36" s="45" t="s">
        <v>115</v>
      </c>
      <c r="C36" s="45" t="s">
        <v>32</v>
      </c>
      <c r="D36" s="45">
        <v>1</v>
      </c>
      <c r="E36" s="20">
        <v>89000</v>
      </c>
      <c r="F36" s="17">
        <f t="shared" si="2"/>
        <v>89000</v>
      </c>
      <c r="G36" s="86">
        <f t="shared" si="3"/>
        <v>1394.110275689223</v>
      </c>
      <c r="H36" s="7"/>
      <c r="Z36"/>
      <c r="AA36"/>
      <c r="AB36"/>
      <c r="AC36"/>
    </row>
    <row r="37" spans="1:29" s="1" customFormat="1" hidden="1" x14ac:dyDescent="0.2">
      <c r="A37" s="45" t="s">
        <v>146</v>
      </c>
      <c r="B37" s="45" t="s">
        <v>116</v>
      </c>
      <c r="C37" s="45" t="s">
        <v>32</v>
      </c>
      <c r="D37" s="45">
        <v>4</v>
      </c>
      <c r="E37" s="7">
        <v>12000</v>
      </c>
      <c r="F37" s="17">
        <f t="shared" si="2"/>
        <v>48000</v>
      </c>
      <c r="G37" s="86">
        <f t="shared" si="3"/>
        <v>751.87969924812023</v>
      </c>
      <c r="H37" s="7"/>
      <c r="Z37"/>
      <c r="AA37"/>
      <c r="AB37"/>
      <c r="AC37"/>
    </row>
    <row r="38" spans="1:29" s="1" customFormat="1" x14ac:dyDescent="0.2">
      <c r="A38" s="45"/>
      <c r="B38" s="45"/>
      <c r="C38" s="45"/>
      <c r="D38" s="45"/>
      <c r="E38" s="2" t="s">
        <v>99</v>
      </c>
      <c r="F38" s="46">
        <f>SUM(F33:F37)</f>
        <v>277000</v>
      </c>
      <c r="G38" s="87">
        <f>SUM(G33:G37)</f>
        <v>4338.9724310776937</v>
      </c>
      <c r="H38" s="7"/>
      <c r="Z38"/>
      <c r="AA38"/>
      <c r="AB38"/>
      <c r="AC38"/>
    </row>
    <row r="39" spans="1:29" s="1" customFormat="1" x14ac:dyDescent="0.2">
      <c r="A39" s="45"/>
      <c r="B39" s="19"/>
      <c r="C39" s="19"/>
      <c r="D39" s="19"/>
      <c r="E39" s="73" t="s">
        <v>117</v>
      </c>
      <c r="F39" s="74">
        <f>SUM(F30+F38)</f>
        <v>1799850.5176470587</v>
      </c>
      <c r="G39" s="74">
        <f>SUM(G30+G38)</f>
        <v>28193.14720625092</v>
      </c>
      <c r="H39" s="19"/>
      <c r="Z39"/>
      <c r="AA39"/>
      <c r="AB39"/>
      <c r="AC39"/>
    </row>
    <row r="40" spans="1:29" s="1" customFormat="1" x14ac:dyDescent="0.2">
      <c r="A40"/>
      <c r="B40"/>
      <c r="C40"/>
      <c r="D40"/>
      <c r="E40"/>
      <c r="F40"/>
      <c r="G40" s="65"/>
      <c r="Z40"/>
      <c r="AA40"/>
      <c r="AB40"/>
      <c r="AC40"/>
    </row>
    <row r="41" spans="1:29" s="1" customFormat="1" x14ac:dyDescent="0.2">
      <c r="A41"/>
      <c r="B41"/>
      <c r="C41"/>
      <c r="D41"/>
      <c r="E41" s="64"/>
      <c r="F41" s="65"/>
      <c r="G41" s="65"/>
      <c r="Z41"/>
      <c r="AA41"/>
      <c r="AB41"/>
      <c r="AC41"/>
    </row>
    <row r="42" spans="1:29" s="1" customFormat="1" x14ac:dyDescent="0.2">
      <c r="A42"/>
      <c r="B42"/>
      <c r="C42"/>
      <c r="D42"/>
      <c r="E42" s="64"/>
      <c r="F42" s="65"/>
      <c r="G42" s="65"/>
      <c r="Z42"/>
      <c r="AA42"/>
      <c r="AB42"/>
      <c r="AC42"/>
    </row>
    <row r="43" spans="1:29" s="1" customFormat="1" x14ac:dyDescent="0.2">
      <c r="A43"/>
      <c r="B43"/>
      <c r="C43"/>
      <c r="D43"/>
      <c r="E43" s="64"/>
      <c r="F43" s="65"/>
      <c r="G43" s="65"/>
      <c r="Z43"/>
      <c r="AA43"/>
      <c r="AB43"/>
      <c r="AC43"/>
    </row>
    <row r="44" spans="1:29" s="1" customFormat="1" x14ac:dyDescent="0.2">
      <c r="A44"/>
      <c r="B44"/>
      <c r="C44"/>
      <c r="D44"/>
      <c r="E44" s="64"/>
      <c r="F44" s="65"/>
      <c r="G44" s="65"/>
      <c r="Z44"/>
      <c r="AA44"/>
      <c r="AB44"/>
      <c r="AC44"/>
    </row>
    <row r="45" spans="1:29" s="1" customFormat="1" ht="15" customHeight="1" x14ac:dyDescent="0.2">
      <c r="A45"/>
      <c r="B45"/>
      <c r="C45"/>
      <c r="D45"/>
      <c r="E45" s="21"/>
      <c r="F45" s="18"/>
      <c r="G45" s="18"/>
      <c r="Z45"/>
      <c r="AA45"/>
      <c r="AB45"/>
      <c r="AC45"/>
    </row>
    <row r="46" spans="1:29" s="1" customFormat="1" x14ac:dyDescent="0.2">
      <c r="B46" s="112" t="s">
        <v>29</v>
      </c>
      <c r="C46" s="112"/>
      <c r="D46" s="112"/>
      <c r="E46" s="112"/>
      <c r="F46" s="112"/>
      <c r="G46" s="112"/>
      <c r="H46" s="112"/>
      <c r="Z46"/>
      <c r="AA46"/>
      <c r="AB46"/>
      <c r="AC46"/>
    </row>
    <row r="47" spans="1:29" s="1" customFormat="1" x14ac:dyDescent="0.2">
      <c r="A47" s="42" t="s">
        <v>1</v>
      </c>
      <c r="B47" s="3" t="s">
        <v>2</v>
      </c>
      <c r="C47" s="3" t="s">
        <v>3</v>
      </c>
      <c r="D47" s="3" t="s">
        <v>4</v>
      </c>
      <c r="E47" s="2" t="s">
        <v>103</v>
      </c>
      <c r="F47" s="2" t="s">
        <v>107</v>
      </c>
      <c r="G47" s="2" t="s">
        <v>108</v>
      </c>
      <c r="H47" s="2"/>
      <c r="Z47"/>
      <c r="AA47"/>
      <c r="AB47"/>
      <c r="AC47"/>
    </row>
    <row r="48" spans="1:29" s="1" customFormat="1" x14ac:dyDescent="0.2">
      <c r="A48" s="43">
        <v>1</v>
      </c>
      <c r="B48" s="5" t="s">
        <v>6</v>
      </c>
      <c r="C48" s="6"/>
      <c r="D48" s="6"/>
      <c r="E48" s="6"/>
      <c r="F48" s="67">
        <f>SUM(F49)</f>
        <v>525000</v>
      </c>
      <c r="G48" s="68">
        <f>F48/$E$1</f>
        <v>8223.6842105263149</v>
      </c>
      <c r="H48" s="7"/>
      <c r="Z48"/>
      <c r="AA48"/>
      <c r="AB48"/>
      <c r="AC48"/>
    </row>
    <row r="49" spans="1:29" s="1" customFormat="1" ht="34" x14ac:dyDescent="0.2">
      <c r="A49" s="44" t="s">
        <v>7</v>
      </c>
      <c r="B49" s="47" t="s">
        <v>8</v>
      </c>
      <c r="C49" s="48" t="s">
        <v>9</v>
      </c>
      <c r="D49" s="49">
        <v>35</v>
      </c>
      <c r="E49" s="50">
        <v>15000</v>
      </c>
      <c r="F49" s="51">
        <f>D49*E49</f>
        <v>525000</v>
      </c>
      <c r="G49" s="51">
        <f>F49/$E$1</f>
        <v>8223.6842105263149</v>
      </c>
      <c r="H49" s="10" t="s">
        <v>10</v>
      </c>
      <c r="Z49"/>
      <c r="AA49"/>
      <c r="AB49"/>
      <c r="AC49"/>
    </row>
    <row r="50" spans="1:29" s="1" customFormat="1" ht="17" x14ac:dyDescent="0.2">
      <c r="A50" s="43">
        <v>2</v>
      </c>
      <c r="B50" s="11" t="s">
        <v>140</v>
      </c>
      <c r="C50" s="12"/>
      <c r="D50" s="16"/>
      <c r="E50" s="16"/>
      <c r="F50" s="67">
        <f>SUM(F51)</f>
        <v>584289.4</v>
      </c>
      <c r="G50" s="68">
        <f>F50/$E$1</f>
        <v>9152.4028822055134</v>
      </c>
      <c r="H50" s="7"/>
      <c r="Z50"/>
      <c r="AA50"/>
      <c r="AB50"/>
      <c r="AC50"/>
    </row>
    <row r="51" spans="1:29" s="1" customFormat="1" ht="51" x14ac:dyDescent="0.2">
      <c r="A51" s="44" t="s">
        <v>11</v>
      </c>
      <c r="B51" s="52" t="s">
        <v>30</v>
      </c>
      <c r="C51" s="48" t="s">
        <v>13</v>
      </c>
      <c r="D51" s="49">
        <v>1</v>
      </c>
      <c r="E51" s="57">
        <v>584289.4</v>
      </c>
      <c r="F51" s="51">
        <f t="shared" ref="F51" si="4">D51*E51</f>
        <v>584289.4</v>
      </c>
      <c r="G51" s="51">
        <f>F51/$E$1</f>
        <v>9152.4028822055134</v>
      </c>
      <c r="H51" s="14" t="s">
        <v>169</v>
      </c>
      <c r="Z51"/>
      <c r="AA51"/>
      <c r="AB51"/>
      <c r="AC51"/>
    </row>
    <row r="52" spans="1:29" s="1" customFormat="1" ht="34" x14ac:dyDescent="0.2">
      <c r="A52" s="44" t="s">
        <v>14</v>
      </c>
      <c r="B52" s="53" t="s">
        <v>15</v>
      </c>
      <c r="C52" s="48" t="s">
        <v>16</v>
      </c>
      <c r="D52" s="54">
        <v>8.8000000000000007</v>
      </c>
      <c r="E52" s="113" t="s">
        <v>57</v>
      </c>
      <c r="F52" s="113"/>
      <c r="G52" s="50"/>
      <c r="H52" s="9" t="s">
        <v>31</v>
      </c>
      <c r="Z52"/>
      <c r="AA52"/>
      <c r="AB52"/>
      <c r="AC52"/>
    </row>
    <row r="53" spans="1:29" s="1" customFormat="1" ht="17" x14ac:dyDescent="0.2">
      <c r="A53" s="43">
        <v>3</v>
      </c>
      <c r="B53" s="11" t="s">
        <v>18</v>
      </c>
      <c r="C53" s="12"/>
      <c r="D53" s="16"/>
      <c r="E53" s="16"/>
      <c r="F53" s="69">
        <f>F54+F61+F62+F70</f>
        <v>424231.11764705885</v>
      </c>
      <c r="G53" s="70">
        <v>8223.68</v>
      </c>
      <c r="H53" s="7"/>
      <c r="Z53"/>
      <c r="AA53"/>
      <c r="AB53"/>
      <c r="AC53"/>
    </row>
    <row r="54" spans="1:29" s="1" customFormat="1" ht="34" x14ac:dyDescent="0.2">
      <c r="A54" s="44" t="s">
        <v>19</v>
      </c>
      <c r="B54" s="55" t="s">
        <v>20</v>
      </c>
      <c r="C54" s="48" t="s">
        <v>13</v>
      </c>
      <c r="D54" s="49">
        <v>1</v>
      </c>
      <c r="E54" s="50">
        <v>43511</v>
      </c>
      <c r="F54" s="51">
        <f>SUM(F55:F60)</f>
        <v>43511</v>
      </c>
      <c r="G54" s="51">
        <f>F54/$E$1</f>
        <v>681.56328320802004</v>
      </c>
      <c r="H54" s="15" t="s">
        <v>21</v>
      </c>
      <c r="Z54"/>
      <c r="AA54"/>
      <c r="AB54"/>
      <c r="AC54"/>
    </row>
    <row r="55" spans="1:29" s="1" customFormat="1" ht="17" hidden="1" x14ac:dyDescent="0.2">
      <c r="A55" s="75" t="s">
        <v>33</v>
      </c>
      <c r="B55" s="58" t="s">
        <v>104</v>
      </c>
      <c r="C55" s="59" t="s">
        <v>13</v>
      </c>
      <c r="D55" s="60">
        <v>1</v>
      </c>
      <c r="E55" s="7">
        <v>31500</v>
      </c>
      <c r="F55" s="17">
        <f>D55*E55</f>
        <v>31500</v>
      </c>
      <c r="G55" s="7"/>
      <c r="H55" s="15"/>
      <c r="Z55"/>
      <c r="AA55"/>
      <c r="AB55"/>
      <c r="AC55"/>
    </row>
    <row r="56" spans="1:29" s="1" customFormat="1" ht="17" hidden="1" x14ac:dyDescent="0.2">
      <c r="A56" s="75" t="s">
        <v>34</v>
      </c>
      <c r="B56" s="58" t="s">
        <v>105</v>
      </c>
      <c r="C56" s="59" t="s">
        <v>32</v>
      </c>
      <c r="D56" s="60">
        <v>1</v>
      </c>
      <c r="E56" s="7">
        <v>4108</v>
      </c>
      <c r="F56" s="17">
        <f t="shared" ref="F56:F61" si="5">D56*E56</f>
        <v>4108</v>
      </c>
      <c r="G56" s="7"/>
      <c r="H56" s="15"/>
      <c r="Z56"/>
      <c r="AA56"/>
      <c r="AB56"/>
      <c r="AC56"/>
    </row>
    <row r="57" spans="1:29" s="1" customFormat="1" ht="17" hidden="1" x14ac:dyDescent="0.2">
      <c r="A57" s="75" t="s">
        <v>36</v>
      </c>
      <c r="B57" s="58" t="s">
        <v>106</v>
      </c>
      <c r="C57" s="59" t="s">
        <v>13</v>
      </c>
      <c r="D57" s="60">
        <v>2</v>
      </c>
      <c r="E57" s="7">
        <v>587</v>
      </c>
      <c r="F57" s="17">
        <f t="shared" si="5"/>
        <v>1174</v>
      </c>
      <c r="G57" s="7"/>
      <c r="H57" s="15"/>
      <c r="Z57"/>
      <c r="AA57"/>
      <c r="AB57"/>
      <c r="AC57"/>
    </row>
    <row r="58" spans="1:29" s="1" customFormat="1" ht="17" hidden="1" x14ac:dyDescent="0.2">
      <c r="A58" s="75" t="s">
        <v>37</v>
      </c>
      <c r="B58" s="61" t="s">
        <v>53</v>
      </c>
      <c r="C58" s="59" t="s">
        <v>13</v>
      </c>
      <c r="D58" s="60">
        <v>1</v>
      </c>
      <c r="E58" s="7">
        <v>5342</v>
      </c>
      <c r="F58" s="17">
        <f t="shared" si="5"/>
        <v>5342</v>
      </c>
      <c r="G58" s="7"/>
      <c r="H58" s="15"/>
      <c r="Z58"/>
      <c r="AA58"/>
      <c r="AB58"/>
      <c r="AC58"/>
    </row>
    <row r="59" spans="1:29" s="1" customFormat="1" ht="17" hidden="1" x14ac:dyDescent="0.2">
      <c r="A59" s="75" t="s">
        <v>59</v>
      </c>
      <c r="B59" s="61" t="s">
        <v>39</v>
      </c>
      <c r="C59" s="59"/>
      <c r="D59" s="60">
        <v>1</v>
      </c>
      <c r="E59" s="7">
        <v>489</v>
      </c>
      <c r="F59" s="17">
        <f t="shared" si="5"/>
        <v>489</v>
      </c>
      <c r="G59" s="7"/>
      <c r="H59" s="15"/>
      <c r="Z59"/>
      <c r="AA59"/>
      <c r="AB59"/>
      <c r="AC59"/>
    </row>
    <row r="60" spans="1:29" s="1" customFormat="1" ht="17" hidden="1" x14ac:dyDescent="0.2">
      <c r="A60" s="75" t="s">
        <v>60</v>
      </c>
      <c r="B60" s="58" t="s">
        <v>54</v>
      </c>
      <c r="C60" s="59" t="s">
        <v>13</v>
      </c>
      <c r="D60" s="60">
        <v>2</v>
      </c>
      <c r="E60" s="7">
        <v>449</v>
      </c>
      <c r="F60" s="17">
        <f t="shared" si="5"/>
        <v>898</v>
      </c>
      <c r="G60" s="7"/>
      <c r="H60" s="15"/>
      <c r="Z60"/>
      <c r="AA60"/>
      <c r="AB60"/>
      <c r="AC60"/>
    </row>
    <row r="61" spans="1:29" s="1" customFormat="1" ht="34" x14ac:dyDescent="0.2">
      <c r="A61" s="44" t="s">
        <v>22</v>
      </c>
      <c r="B61" s="55" t="s">
        <v>23</v>
      </c>
      <c r="C61" s="48" t="s">
        <v>24</v>
      </c>
      <c r="D61" s="49">
        <v>230</v>
      </c>
      <c r="E61" s="50">
        <v>97</v>
      </c>
      <c r="F61" s="50">
        <f t="shared" si="5"/>
        <v>22310</v>
      </c>
      <c r="G61" s="51">
        <f>F61/$E$1</f>
        <v>349.46741854636588</v>
      </c>
      <c r="H61" s="7"/>
      <c r="Z61"/>
      <c r="AA61"/>
      <c r="AB61"/>
      <c r="AC61"/>
    </row>
    <row r="62" spans="1:29" s="1" customFormat="1" ht="34" x14ac:dyDescent="0.2">
      <c r="A62" s="44" t="s">
        <v>25</v>
      </c>
      <c r="B62" s="55" t="s">
        <v>26</v>
      </c>
      <c r="C62" s="48" t="s">
        <v>24</v>
      </c>
      <c r="D62" s="49">
        <v>264</v>
      </c>
      <c r="E62" s="50">
        <v>51648</v>
      </c>
      <c r="F62" s="51">
        <f>SUM(F63:F69)</f>
        <v>51468</v>
      </c>
      <c r="G62" s="51">
        <f>F62/$E$1</f>
        <v>806.20300751879699</v>
      </c>
      <c r="H62" s="15" t="s">
        <v>166</v>
      </c>
      <c r="Z62"/>
      <c r="AA62"/>
      <c r="AB62"/>
      <c r="AC62"/>
    </row>
    <row r="63" spans="1:29" s="1" customFormat="1" ht="16" hidden="1" customHeight="1" x14ac:dyDescent="0.2">
      <c r="A63" s="44" t="s">
        <v>44</v>
      </c>
      <c r="B63" s="62" t="s">
        <v>102</v>
      </c>
      <c r="C63" s="59" t="s">
        <v>24</v>
      </c>
      <c r="D63" s="63">
        <v>264</v>
      </c>
      <c r="E63" s="20">
        <v>68</v>
      </c>
      <c r="F63" s="17">
        <f>D63*E63</f>
        <v>17952</v>
      </c>
      <c r="G63" s="7"/>
      <c r="H63" s="15"/>
      <c r="Z63"/>
      <c r="AA63"/>
      <c r="AB63"/>
      <c r="AC63"/>
    </row>
    <row r="64" spans="1:29" s="1" customFormat="1" ht="17" hidden="1" x14ac:dyDescent="0.2">
      <c r="A64" s="44" t="s">
        <v>45</v>
      </c>
      <c r="B64" s="62" t="s">
        <v>35</v>
      </c>
      <c r="C64" s="59" t="s">
        <v>13</v>
      </c>
      <c r="D64" s="63">
        <f>1*4</f>
        <v>4</v>
      </c>
      <c r="E64" s="7">
        <v>785</v>
      </c>
      <c r="F64" s="17">
        <f t="shared" ref="F64:F69" si="6">D64*E64</f>
        <v>3140</v>
      </c>
      <c r="G64" s="7"/>
      <c r="H64" s="15"/>
      <c r="Z64"/>
      <c r="AA64"/>
      <c r="AB64"/>
      <c r="AC64"/>
    </row>
    <row r="65" spans="1:29" s="1" customFormat="1" ht="17" hidden="1" x14ac:dyDescent="0.2">
      <c r="A65" s="44" t="s">
        <v>46</v>
      </c>
      <c r="B65" s="62" t="s">
        <v>50</v>
      </c>
      <c r="C65" s="59" t="s">
        <v>13</v>
      </c>
      <c r="D65" s="63">
        <f>1*4</f>
        <v>4</v>
      </c>
      <c r="E65" s="7">
        <v>750</v>
      </c>
      <c r="F65" s="17">
        <f t="shared" si="6"/>
        <v>3000</v>
      </c>
      <c r="G65" s="7"/>
      <c r="H65" s="15"/>
      <c r="Z65"/>
      <c r="AA65"/>
      <c r="AB65"/>
      <c r="AC65"/>
    </row>
    <row r="66" spans="1:29" s="1" customFormat="1" ht="17" hidden="1" x14ac:dyDescent="0.2">
      <c r="A66" s="44" t="s">
        <v>47</v>
      </c>
      <c r="B66" s="62" t="s">
        <v>38</v>
      </c>
      <c r="C66" s="59" t="s">
        <v>13</v>
      </c>
      <c r="D66" s="63">
        <f>5*4</f>
        <v>20</v>
      </c>
      <c r="E66" s="7">
        <v>474</v>
      </c>
      <c r="F66" s="17">
        <f t="shared" si="6"/>
        <v>9480</v>
      </c>
      <c r="G66" s="7"/>
      <c r="H66" s="15"/>
      <c r="Z66"/>
      <c r="AA66"/>
      <c r="AB66"/>
      <c r="AC66"/>
    </row>
    <row r="67" spans="1:29" s="1" customFormat="1" ht="17" hidden="1" x14ac:dyDescent="0.2">
      <c r="A67" s="44" t="s">
        <v>48</v>
      </c>
      <c r="B67" s="62" t="s">
        <v>51</v>
      </c>
      <c r="C67" s="59" t="s">
        <v>13</v>
      </c>
      <c r="D67" s="63">
        <f>5*4</f>
        <v>20</v>
      </c>
      <c r="E67" s="7">
        <v>159</v>
      </c>
      <c r="F67" s="17">
        <f t="shared" si="6"/>
        <v>3180</v>
      </c>
      <c r="G67" s="7"/>
      <c r="H67" s="15"/>
      <c r="Z67"/>
      <c r="AA67"/>
      <c r="AB67"/>
      <c r="AC67"/>
    </row>
    <row r="68" spans="1:29" s="1" customFormat="1" ht="17" hidden="1" x14ac:dyDescent="0.2">
      <c r="A68" s="44" t="s">
        <v>49</v>
      </c>
      <c r="B68" s="62" t="s">
        <v>52</v>
      </c>
      <c r="C68" s="59" t="s">
        <v>13</v>
      </c>
      <c r="D68" s="63">
        <f>5*4</f>
        <v>20</v>
      </c>
      <c r="E68" s="7">
        <v>638</v>
      </c>
      <c r="F68" s="17">
        <f t="shared" si="6"/>
        <v>12760</v>
      </c>
      <c r="G68" s="7"/>
      <c r="H68" s="15"/>
      <c r="Z68"/>
      <c r="AA68"/>
      <c r="AB68"/>
      <c r="AC68"/>
    </row>
    <row r="69" spans="1:29" s="1" customFormat="1" ht="17" hidden="1" x14ac:dyDescent="0.2">
      <c r="A69" s="44" t="s">
        <v>157</v>
      </c>
      <c r="B69" s="62" t="s">
        <v>39</v>
      </c>
      <c r="C69" s="59" t="s">
        <v>13</v>
      </c>
      <c r="D69" s="63">
        <f>1*4</f>
        <v>4</v>
      </c>
      <c r="E69" s="7">
        <v>489</v>
      </c>
      <c r="F69" s="17">
        <f t="shared" si="6"/>
        <v>1956</v>
      </c>
      <c r="G69" s="7"/>
      <c r="H69" s="15"/>
      <c r="Z69"/>
      <c r="AA69"/>
      <c r="AB69"/>
      <c r="AC69"/>
    </row>
    <row r="70" spans="1:29" s="1" customFormat="1" ht="34" x14ac:dyDescent="0.2">
      <c r="A70" s="44" t="s">
        <v>27</v>
      </c>
      <c r="B70" s="53" t="s">
        <v>28</v>
      </c>
      <c r="C70" s="48" t="s">
        <v>24</v>
      </c>
      <c r="D70" s="49">
        <v>1</v>
      </c>
      <c r="E70" s="50">
        <v>306942</v>
      </c>
      <c r="F70" s="51">
        <f>SUM(F71:F73)</f>
        <v>306942.11764705885</v>
      </c>
      <c r="G70" s="51">
        <f>F70/$E$1</f>
        <v>4807.9905646469115</v>
      </c>
      <c r="H70" s="10" t="s">
        <v>167</v>
      </c>
      <c r="Z70"/>
      <c r="AA70"/>
      <c r="AB70"/>
      <c r="AC70"/>
    </row>
    <row r="71" spans="1:29" hidden="1" x14ac:dyDescent="0.2">
      <c r="A71" s="1" t="s">
        <v>55</v>
      </c>
      <c r="B71" s="45" t="s">
        <v>56</v>
      </c>
      <c r="C71" s="45" t="s">
        <v>13</v>
      </c>
      <c r="D71" s="45">
        <f>66*8</f>
        <v>528</v>
      </c>
      <c r="E71" s="7">
        <v>34</v>
      </c>
      <c r="F71" s="17">
        <f>E71*D71</f>
        <v>17952</v>
      </c>
      <c r="G71" s="17"/>
      <c r="H71" s="10"/>
    </row>
    <row r="72" spans="1:29" hidden="1" x14ac:dyDescent="0.2">
      <c r="A72" s="1" t="s">
        <v>40</v>
      </c>
      <c r="B72" s="45" t="s">
        <v>41</v>
      </c>
      <c r="C72" s="45" t="s">
        <v>32</v>
      </c>
      <c r="D72" s="45">
        <f>66*8</f>
        <v>528</v>
      </c>
      <c r="E72" s="7">
        <v>7</v>
      </c>
      <c r="F72" s="17">
        <f t="shared" ref="F72:F73" si="7">E72*D72</f>
        <v>3696</v>
      </c>
      <c r="G72" s="17"/>
      <c r="H72" s="10"/>
    </row>
    <row r="73" spans="1:29" hidden="1" x14ac:dyDescent="0.2">
      <c r="A73" s="1" t="s">
        <v>42</v>
      </c>
      <c r="B73" s="45" t="s">
        <v>43</v>
      </c>
      <c r="C73" s="45" t="s">
        <v>24</v>
      </c>
      <c r="D73" s="45">
        <v>50000</v>
      </c>
      <c r="E73" s="20">
        <f>9700/1700</f>
        <v>5.7058823529411766</v>
      </c>
      <c r="F73" s="17">
        <f t="shared" si="7"/>
        <v>285294.11764705885</v>
      </c>
      <c r="G73" s="17"/>
      <c r="H73" s="10"/>
    </row>
    <row r="74" spans="1:29" x14ac:dyDescent="0.2">
      <c r="B74" s="45"/>
      <c r="C74" s="45"/>
      <c r="D74" s="45"/>
      <c r="E74" s="2" t="s">
        <v>58</v>
      </c>
      <c r="F74" s="46">
        <f>F49+F51+F54+F61+F62+F70</f>
        <v>1533520.5176470587</v>
      </c>
      <c r="G74" s="46">
        <f>G49+G51+G54+G61+G62+G70</f>
        <v>24021.311366651924</v>
      </c>
      <c r="H74" s="7"/>
    </row>
  </sheetData>
  <mergeCells count="4">
    <mergeCell ref="A2:H2"/>
    <mergeCell ref="E8:F8"/>
    <mergeCell ref="E52:F52"/>
    <mergeCell ref="B46:H46"/>
  </mergeCells>
  <phoneticPr fontId="12" type="noConversion"/>
  <pageMargins left="0.25" right="0.25" top="0.75" bottom="0.75" header="0.3" footer="0.3"/>
  <pageSetup paperSize="9" scale="2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CB83-52B0-784F-8D85-4B8EDAE3AEFB}">
  <dimension ref="A1:Q41"/>
  <sheetViews>
    <sheetView topLeftCell="A24" zoomScale="130" zoomScaleNormal="130" workbookViewId="0">
      <selection activeCell="H8" sqref="H8"/>
    </sheetView>
  </sheetViews>
  <sheetFormatPr baseColWidth="10" defaultRowHeight="16" x14ac:dyDescent="0.2"/>
  <cols>
    <col min="1" max="1" width="16" customWidth="1"/>
    <col min="2" max="4" width="10.83203125" customWidth="1"/>
    <col min="5" max="5" width="13.6640625" customWidth="1"/>
    <col min="6" max="6" width="12.1640625" customWidth="1"/>
    <col min="7" max="7" width="10.83203125" customWidth="1"/>
    <col min="12" max="12" width="11.6640625" bestFit="1" customWidth="1"/>
  </cols>
  <sheetData>
    <row r="1" spans="1:15" ht="17" thickBot="1" x14ac:dyDescent="0.25">
      <c r="E1" t="s">
        <v>134</v>
      </c>
      <c r="F1">
        <v>63.50902</v>
      </c>
      <c r="G1" t="s">
        <v>135</v>
      </c>
    </row>
    <row r="2" spans="1:15" ht="17" thickBot="1" x14ac:dyDescent="0.25">
      <c r="A2" s="114" t="s">
        <v>159</v>
      </c>
      <c r="B2" s="115"/>
      <c r="C2" s="115"/>
      <c r="D2" s="115"/>
      <c r="E2" s="115"/>
      <c r="F2" s="116"/>
      <c r="J2" s="114" t="s">
        <v>170</v>
      </c>
      <c r="K2" s="115"/>
      <c r="L2" s="115"/>
      <c r="M2" s="115"/>
      <c r="N2" s="115"/>
      <c r="O2" s="116"/>
    </row>
    <row r="3" spans="1:15" ht="17" thickBot="1" x14ac:dyDescent="0.25">
      <c r="A3" s="22" t="s">
        <v>61</v>
      </c>
      <c r="B3" s="23" t="s">
        <v>62</v>
      </c>
      <c r="C3" s="121" t="s">
        <v>171</v>
      </c>
      <c r="D3" s="122"/>
      <c r="E3" s="122"/>
      <c r="F3" s="123"/>
      <c r="J3" s="22" t="s">
        <v>61</v>
      </c>
      <c r="K3" s="23" t="s">
        <v>62</v>
      </c>
      <c r="L3" s="121" t="s">
        <v>164</v>
      </c>
      <c r="M3" s="122"/>
      <c r="N3" s="122"/>
      <c r="O3" s="123"/>
    </row>
    <row r="4" spans="1:15" ht="17" thickBot="1" x14ac:dyDescent="0.25">
      <c r="A4" s="22" t="s">
        <v>63</v>
      </c>
      <c r="B4" s="23" t="s">
        <v>138</v>
      </c>
      <c r="C4" s="124"/>
      <c r="D4" s="125"/>
      <c r="E4" s="125"/>
      <c r="F4" s="126"/>
      <c r="J4" s="22" t="s">
        <v>63</v>
      </c>
      <c r="K4" s="23" t="s">
        <v>137</v>
      </c>
      <c r="L4" s="124"/>
      <c r="M4" s="125"/>
      <c r="N4" s="125"/>
      <c r="O4" s="126"/>
    </row>
    <row r="5" spans="1:15" ht="36" customHeight="1" thickBot="1" x14ac:dyDescent="0.25">
      <c r="A5" s="22" t="s">
        <v>64</v>
      </c>
      <c r="B5" s="23" t="s">
        <v>163</v>
      </c>
      <c r="C5" s="124"/>
      <c r="D5" s="125"/>
      <c r="E5" s="125"/>
      <c r="F5" s="126"/>
      <c r="J5" s="22" t="s">
        <v>64</v>
      </c>
      <c r="K5" s="23" t="s">
        <v>162</v>
      </c>
      <c r="L5" s="124"/>
      <c r="M5" s="125"/>
      <c r="N5" s="125"/>
      <c r="O5" s="126"/>
    </row>
    <row r="6" spans="1:15" ht="33" thickBot="1" x14ac:dyDescent="0.25">
      <c r="A6" s="22" t="s">
        <v>65</v>
      </c>
      <c r="B6" s="24">
        <v>25</v>
      </c>
      <c r="C6" s="124"/>
      <c r="D6" s="125"/>
      <c r="E6" s="125"/>
      <c r="F6" s="126"/>
      <c r="J6" s="22" t="s">
        <v>65</v>
      </c>
      <c r="K6" s="105">
        <v>25</v>
      </c>
      <c r="L6" s="124"/>
      <c r="M6" s="125"/>
      <c r="N6" s="125"/>
      <c r="O6" s="126"/>
    </row>
    <row r="7" spans="1:15" ht="33" thickBot="1" x14ac:dyDescent="0.25">
      <c r="A7" s="41" t="s">
        <v>100</v>
      </c>
      <c r="B7" s="82" t="s">
        <v>101</v>
      </c>
      <c r="C7" s="124"/>
      <c r="D7" s="125"/>
      <c r="E7" s="125"/>
      <c r="F7" s="126"/>
      <c r="J7" s="41" t="s">
        <v>100</v>
      </c>
      <c r="K7" s="82" t="s">
        <v>139</v>
      </c>
      <c r="L7" s="124"/>
      <c r="M7" s="125"/>
      <c r="N7" s="125"/>
      <c r="O7" s="126"/>
    </row>
    <row r="8" spans="1:15" x14ac:dyDescent="0.2">
      <c r="A8" s="117"/>
      <c r="B8" s="119" t="s">
        <v>3</v>
      </c>
      <c r="C8" s="119" t="s">
        <v>66</v>
      </c>
      <c r="D8" s="119" t="s">
        <v>67</v>
      </c>
      <c r="E8" s="119" t="s">
        <v>68</v>
      </c>
      <c r="F8" s="25" t="s">
        <v>69</v>
      </c>
      <c r="J8" s="117"/>
      <c r="K8" s="119" t="s">
        <v>3</v>
      </c>
      <c r="L8" s="119" t="s">
        <v>66</v>
      </c>
      <c r="M8" s="119" t="s">
        <v>67</v>
      </c>
      <c r="N8" s="119" t="s">
        <v>68</v>
      </c>
      <c r="O8" s="25" t="s">
        <v>69</v>
      </c>
    </row>
    <row r="9" spans="1:15" ht="49" thickBot="1" x14ac:dyDescent="0.25">
      <c r="A9" s="118"/>
      <c r="B9" s="120"/>
      <c r="C9" s="120"/>
      <c r="D9" s="120"/>
      <c r="E9" s="120"/>
      <c r="F9" s="26" t="s">
        <v>136</v>
      </c>
      <c r="J9" s="118"/>
      <c r="K9" s="120"/>
      <c r="L9" s="120"/>
      <c r="M9" s="120"/>
      <c r="N9" s="120"/>
      <c r="O9" s="26" t="s">
        <v>136</v>
      </c>
    </row>
    <row r="10" spans="1:15" ht="17" thickBot="1" x14ac:dyDescent="0.25">
      <c r="A10" s="114" t="s">
        <v>70</v>
      </c>
      <c r="B10" s="115"/>
      <c r="C10" s="115"/>
      <c r="D10" s="115"/>
      <c r="E10" s="115"/>
      <c r="F10" s="116"/>
      <c r="J10" s="114" t="s">
        <v>70</v>
      </c>
      <c r="K10" s="115"/>
      <c r="L10" s="115"/>
      <c r="M10" s="115"/>
      <c r="N10" s="115"/>
      <c r="O10" s="116"/>
    </row>
    <row r="11" spans="1:15" ht="17" thickBot="1" x14ac:dyDescent="0.25">
      <c r="A11" s="22" t="s">
        <v>172</v>
      </c>
      <c r="B11" s="23" t="s">
        <v>71</v>
      </c>
      <c r="C11" s="24">
        <v>85.34</v>
      </c>
      <c r="D11" s="24">
        <v>540</v>
      </c>
      <c r="E11" s="24">
        <f>C11*D11</f>
        <v>46083.6</v>
      </c>
      <c r="F11" s="35">
        <f>E11/$F$1</f>
        <v>725.62291151713566</v>
      </c>
      <c r="J11" s="22" t="s">
        <v>172</v>
      </c>
      <c r="K11" s="23" t="s">
        <v>71</v>
      </c>
      <c r="L11" s="24">
        <v>85.34</v>
      </c>
      <c r="M11" s="24">
        <v>0</v>
      </c>
      <c r="N11" s="24">
        <f>L11*M11</f>
        <v>0</v>
      </c>
      <c r="O11" s="98">
        <f>N11/$F$1</f>
        <v>0</v>
      </c>
    </row>
    <row r="12" spans="1:15" ht="17" thickBot="1" x14ac:dyDescent="0.25">
      <c r="A12" s="22" t="s">
        <v>72</v>
      </c>
      <c r="B12" s="23" t="s">
        <v>71</v>
      </c>
      <c r="C12" s="24">
        <v>300</v>
      </c>
      <c r="D12" s="24">
        <v>3</v>
      </c>
      <c r="E12" s="24">
        <f t="shared" ref="E12:E13" si="0">C12*D12</f>
        <v>900</v>
      </c>
      <c r="F12" s="35">
        <f>E12/$F$1</f>
        <v>14.171215364368715</v>
      </c>
      <c r="J12" s="22" t="s">
        <v>72</v>
      </c>
      <c r="K12" s="23" t="s">
        <v>71</v>
      </c>
      <c r="L12" s="24">
        <v>300</v>
      </c>
      <c r="M12" s="24">
        <v>0</v>
      </c>
      <c r="N12" s="24">
        <f t="shared" ref="N12:N13" si="1">L12*M12</f>
        <v>0</v>
      </c>
      <c r="O12" s="98">
        <f>N12/$F$1</f>
        <v>0</v>
      </c>
    </row>
    <row r="13" spans="1:15" ht="33" thickBot="1" x14ac:dyDescent="0.25">
      <c r="A13" s="22" t="s">
        <v>73</v>
      </c>
      <c r="B13" s="23" t="s">
        <v>74</v>
      </c>
      <c r="C13" s="24">
        <v>2000</v>
      </c>
      <c r="D13" s="24">
        <v>0.25</v>
      </c>
      <c r="E13" s="24">
        <f t="shared" si="0"/>
        <v>500</v>
      </c>
      <c r="F13" s="35">
        <f>E13/$F$1</f>
        <v>7.8728974246492864</v>
      </c>
      <c r="J13" s="22" t="s">
        <v>73</v>
      </c>
      <c r="K13" s="23" t="s">
        <v>74</v>
      </c>
      <c r="L13" s="24">
        <v>2000</v>
      </c>
      <c r="M13" s="24">
        <f>0.25*2*2</f>
        <v>1</v>
      </c>
      <c r="N13" s="24">
        <f t="shared" si="1"/>
        <v>2000</v>
      </c>
      <c r="O13" s="98">
        <f>N13/$F$1</f>
        <v>31.491589698597146</v>
      </c>
    </row>
    <row r="14" spans="1:15" ht="17" thickBot="1" x14ac:dyDescent="0.25">
      <c r="A14" s="27"/>
      <c r="B14" s="28"/>
      <c r="C14" s="28"/>
      <c r="D14" s="29" t="s">
        <v>75</v>
      </c>
      <c r="E14" s="36">
        <f>SUM(E11:E13)</f>
        <v>47483.6</v>
      </c>
      <c r="F14" s="36">
        <f>SUM(F11:F13)</f>
        <v>747.66702430615362</v>
      </c>
      <c r="J14" s="27"/>
      <c r="K14" s="28"/>
      <c r="L14" s="28"/>
      <c r="M14" s="29" t="s">
        <v>75</v>
      </c>
      <c r="N14" s="36">
        <f>SUM(N11:N13)</f>
        <v>2000</v>
      </c>
      <c r="O14" s="104">
        <f>SUM(O11:O13)</f>
        <v>31.491589698597146</v>
      </c>
    </row>
    <row r="15" spans="1:15" ht="17" thickBot="1" x14ac:dyDescent="0.25">
      <c r="A15" s="114" t="s">
        <v>76</v>
      </c>
      <c r="B15" s="115"/>
      <c r="C15" s="115"/>
      <c r="D15" s="115"/>
      <c r="E15" s="115"/>
      <c r="F15" s="116"/>
      <c r="J15" s="114" t="s">
        <v>76</v>
      </c>
      <c r="K15" s="115"/>
      <c r="L15" s="115"/>
      <c r="M15" s="115"/>
      <c r="N15" s="115"/>
      <c r="O15" s="116"/>
    </row>
    <row r="16" spans="1:15" ht="17" thickBot="1" x14ac:dyDescent="0.25">
      <c r="A16" s="22" t="s">
        <v>77</v>
      </c>
      <c r="B16" s="23" t="s">
        <v>78</v>
      </c>
      <c r="C16" s="24">
        <v>68</v>
      </c>
      <c r="D16" s="24">
        <v>4000</v>
      </c>
      <c r="E16" s="24">
        <f>C16*D16</f>
        <v>272000</v>
      </c>
      <c r="F16" s="35">
        <f t="shared" ref="F16:F23" si="2">E16/$F$1</f>
        <v>4282.8561990092112</v>
      </c>
      <c r="J16" s="22" t="s">
        <v>77</v>
      </c>
      <c r="K16" s="23" t="s">
        <v>78</v>
      </c>
      <c r="L16" s="24">
        <v>68</v>
      </c>
      <c r="M16" s="24">
        <f>4000*2*2</f>
        <v>16000</v>
      </c>
      <c r="N16" s="24">
        <f>L16*M16</f>
        <v>1088000</v>
      </c>
      <c r="O16" s="98">
        <f t="shared" ref="O16:O23" si="3">N16/$F$1</f>
        <v>17131.424796036845</v>
      </c>
    </row>
    <row r="17" spans="1:17" ht="49" thickBot="1" x14ac:dyDescent="0.25">
      <c r="A17" s="22" t="s">
        <v>79</v>
      </c>
      <c r="B17" s="23" t="s">
        <v>80</v>
      </c>
      <c r="C17" s="24">
        <v>8000</v>
      </c>
      <c r="D17" s="24">
        <v>1</v>
      </c>
      <c r="E17" s="24">
        <f t="shared" ref="E17:E23" si="4">C17*D17</f>
        <v>8000</v>
      </c>
      <c r="F17" s="35">
        <f t="shared" si="2"/>
        <v>125.96635879438858</v>
      </c>
      <c r="J17" s="22" t="s">
        <v>79</v>
      </c>
      <c r="K17" s="23" t="s">
        <v>80</v>
      </c>
      <c r="L17" s="24">
        <v>8000</v>
      </c>
      <c r="M17" s="24">
        <f>1*2*2</f>
        <v>4</v>
      </c>
      <c r="N17" s="24">
        <f t="shared" ref="N17:N23" si="5">L17*M17</f>
        <v>32000</v>
      </c>
      <c r="O17" s="98">
        <f t="shared" si="3"/>
        <v>503.86543517755433</v>
      </c>
    </row>
    <row r="18" spans="1:17" ht="17" thickBot="1" x14ac:dyDescent="0.25">
      <c r="A18" s="22" t="s">
        <v>81</v>
      </c>
      <c r="B18" s="23" t="s">
        <v>82</v>
      </c>
      <c r="C18" s="24">
        <v>4000</v>
      </c>
      <c r="D18" s="24">
        <v>7</v>
      </c>
      <c r="E18" s="24">
        <f t="shared" si="4"/>
        <v>28000</v>
      </c>
      <c r="F18" s="35">
        <f t="shared" si="2"/>
        <v>440.88225578036003</v>
      </c>
      <c r="J18" s="22" t="s">
        <v>81</v>
      </c>
      <c r="K18" s="23" t="s">
        <v>82</v>
      </c>
      <c r="L18" s="24">
        <v>4000</v>
      </c>
      <c r="M18" s="24">
        <f>7*2*2</f>
        <v>28</v>
      </c>
      <c r="N18" s="24">
        <f t="shared" si="5"/>
        <v>112000</v>
      </c>
      <c r="O18" s="98">
        <f t="shared" si="3"/>
        <v>1763.5290231214401</v>
      </c>
    </row>
    <row r="19" spans="1:17" ht="17" thickBot="1" x14ac:dyDescent="0.25">
      <c r="A19" s="22" t="s">
        <v>83</v>
      </c>
      <c r="B19" s="23" t="s">
        <v>80</v>
      </c>
      <c r="C19" s="24">
        <v>118000</v>
      </c>
      <c r="D19" s="24">
        <v>1</v>
      </c>
      <c r="E19" s="24">
        <f t="shared" si="4"/>
        <v>118000</v>
      </c>
      <c r="F19" s="35">
        <f t="shared" si="2"/>
        <v>1858.0037922172314</v>
      </c>
      <c r="J19" s="22" t="s">
        <v>83</v>
      </c>
      <c r="K19" s="23" t="s">
        <v>80</v>
      </c>
      <c r="L19" s="24">
        <v>118000</v>
      </c>
      <c r="M19" s="24">
        <f>1*2*2</f>
        <v>4</v>
      </c>
      <c r="N19" s="24">
        <f t="shared" si="5"/>
        <v>472000</v>
      </c>
      <c r="O19" s="98">
        <f t="shared" si="3"/>
        <v>7432.0151688689257</v>
      </c>
    </row>
    <row r="20" spans="1:17" ht="33" thickBot="1" x14ac:dyDescent="0.25">
      <c r="A20" s="22" t="s">
        <v>84</v>
      </c>
      <c r="B20" s="23" t="s">
        <v>85</v>
      </c>
      <c r="C20" s="24">
        <v>250</v>
      </c>
      <c r="D20" s="24">
        <v>80</v>
      </c>
      <c r="E20" s="24">
        <f t="shared" si="4"/>
        <v>20000</v>
      </c>
      <c r="F20" s="35">
        <f t="shared" si="2"/>
        <v>314.91589698597147</v>
      </c>
      <c r="J20" s="22" t="s">
        <v>84</v>
      </c>
      <c r="K20" s="23" t="s">
        <v>85</v>
      </c>
      <c r="L20" s="24">
        <v>250</v>
      </c>
      <c r="M20" s="24">
        <f>80*2*2</f>
        <v>320</v>
      </c>
      <c r="N20" s="24">
        <f t="shared" si="5"/>
        <v>80000</v>
      </c>
      <c r="O20" s="98">
        <f t="shared" si="3"/>
        <v>1259.6635879438859</v>
      </c>
    </row>
    <row r="21" spans="1:17" ht="33" thickBot="1" x14ac:dyDescent="0.25">
      <c r="A21" s="22" t="s">
        <v>86</v>
      </c>
      <c r="B21" s="23" t="s">
        <v>85</v>
      </c>
      <c r="C21" s="24">
        <v>250</v>
      </c>
      <c r="D21" s="24">
        <v>160</v>
      </c>
      <c r="E21" s="24">
        <f t="shared" si="4"/>
        <v>40000</v>
      </c>
      <c r="F21" s="35">
        <f t="shared" si="2"/>
        <v>629.83179397194294</v>
      </c>
      <c r="J21" s="22" t="s">
        <v>86</v>
      </c>
      <c r="K21" s="23" t="s">
        <v>85</v>
      </c>
      <c r="L21" s="24">
        <v>250</v>
      </c>
      <c r="M21" s="24">
        <f>160*2*2</f>
        <v>640</v>
      </c>
      <c r="N21" s="24">
        <f t="shared" si="5"/>
        <v>160000</v>
      </c>
      <c r="O21" s="98">
        <f t="shared" si="3"/>
        <v>2519.3271758877718</v>
      </c>
    </row>
    <row r="22" spans="1:17" ht="33" thickBot="1" x14ac:dyDescent="0.25">
      <c r="A22" s="22" t="s">
        <v>87</v>
      </c>
      <c r="B22" s="23" t="s">
        <v>88</v>
      </c>
      <c r="C22" s="24">
        <v>11000</v>
      </c>
      <c r="D22" s="24">
        <v>2</v>
      </c>
      <c r="E22" s="24">
        <f t="shared" si="4"/>
        <v>22000</v>
      </c>
      <c r="F22" s="35">
        <f t="shared" si="2"/>
        <v>346.4074866845686</v>
      </c>
      <c r="J22" s="22" t="s">
        <v>87</v>
      </c>
      <c r="K22" s="23" t="s">
        <v>88</v>
      </c>
      <c r="L22" s="24">
        <v>11000</v>
      </c>
      <c r="M22" s="24">
        <f>2*2*2</f>
        <v>8</v>
      </c>
      <c r="N22" s="24">
        <f t="shared" si="5"/>
        <v>88000</v>
      </c>
      <c r="O22" s="98">
        <f t="shared" si="3"/>
        <v>1385.6299467382744</v>
      </c>
    </row>
    <row r="23" spans="1:17" ht="17" thickBot="1" x14ac:dyDescent="0.25">
      <c r="A23" s="22" t="s">
        <v>89</v>
      </c>
      <c r="B23" s="23" t="s">
        <v>90</v>
      </c>
      <c r="C23" s="24">
        <v>100</v>
      </c>
      <c r="D23" s="24">
        <v>2</v>
      </c>
      <c r="E23" s="24">
        <f t="shared" si="4"/>
        <v>200</v>
      </c>
      <c r="F23" s="35">
        <f t="shared" si="2"/>
        <v>3.1491589698597142</v>
      </c>
      <c r="J23" s="22" t="s">
        <v>89</v>
      </c>
      <c r="K23" s="23" t="s">
        <v>90</v>
      </c>
      <c r="L23" s="24">
        <v>100</v>
      </c>
      <c r="M23" s="24">
        <f>2*2*2</f>
        <v>8</v>
      </c>
      <c r="N23" s="24">
        <f t="shared" si="5"/>
        <v>800</v>
      </c>
      <c r="O23" s="98">
        <f t="shared" si="3"/>
        <v>12.596635879438857</v>
      </c>
    </row>
    <row r="24" spans="1:17" ht="17" thickBot="1" x14ac:dyDescent="0.25">
      <c r="A24" s="30"/>
      <c r="B24" s="31"/>
      <c r="C24" s="31"/>
      <c r="D24" s="32" t="s">
        <v>75</v>
      </c>
      <c r="E24" s="37">
        <f>SUM(E16:E23)</f>
        <v>508200</v>
      </c>
      <c r="F24" s="37">
        <f>SUM(F16:F23)</f>
        <v>8002.0129424135339</v>
      </c>
      <c r="J24" s="30"/>
      <c r="K24" s="31"/>
      <c r="L24" s="31"/>
      <c r="M24" s="32" t="s">
        <v>75</v>
      </c>
      <c r="N24" s="102">
        <f>SUM(N16:N23)</f>
        <v>2032800</v>
      </c>
      <c r="O24" s="102">
        <f>SUM(O16:O23)</f>
        <v>32008.051769654136</v>
      </c>
    </row>
    <row r="25" spans="1:17" ht="17" thickBot="1" x14ac:dyDescent="0.25">
      <c r="A25" s="127" t="s">
        <v>91</v>
      </c>
      <c r="B25" s="128"/>
      <c r="C25" s="128"/>
      <c r="D25" s="129"/>
      <c r="E25" s="38">
        <f>E24+E14</f>
        <v>555683.6</v>
      </c>
      <c r="F25" s="38">
        <f>F24+F14</f>
        <v>8749.6799667196883</v>
      </c>
      <c r="J25" s="127" t="s">
        <v>91</v>
      </c>
      <c r="K25" s="128"/>
      <c r="L25" s="128"/>
      <c r="M25" s="129"/>
      <c r="N25" s="103">
        <f>N24+N14</f>
        <v>2034800</v>
      </c>
      <c r="O25" s="103">
        <f>O24+O14</f>
        <v>32039.543359352734</v>
      </c>
    </row>
    <row r="26" spans="1:17" ht="17" thickBot="1" x14ac:dyDescent="0.25">
      <c r="A26" s="114" t="s">
        <v>92</v>
      </c>
      <c r="B26" s="115"/>
      <c r="C26" s="115"/>
      <c r="D26" s="115"/>
      <c r="E26" s="115"/>
      <c r="F26" s="116"/>
      <c r="J26" s="114" t="s">
        <v>92</v>
      </c>
      <c r="K26" s="115"/>
      <c r="L26" s="115"/>
      <c r="M26" s="115"/>
      <c r="N26" s="115"/>
      <c r="O26" s="116"/>
    </row>
    <row r="27" spans="1:17" ht="33" thickBot="1" x14ac:dyDescent="0.25">
      <c r="A27" s="22" t="s">
        <v>93</v>
      </c>
      <c r="B27" s="23" t="s">
        <v>78</v>
      </c>
      <c r="C27" s="24">
        <v>50</v>
      </c>
      <c r="D27" s="24">
        <v>20000</v>
      </c>
      <c r="E27" s="33">
        <f>C27*D27</f>
        <v>1000000</v>
      </c>
      <c r="F27" s="35">
        <f>E27/$F$1</f>
        <v>15745.794849298572</v>
      </c>
      <c r="J27" s="22" t="s">
        <v>93</v>
      </c>
      <c r="K27" s="23" t="s">
        <v>78</v>
      </c>
      <c r="L27" s="24">
        <v>50</v>
      </c>
      <c r="M27" s="24">
        <f>20000*2*2</f>
        <v>80000</v>
      </c>
      <c r="N27" s="33">
        <f>L27*M27</f>
        <v>4000000</v>
      </c>
      <c r="O27" s="98">
        <f>N27/$F$1</f>
        <v>62983.17939719429</v>
      </c>
    </row>
    <row r="28" spans="1:17" ht="17" thickBot="1" x14ac:dyDescent="0.25">
      <c r="A28" s="127" t="s">
        <v>94</v>
      </c>
      <c r="B28" s="128"/>
      <c r="C28" s="128"/>
      <c r="D28" s="129"/>
      <c r="E28" s="38">
        <f>E27-E25</f>
        <v>444316.4</v>
      </c>
      <c r="F28" s="38">
        <f>F27-F25</f>
        <v>6996.1148825788841</v>
      </c>
      <c r="J28" s="127" t="s">
        <v>94</v>
      </c>
      <c r="K28" s="128"/>
      <c r="L28" s="128"/>
      <c r="M28" s="129"/>
      <c r="N28" s="103">
        <f>N27-N25</f>
        <v>1965200</v>
      </c>
      <c r="O28" s="103">
        <f>O27-O25</f>
        <v>30943.636037841556</v>
      </c>
      <c r="Q28" s="66"/>
    </row>
    <row r="29" spans="1:17" ht="17" thickBot="1" x14ac:dyDescent="0.25">
      <c r="A29" s="114" t="s">
        <v>95</v>
      </c>
      <c r="B29" s="115"/>
      <c r="C29" s="115"/>
      <c r="D29" s="115"/>
      <c r="E29" s="115"/>
      <c r="F29" s="116"/>
      <c r="J29" s="134" t="s">
        <v>95</v>
      </c>
      <c r="K29" s="135"/>
      <c r="L29" s="135"/>
      <c r="M29" s="135"/>
      <c r="N29" s="135"/>
      <c r="O29" s="136"/>
    </row>
    <row r="30" spans="1:17" ht="33" thickBot="1" x14ac:dyDescent="0.25">
      <c r="A30" s="22" t="s">
        <v>96</v>
      </c>
      <c r="B30" s="23" t="s">
        <v>97</v>
      </c>
      <c r="C30" s="24">
        <v>43000</v>
      </c>
      <c r="D30" s="24"/>
      <c r="E30" s="24">
        <f>C30/5</f>
        <v>8600</v>
      </c>
      <c r="F30" s="35">
        <f>E30/$F$1</f>
        <v>135.41383570396772</v>
      </c>
      <c r="J30" s="22" t="s">
        <v>96</v>
      </c>
      <c r="K30" s="23" t="s">
        <v>160</v>
      </c>
      <c r="L30" s="98">
        <f>('Detailed BOQ'!E7)*2</f>
        <v>1168578.8</v>
      </c>
      <c r="M30" s="24"/>
      <c r="N30" s="98">
        <f>L30/10</f>
        <v>116857.88</v>
      </c>
      <c r="O30" s="98">
        <f>N30/$F$1</f>
        <v>1840.0202050039507</v>
      </c>
    </row>
    <row r="31" spans="1:17" ht="49" thickBot="1" x14ac:dyDescent="0.25">
      <c r="A31" s="22" t="s">
        <v>161</v>
      </c>
      <c r="B31" s="23" t="s">
        <v>97</v>
      </c>
      <c r="C31" s="24">
        <v>100000</v>
      </c>
      <c r="D31" s="24"/>
      <c r="E31" s="24">
        <v>5000</v>
      </c>
      <c r="F31" s="35">
        <f>E31/$F$1</f>
        <v>78.728974246492868</v>
      </c>
      <c r="J31" s="22" t="s">
        <v>161</v>
      </c>
      <c r="K31" s="23" t="s">
        <v>160</v>
      </c>
      <c r="L31" s="98">
        <f>('Detailed BOQ'!F9+'Detailed BOQ'!F53)</f>
        <v>837792.23529411771</v>
      </c>
      <c r="M31" s="24"/>
      <c r="N31" s="98">
        <f>L31/10</f>
        <v>83779.223529411771</v>
      </c>
      <c r="O31" s="98">
        <f>N31/$F$1</f>
        <v>1319.1704663276455</v>
      </c>
    </row>
    <row r="32" spans="1:17" ht="17" thickBot="1" x14ac:dyDescent="0.25">
      <c r="A32" s="127" t="s">
        <v>99</v>
      </c>
      <c r="B32" s="128"/>
      <c r="C32" s="128"/>
      <c r="D32" s="129" t="s">
        <v>99</v>
      </c>
      <c r="E32" s="39">
        <f>SUM(E30:E31)</f>
        <v>13600</v>
      </c>
      <c r="F32" s="40">
        <f>SUM(F30:F31)</f>
        <v>214.14280995046059</v>
      </c>
      <c r="J32" s="127" t="s">
        <v>99</v>
      </c>
      <c r="K32" s="128"/>
      <c r="L32" s="128"/>
      <c r="M32" s="129" t="s">
        <v>99</v>
      </c>
      <c r="N32" s="99">
        <f>SUM(N30:N31)</f>
        <v>200637.10352941178</v>
      </c>
      <c r="O32" s="100">
        <f>SUM(O30:O31)</f>
        <v>3159.1906713315961</v>
      </c>
    </row>
    <row r="33" spans="1:15" ht="17" thickBot="1" x14ac:dyDescent="0.25">
      <c r="A33" s="127" t="s">
        <v>98</v>
      </c>
      <c r="B33" s="128"/>
      <c r="C33" s="128"/>
      <c r="D33" s="129"/>
      <c r="E33" s="38">
        <f>E28-E32</f>
        <v>430716.4</v>
      </c>
      <c r="F33" s="38">
        <f>F28-F32</f>
        <v>6781.9720726284231</v>
      </c>
      <c r="J33" s="137" t="s">
        <v>98</v>
      </c>
      <c r="K33" s="138"/>
      <c r="L33" s="138"/>
      <c r="M33" s="139"/>
      <c r="N33" s="101">
        <f>N28-N32</f>
        <v>1764562.8964705882</v>
      </c>
      <c r="O33" s="101">
        <f>O28-O32</f>
        <v>27784.445366509961</v>
      </c>
    </row>
    <row r="34" spans="1:15" ht="33" thickBot="1" x14ac:dyDescent="0.25">
      <c r="A34" s="34" t="s">
        <v>158</v>
      </c>
      <c r="B34" s="130">
        <v>2.5</v>
      </c>
      <c r="C34" s="131"/>
      <c r="D34" s="31"/>
      <c r="E34" s="38">
        <f>E33/B34</f>
        <v>172286.56</v>
      </c>
      <c r="F34" s="38">
        <f>F33/B34</f>
        <v>2712.7888290513692</v>
      </c>
      <c r="J34" s="95" t="s">
        <v>158</v>
      </c>
      <c r="K34" s="140">
        <v>5</v>
      </c>
      <c r="L34" s="141"/>
      <c r="M34" s="96"/>
      <c r="N34" s="97">
        <f>N33/K34</f>
        <v>352912.57929411763</v>
      </c>
      <c r="O34" s="97">
        <f>O33/K34</f>
        <v>5556.8890733019925</v>
      </c>
    </row>
    <row r="35" spans="1:15" x14ac:dyDescent="0.2">
      <c r="J35" s="90"/>
      <c r="K35" s="90"/>
      <c r="L35" s="90"/>
      <c r="M35" s="90"/>
      <c r="N35" s="90"/>
      <c r="O35" s="91"/>
    </row>
    <row r="36" spans="1:15" x14ac:dyDescent="0.2">
      <c r="J36" s="89"/>
      <c r="K36" s="89"/>
      <c r="L36" s="90"/>
      <c r="M36" s="90"/>
      <c r="N36" s="90"/>
      <c r="O36" s="91"/>
    </row>
    <row r="37" spans="1:15" x14ac:dyDescent="0.2">
      <c r="J37" s="89"/>
      <c r="K37" s="89"/>
      <c r="L37" s="90"/>
      <c r="M37" s="90"/>
      <c r="N37" s="90"/>
      <c r="O37" s="91"/>
    </row>
    <row r="38" spans="1:15" x14ac:dyDescent="0.2">
      <c r="J38" s="132"/>
      <c r="K38" s="132"/>
      <c r="L38" s="132"/>
      <c r="M38" s="132"/>
      <c r="N38" s="92"/>
      <c r="O38" s="93"/>
    </row>
    <row r="39" spans="1:15" x14ac:dyDescent="0.2">
      <c r="J39" s="132"/>
      <c r="K39" s="132"/>
      <c r="L39" s="132"/>
      <c r="M39" s="132"/>
      <c r="N39" s="94"/>
      <c r="O39" s="94"/>
    </row>
    <row r="40" spans="1:15" x14ac:dyDescent="0.2">
      <c r="J40" s="106"/>
      <c r="K40" s="133"/>
      <c r="L40" s="133"/>
      <c r="M40" s="89"/>
      <c r="N40" s="94"/>
      <c r="O40" s="94"/>
    </row>
    <row r="41" spans="1:15" x14ac:dyDescent="0.2">
      <c r="J41" s="133"/>
      <c r="K41" s="133"/>
      <c r="L41" s="89"/>
      <c r="M41" s="107"/>
      <c r="N41" s="107"/>
      <c r="O41" s="108"/>
    </row>
  </sheetData>
  <mergeCells count="36">
    <mergeCell ref="J39:M39"/>
    <mergeCell ref="J38:M38"/>
    <mergeCell ref="K40:L40"/>
    <mergeCell ref="J41:K41"/>
    <mergeCell ref="J10:O10"/>
    <mergeCell ref="J15:O15"/>
    <mergeCell ref="J25:M25"/>
    <mergeCell ref="J26:O26"/>
    <mergeCell ref="J28:M28"/>
    <mergeCell ref="J29:O29"/>
    <mergeCell ref="J32:M32"/>
    <mergeCell ref="J33:M33"/>
    <mergeCell ref="K34:L34"/>
    <mergeCell ref="J2:O2"/>
    <mergeCell ref="J8:J9"/>
    <mergeCell ref="K8:K9"/>
    <mergeCell ref="L8:L9"/>
    <mergeCell ref="M8:M9"/>
    <mergeCell ref="N8:N9"/>
    <mergeCell ref="A32:D32"/>
    <mergeCell ref="A33:D33"/>
    <mergeCell ref="B34:C34"/>
    <mergeCell ref="A29:F29"/>
    <mergeCell ref="L3:O7"/>
    <mergeCell ref="A10:F10"/>
    <mergeCell ref="A15:F15"/>
    <mergeCell ref="A25:D25"/>
    <mergeCell ref="A26:F26"/>
    <mergeCell ref="A28:D28"/>
    <mergeCell ref="A2:F2"/>
    <mergeCell ref="A8:A9"/>
    <mergeCell ref="B8:B9"/>
    <mergeCell ref="C8:C9"/>
    <mergeCell ref="D8:D9"/>
    <mergeCell ref="E8:E9"/>
    <mergeCell ref="C3:F7"/>
  </mergeCells>
  <phoneticPr fontId="1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417A-1930-8147-9C7E-2048B2A1179D}">
  <dimension ref="A1:G21"/>
  <sheetViews>
    <sheetView tabSelected="1" zoomScale="98" workbookViewId="0">
      <selection activeCell="B8" sqref="B8:C8"/>
    </sheetView>
  </sheetViews>
  <sheetFormatPr baseColWidth="10" defaultRowHeight="16" x14ac:dyDescent="0.2"/>
  <cols>
    <col min="1" max="1" width="25.5" customWidth="1"/>
    <col min="2" max="3" width="13.33203125" bestFit="1" customWidth="1"/>
  </cols>
  <sheetData>
    <row r="1" spans="1:7" x14ac:dyDescent="0.2">
      <c r="A1" s="145" t="s">
        <v>153</v>
      </c>
      <c r="B1" s="145"/>
      <c r="C1" s="145"/>
    </row>
    <row r="2" spans="1:7" x14ac:dyDescent="0.2">
      <c r="A2" s="5" t="s">
        <v>154</v>
      </c>
      <c r="B2" s="5" t="s">
        <v>0</v>
      </c>
      <c r="C2" s="5" t="s">
        <v>29</v>
      </c>
      <c r="E2" s="144" t="s">
        <v>152</v>
      </c>
      <c r="F2" s="144"/>
      <c r="G2" s="144"/>
    </row>
    <row r="3" spans="1:7" x14ac:dyDescent="0.2">
      <c r="A3" s="45" t="s">
        <v>147</v>
      </c>
      <c r="B3" s="88">
        <f>'Detailed BOQ'!F5</f>
        <v>525000</v>
      </c>
      <c r="C3" s="88">
        <f>'Detailed BOQ'!F48</f>
        <v>525000</v>
      </c>
      <c r="E3" s="144"/>
      <c r="F3" s="144"/>
      <c r="G3" s="144"/>
    </row>
    <row r="4" spans="1:7" x14ac:dyDescent="0.2">
      <c r="A4" s="45" t="s">
        <v>151</v>
      </c>
      <c r="B4" s="88">
        <f>'Detailed BOQ'!F6</f>
        <v>584289.4</v>
      </c>
      <c r="C4" s="88">
        <f>'Detailed BOQ'!F50</f>
        <v>584289.4</v>
      </c>
      <c r="E4" s="144"/>
      <c r="F4" s="144"/>
      <c r="G4" s="144"/>
    </row>
    <row r="5" spans="1:7" x14ac:dyDescent="0.2">
      <c r="A5" s="45" t="s">
        <v>148</v>
      </c>
      <c r="B5" s="88">
        <f>'Detailed BOQ'!F9</f>
        <v>413561.11764705885</v>
      </c>
      <c r="C5" s="88">
        <f>'Detailed BOQ'!F53</f>
        <v>424231.11764705885</v>
      </c>
      <c r="E5" s="144"/>
      <c r="F5" s="144"/>
      <c r="G5" s="144"/>
    </row>
    <row r="6" spans="1:7" x14ac:dyDescent="0.2">
      <c r="A6" s="45" t="s">
        <v>149</v>
      </c>
      <c r="B6" s="88">
        <f>'Detailed BOQ'!F32</f>
        <v>277000</v>
      </c>
      <c r="C6" s="88" t="s">
        <v>141</v>
      </c>
    </row>
    <row r="7" spans="1:7" x14ac:dyDescent="0.2">
      <c r="A7" s="45" t="s">
        <v>150</v>
      </c>
      <c r="B7" s="88">
        <f>SUM(B3:B6)</f>
        <v>1799850.5176470587</v>
      </c>
      <c r="C7" s="88">
        <f>SUM(C3:C6)</f>
        <v>1533520.5176470587</v>
      </c>
    </row>
    <row r="8" spans="1:7" x14ac:dyDescent="0.2">
      <c r="A8" s="45" t="s">
        <v>150</v>
      </c>
      <c r="B8" s="147">
        <f>SUM(B7:C7)</f>
        <v>3333371.0352941174</v>
      </c>
      <c r="C8" s="148"/>
    </row>
    <row r="11" spans="1:7" x14ac:dyDescent="0.2">
      <c r="A11" s="146" t="s">
        <v>153</v>
      </c>
      <c r="B11" s="146"/>
      <c r="C11" s="146"/>
    </row>
    <row r="12" spans="1:7" x14ac:dyDescent="0.2">
      <c r="A12" s="5" t="s">
        <v>154</v>
      </c>
      <c r="B12" s="5" t="s">
        <v>0</v>
      </c>
      <c r="C12" s="5" t="s">
        <v>29</v>
      </c>
      <c r="E12" s="144" t="s">
        <v>155</v>
      </c>
      <c r="F12" s="144"/>
      <c r="G12" s="144"/>
    </row>
    <row r="13" spans="1:7" x14ac:dyDescent="0.2">
      <c r="A13" s="45" t="s">
        <v>147</v>
      </c>
      <c r="B13" s="88">
        <f t="shared" ref="B13:C15" si="0">B3</f>
        <v>525000</v>
      </c>
      <c r="C13" s="88">
        <f t="shared" si="0"/>
        <v>525000</v>
      </c>
      <c r="E13" s="144"/>
      <c r="F13" s="144"/>
      <c r="G13" s="144"/>
    </row>
    <row r="14" spans="1:7" x14ac:dyDescent="0.2">
      <c r="A14" s="45" t="s">
        <v>151</v>
      </c>
      <c r="B14" s="88">
        <f t="shared" si="0"/>
        <v>584289.4</v>
      </c>
      <c r="C14" s="88">
        <f t="shared" si="0"/>
        <v>584289.4</v>
      </c>
      <c r="E14" s="144"/>
      <c r="F14" s="144"/>
      <c r="G14" s="144"/>
    </row>
    <row r="15" spans="1:7" x14ac:dyDescent="0.2">
      <c r="A15" s="45" t="s">
        <v>148</v>
      </c>
      <c r="B15" s="88">
        <f t="shared" si="0"/>
        <v>413561.11764705885</v>
      </c>
      <c r="C15" s="88">
        <f t="shared" si="0"/>
        <v>424231.11764705885</v>
      </c>
      <c r="E15" s="144"/>
      <c r="F15" s="144"/>
      <c r="G15" s="144"/>
    </row>
    <row r="16" spans="1:7" x14ac:dyDescent="0.2">
      <c r="A16" s="45" t="s">
        <v>149</v>
      </c>
      <c r="B16" s="88" t="s">
        <v>141</v>
      </c>
      <c r="C16" s="88" t="s">
        <v>141</v>
      </c>
    </row>
    <row r="17" spans="1:3" x14ac:dyDescent="0.2">
      <c r="A17" s="45" t="s">
        <v>150</v>
      </c>
      <c r="B17" s="88">
        <f>SUM(B13:B16)</f>
        <v>1522850.5176470587</v>
      </c>
      <c r="C17" s="88">
        <f>SUM(C13:C16)</f>
        <v>1533520.5176470587</v>
      </c>
    </row>
    <row r="18" spans="1:3" x14ac:dyDescent="0.2">
      <c r="A18" s="45" t="s">
        <v>150</v>
      </c>
      <c r="B18" s="142">
        <f>SUM(B17:C17)</f>
        <v>3056371.0352941174</v>
      </c>
      <c r="C18" s="143"/>
    </row>
    <row r="21" spans="1:3" x14ac:dyDescent="0.2">
      <c r="B21" s="66"/>
    </row>
  </sheetData>
  <mergeCells count="6">
    <mergeCell ref="B18:C18"/>
    <mergeCell ref="E2:G5"/>
    <mergeCell ref="A1:C1"/>
    <mergeCell ref="A11:C11"/>
    <mergeCell ref="E12:G15"/>
    <mergeCell ref="B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 and Intro </vt:lpstr>
      <vt:lpstr>Detailed BOQ</vt:lpstr>
      <vt:lpstr>Financial Scenario</vt:lpstr>
      <vt:lpstr>Total Costs 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aldo.zamarroni</dc:creator>
  <cp:lastModifiedBy>Sharone Molly</cp:lastModifiedBy>
  <cp:lastPrinted>2024-05-22T13:33:50Z</cp:lastPrinted>
  <dcterms:created xsi:type="dcterms:W3CDTF">2024-04-30T05:46:17Z</dcterms:created>
  <dcterms:modified xsi:type="dcterms:W3CDTF">2024-07-25T08:12:04Z</dcterms:modified>
</cp:coreProperties>
</file>