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ikologica.sharepoint.com/sites/CTCN_MNG/Shared Documents/CTCN_MNG/03. ACTIVITIES &amp; DELIVERABLE/3.1 INCEPTION &amp; TECHNOLOGY ASSESSMENT/D.1.3. CBA/"/>
    </mc:Choice>
  </mc:AlternateContent>
  <xr:revisionPtr revIDLastSave="3" documentId="8_{DEE130F2-1934-4884-881F-A2C3F0F1DA38}" xr6:coauthVersionLast="47" xr6:coauthVersionMax="47" xr10:uidLastSave="{5391A9DF-38F5-4A4B-AFA5-B466125898F9}"/>
  <bookViews>
    <workbookView minimized="1" xWindow="-22395" yWindow="3255" windowWidth="17280" windowHeight="8925" tabRatio="714" xr2:uid="{00000000-000D-0000-FFFF-FFFF00000000}"/>
  </bookViews>
  <sheets>
    <sheet name="README" sheetId="1" r:id="rId1"/>
    <sheet name="Assumptions" sheetId="2" r:id="rId2"/>
    <sheet name="Enterprise Budgets" sheetId="3" r:id="rId3"/>
    <sheet name="Financial CBA – Uvurkhangai" sheetId="4" r:id="rId4"/>
    <sheet name="Financial CBA – Dundgovi" sheetId="5" r:id="rId5"/>
    <sheet name="Economic CBA" sheetId="6" r:id="rId6"/>
    <sheet name="Summary &amp; Sensitivity" sheetId="7" r:id="rId7"/>
  </sheets>
  <definedNames>
    <definedName name="A_AG">Assumptions!$B$13</definedName>
    <definedName name="A_GH">Assumptions!$B$12</definedName>
    <definedName name="A_OF">Assumptions!$B$11</definedName>
    <definedName name="AG_ESTIRR">Assumptions!$B$70</definedName>
    <definedName name="AG_FENCE">Assumptions!$B$69</definedName>
    <definedName name="AG_PLANT">Assumptions!$B$68</definedName>
    <definedName name="AG_SEED">Assumptions!$B$67</definedName>
    <definedName name="AGBEATFR">Assumptions!$B$72</definedName>
    <definedName name="AGBEATYR">Assumptions!$B$71</definedName>
    <definedName name="BATTFR">Assumptions!$B$58</definedName>
    <definedName name="BATTYR_D">Assumptions!$B$57</definedName>
    <definedName name="CARB_AG">Assumptions!$B$82</definedName>
    <definedName name="CARB_SOL">Assumptions!$B$83</definedName>
    <definedName name="CARBP">Assumptions!$B$81</definedName>
    <definedName name="CLUSTER_HH">Assumptions!$B$9</definedName>
    <definedName name="DR_ECON">Assumptions!$B$8</definedName>
    <definedName name="DR_FIN">Assumptions!$B$7</definedName>
    <definedName name="DRIP_GH">Assumptions!$B$62</definedName>
    <definedName name="DRIP_OF">Assumptions!$B$63</definedName>
    <definedName name="DRIPFR">Assumptions!$B$64</definedName>
    <definedName name="DRIPYR1">Assumptions!$B$65</definedName>
    <definedName name="DRIPYR2">Assumptions!$B$66</definedName>
    <definedName name="FX">Assumptions!$B$6</definedName>
    <definedName name="GHC_D">Assumptions!$B$43</definedName>
    <definedName name="GHC_DPS">Assumptions!$B$44</definedName>
    <definedName name="GHC_U">Assumptions!$B$42</definedName>
    <definedName name="GHG_D">Assumptions!$B$48</definedName>
    <definedName name="GHG_U">Assumptions!$B$47</definedName>
    <definedName name="GHGYR_D">Assumptions!$B$50</definedName>
    <definedName name="GHGYR_U">Assumptions!$B$49</definedName>
    <definedName name="GHOM_D">Assumptions!$B$46</definedName>
    <definedName name="GHOM_U">Assumptions!$B$45</definedName>
    <definedName name="IMP">Assumptions!$B$79</definedName>
    <definedName name="INSP">Assumptions!$B$74</definedName>
    <definedName name="INSPAY">Assumptions!$B$76</definedName>
    <definedName name="INSS">Assumptions!$B$75</definedName>
    <definedName name="NET_AG_D">'Enterprise Budgets'!$C$32</definedName>
    <definedName name="NET_AG_U">'Enterprise Budgets'!$B$32</definedName>
    <definedName name="NET_GH_D">'Enterprise Budgets'!$C$27</definedName>
    <definedName name="NET_GH_U">'Enterprise Budgets'!$B$27</definedName>
    <definedName name="NET_OFB_D">'Enterprise Budgets'!$C$11</definedName>
    <definedName name="NET_OFB_U">'Enterprise Budgets'!$B$11</definedName>
    <definedName name="NET_OFD_D">'Enterprise Budgets'!$C$19</definedName>
    <definedName name="NET_OFD_U">'Enterprise Budgets'!$B$19</definedName>
    <definedName name="P_AG">Assumptions!$B$17</definedName>
    <definedName name="P_GH">Assumptions!$B$16</definedName>
    <definedName name="P_OF">Assumptions!$B$15</definedName>
    <definedName name="PUMPFR">Assumptions!$B$56</definedName>
    <definedName name="PUMPYR">Assumptions!$B$55</definedName>
    <definedName name="REVAG_D">'Enterprise Budgets'!$C$30</definedName>
    <definedName name="REVAG_U">'Enterprise Budgets'!$B$30</definedName>
    <definedName name="REVGH_D">'Enterprise Budgets'!$C$25</definedName>
    <definedName name="REVGH_U">'Enterprise Budgets'!$B$25</definedName>
    <definedName name="REVOFNOMB_D">'Enterprise Budgets'!$C$12</definedName>
    <definedName name="REVOFNOMB_U">'Enterprise Budgets'!$B$12</definedName>
    <definedName name="REVOFNOMD_D">'Enterprise Budgets'!$C$20</definedName>
    <definedName name="REVOFNOMD_U">'Enterprise Budgets'!$B$20</definedName>
    <definedName name="RP0_D">Assumptions!$B$32</definedName>
    <definedName name="RP0_U">Assumptions!$B$28</definedName>
    <definedName name="RPD_D">Assumptions!$B$34</definedName>
    <definedName name="RPD_U">Assumptions!$B$30</definedName>
    <definedName name="RPG_D">Assumptions!$B$35</definedName>
    <definedName name="RPG_U">Assumptions!$B$31</definedName>
    <definedName name="RSV_D">Assumptions!$B$33</definedName>
    <definedName name="RSV_U">Assumptions!$B$29</definedName>
    <definedName name="SCF">Assumptions!$B$78</definedName>
    <definedName name="SHU_D">Assumptions!$B$86</definedName>
    <definedName name="SHU_U">Assumptions!$B$85</definedName>
    <definedName name="SOL_D">Assumptions!$B$53</definedName>
    <definedName name="SOL_U">Assumptions!$B$52</definedName>
    <definedName name="SOLOM">Assumptions!$B$54</definedName>
    <definedName name="SOLSH_D">Assumptions!$B$89</definedName>
    <definedName name="SOLSH_U">Assumptions!$B$88</definedName>
    <definedName name="TANK_D">Assumptions!$B$60</definedName>
    <definedName name="TANK_U">Assumptions!$B$59</definedName>
    <definedName name="TANKSH_D">Assumptions!$B$91</definedName>
    <definedName name="TANKSH_U">Assumptions!$B$90</definedName>
    <definedName name="VC_AG">Assumptions!$B$40</definedName>
    <definedName name="VC_GH">Assumptions!$B$39</definedName>
    <definedName name="VC_OFB">Assumptions!$B$37</definedName>
    <definedName name="VC_OFD">Assumptions!$B$38</definedName>
    <definedName name="VCAG_D">'Enterprise Budgets'!$C$31</definedName>
    <definedName name="VCAG_U">'Enterprise Budgets'!$B$31</definedName>
    <definedName name="WAGE">Assumptions!$B$80</definedName>
    <definedName name="Y_AG_D">Assumptions!$B$26</definedName>
    <definedName name="Y_AG_U">Assumptions!$B$25</definedName>
    <definedName name="Y_GH_D">Assumptions!$B$24</definedName>
    <definedName name="Y_GH_U">Assumptions!$B$23</definedName>
    <definedName name="Y_OFB_D">Assumptions!$B$20</definedName>
    <definedName name="Y_OFB_U">Assumptions!$B$19</definedName>
    <definedName name="Y_OFD_D">Assumptions!$B$22</definedName>
    <definedName name="Y_OFD_U">Assumptions!$B$21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" i="6" l="1"/>
  <c r="C74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C72" i="6"/>
  <c r="C67" i="6"/>
  <c r="R66" i="6"/>
  <c r="P66" i="6"/>
  <c r="N66" i="6"/>
  <c r="M66" i="6"/>
  <c r="L66" i="6"/>
  <c r="I66" i="6"/>
  <c r="H66" i="6"/>
  <c r="G66" i="6"/>
  <c r="F66" i="6"/>
  <c r="D66" i="6"/>
  <c r="C65" i="6"/>
  <c r="C60" i="6"/>
  <c r="R59" i="6"/>
  <c r="P59" i="6"/>
  <c r="N59" i="6"/>
  <c r="M59" i="6"/>
  <c r="L59" i="6"/>
  <c r="J59" i="6"/>
  <c r="I59" i="6"/>
  <c r="H59" i="6"/>
  <c r="G59" i="6"/>
  <c r="F59" i="6"/>
  <c r="D59" i="6"/>
  <c r="C58" i="6"/>
  <c r="C53" i="6"/>
  <c r="R52" i="6"/>
  <c r="P52" i="6"/>
  <c r="N52" i="6"/>
  <c r="M52" i="6"/>
  <c r="L52" i="6"/>
  <c r="J52" i="6"/>
  <c r="I52" i="6"/>
  <c r="H52" i="6"/>
  <c r="G52" i="6"/>
  <c r="F52" i="6"/>
  <c r="E52" i="6"/>
  <c r="D52" i="6"/>
  <c r="G51" i="6"/>
  <c r="C51" i="6"/>
  <c r="C46" i="6"/>
  <c r="R45" i="6"/>
  <c r="P45" i="6"/>
  <c r="N45" i="6"/>
  <c r="M45" i="6"/>
  <c r="L45" i="6"/>
  <c r="J45" i="6"/>
  <c r="I45" i="6"/>
  <c r="H45" i="6"/>
  <c r="G45" i="6"/>
  <c r="F45" i="6"/>
  <c r="E45" i="6"/>
  <c r="D45" i="6"/>
  <c r="C44" i="6"/>
  <c r="C39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G37" i="6"/>
  <c r="C37" i="6"/>
  <c r="C32" i="6"/>
  <c r="R31" i="6"/>
  <c r="P31" i="6"/>
  <c r="N31" i="6"/>
  <c r="L31" i="6"/>
  <c r="K31" i="6"/>
  <c r="I31" i="6"/>
  <c r="H31" i="6"/>
  <c r="G31" i="6"/>
  <c r="F31" i="6"/>
  <c r="D31" i="6"/>
  <c r="C30" i="6"/>
  <c r="C25" i="6"/>
  <c r="R24" i="6"/>
  <c r="P24" i="6"/>
  <c r="N24" i="6"/>
  <c r="M24" i="6"/>
  <c r="L24" i="6"/>
  <c r="K24" i="6"/>
  <c r="I24" i="6"/>
  <c r="H24" i="6"/>
  <c r="G24" i="6"/>
  <c r="F24" i="6"/>
  <c r="D24" i="6"/>
  <c r="C23" i="6"/>
  <c r="C18" i="6"/>
  <c r="R17" i="6"/>
  <c r="P17" i="6"/>
  <c r="N17" i="6"/>
  <c r="L17" i="6"/>
  <c r="K17" i="6"/>
  <c r="I17" i="6"/>
  <c r="H17" i="6"/>
  <c r="G17" i="6"/>
  <c r="F17" i="6"/>
  <c r="E17" i="6"/>
  <c r="D17" i="6"/>
  <c r="C16" i="6"/>
  <c r="C11" i="6"/>
  <c r="R10" i="6"/>
  <c r="P10" i="6"/>
  <c r="N10" i="6"/>
  <c r="M10" i="6"/>
  <c r="L10" i="6"/>
  <c r="K10" i="6"/>
  <c r="J10" i="6"/>
  <c r="I10" i="6"/>
  <c r="H10" i="6"/>
  <c r="G10" i="6"/>
  <c r="F10" i="6"/>
  <c r="E10" i="6"/>
  <c r="D10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C56" i="5"/>
  <c r="C55" i="5"/>
  <c r="E53" i="5"/>
  <c r="G46" i="5"/>
  <c r="Q45" i="5"/>
  <c r="Q66" i="6" s="1"/>
  <c r="J45" i="5"/>
  <c r="J66" i="6" s="1"/>
  <c r="E45" i="5"/>
  <c r="E66" i="6" s="1"/>
  <c r="M39" i="5"/>
  <c r="Q38" i="5"/>
  <c r="J38" i="5"/>
  <c r="E38" i="5"/>
  <c r="C38" i="5"/>
  <c r="C41" i="5" s="1"/>
  <c r="G33" i="5"/>
  <c r="G60" i="6" s="1"/>
  <c r="O32" i="5"/>
  <c r="L32" i="5"/>
  <c r="K32" i="5"/>
  <c r="K58" i="6" s="1"/>
  <c r="H32" i="5"/>
  <c r="Q31" i="5"/>
  <c r="Q59" i="6" s="1"/>
  <c r="J31" i="5"/>
  <c r="E31" i="5"/>
  <c r="E59" i="6" s="1"/>
  <c r="P26" i="5"/>
  <c r="P53" i="6" s="1"/>
  <c r="O26" i="5"/>
  <c r="O53" i="6" s="1"/>
  <c r="N26" i="5"/>
  <c r="N53" i="6" s="1"/>
  <c r="K25" i="5"/>
  <c r="K51" i="6" s="1"/>
  <c r="G25" i="5"/>
  <c r="F25" i="5"/>
  <c r="F51" i="6" s="1"/>
  <c r="D25" i="5"/>
  <c r="Q24" i="5"/>
  <c r="Q52" i="6" s="1"/>
  <c r="J24" i="5"/>
  <c r="R19" i="5"/>
  <c r="Q19" i="5"/>
  <c r="N19" i="5"/>
  <c r="M19" i="5"/>
  <c r="L19" i="5"/>
  <c r="K19" i="5"/>
  <c r="K18" i="5"/>
  <c r="J18" i="5"/>
  <c r="G18" i="5"/>
  <c r="F18" i="5"/>
  <c r="E18" i="5"/>
  <c r="Q17" i="5"/>
  <c r="J17" i="5"/>
  <c r="C13" i="5"/>
  <c r="C14" i="5" s="1"/>
  <c r="J12" i="5"/>
  <c r="J46" i="6" s="1"/>
  <c r="H12" i="5"/>
  <c r="H46" i="6" s="1"/>
  <c r="E12" i="5"/>
  <c r="E46" i="6" s="1"/>
  <c r="D12" i="5"/>
  <c r="D46" i="6" s="1"/>
  <c r="R11" i="5"/>
  <c r="R44" i="6" s="1"/>
  <c r="Q11" i="5"/>
  <c r="Q44" i="6" s="1"/>
  <c r="N11" i="5"/>
  <c r="M11" i="5"/>
  <c r="M44" i="6" s="1"/>
  <c r="Q10" i="5"/>
  <c r="Q45" i="6" s="1"/>
  <c r="O10" i="5"/>
  <c r="O45" i="6" s="1"/>
  <c r="J10" i="5"/>
  <c r="C10" i="5"/>
  <c r="C45" i="6" s="1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C41" i="4"/>
  <c r="R40" i="4"/>
  <c r="R39" i="6" s="1"/>
  <c r="Q40" i="4"/>
  <c r="Q39" i="6" s="1"/>
  <c r="P40" i="4"/>
  <c r="P39" i="6" s="1"/>
  <c r="O40" i="4"/>
  <c r="O39" i="6" s="1"/>
  <c r="H40" i="4"/>
  <c r="H39" i="6" s="1"/>
  <c r="E40" i="4"/>
  <c r="E39" i="6" s="1"/>
  <c r="D40" i="4"/>
  <c r="D39" i="6" s="1"/>
  <c r="R39" i="4"/>
  <c r="R37" i="6" s="1"/>
  <c r="R40" i="6" s="1"/>
  <c r="Q39" i="4"/>
  <c r="Q37" i="6" s="1"/>
  <c r="P39" i="4"/>
  <c r="P37" i="6" s="1"/>
  <c r="P40" i="6" s="1"/>
  <c r="O39" i="4"/>
  <c r="O37" i="6" s="1"/>
  <c r="O40" i="6" s="1"/>
  <c r="N39" i="4"/>
  <c r="N37" i="6" s="1"/>
  <c r="G39" i="4"/>
  <c r="D39" i="4"/>
  <c r="D37" i="6" s="1"/>
  <c r="D40" i="6" s="1"/>
  <c r="Q31" i="4"/>
  <c r="Q31" i="6" s="1"/>
  <c r="O31" i="4"/>
  <c r="O31" i="6" s="1"/>
  <c r="M31" i="4"/>
  <c r="M31" i="6" s="1"/>
  <c r="J31" i="4"/>
  <c r="J31" i="6" s="1"/>
  <c r="E31" i="4"/>
  <c r="E31" i="6" s="1"/>
  <c r="C31" i="4"/>
  <c r="C31" i="6" s="1"/>
  <c r="L26" i="4"/>
  <c r="L25" i="6" s="1"/>
  <c r="J26" i="4"/>
  <c r="J25" i="6" s="1"/>
  <c r="I26" i="4"/>
  <c r="I25" i="6" s="1"/>
  <c r="H26" i="4"/>
  <c r="H25" i="6" s="1"/>
  <c r="G26" i="4"/>
  <c r="G25" i="6" s="1"/>
  <c r="F26" i="4"/>
  <c r="F25" i="6" s="1"/>
  <c r="E26" i="4"/>
  <c r="E25" i="6" s="1"/>
  <c r="D26" i="4"/>
  <c r="D25" i="6" s="1"/>
  <c r="G25" i="4"/>
  <c r="G27" i="4" s="1"/>
  <c r="F25" i="4"/>
  <c r="F23" i="6" s="1"/>
  <c r="F26" i="6" s="1"/>
  <c r="E25" i="4"/>
  <c r="E23" i="6" s="1"/>
  <c r="D25" i="4"/>
  <c r="D23" i="6" s="1"/>
  <c r="D26" i="6" s="1"/>
  <c r="Q24" i="4"/>
  <c r="Q24" i="6" s="1"/>
  <c r="J24" i="4"/>
  <c r="J24" i="6" s="1"/>
  <c r="E24" i="4"/>
  <c r="E24" i="6" s="1"/>
  <c r="Q19" i="4"/>
  <c r="Q18" i="6" s="1"/>
  <c r="P19" i="4"/>
  <c r="P18" i="6" s="1"/>
  <c r="O19" i="4"/>
  <c r="O18" i="6" s="1"/>
  <c r="N19" i="4"/>
  <c r="N18" i="6" s="1"/>
  <c r="M19" i="4"/>
  <c r="M18" i="6" s="1"/>
  <c r="L19" i="4"/>
  <c r="L18" i="6" s="1"/>
  <c r="K19" i="4"/>
  <c r="K18" i="6" s="1"/>
  <c r="J19" i="4"/>
  <c r="J18" i="6" s="1"/>
  <c r="M18" i="4"/>
  <c r="M16" i="6" s="1"/>
  <c r="L18" i="4"/>
  <c r="L16" i="6" s="1"/>
  <c r="L19" i="6" s="1"/>
  <c r="K18" i="4"/>
  <c r="K20" i="4" s="1"/>
  <c r="J18" i="4"/>
  <c r="J16" i="6" s="1"/>
  <c r="Q17" i="4"/>
  <c r="Q17" i="6" s="1"/>
  <c r="O17" i="4"/>
  <c r="O17" i="6" s="1"/>
  <c r="M17" i="4"/>
  <c r="M17" i="6" s="1"/>
  <c r="J17" i="4"/>
  <c r="J17" i="6" s="1"/>
  <c r="C17" i="4"/>
  <c r="C17" i="6" s="1"/>
  <c r="R12" i="4"/>
  <c r="R11" i="6" s="1"/>
  <c r="Q12" i="4"/>
  <c r="Q11" i="6" s="1"/>
  <c r="J12" i="4"/>
  <c r="J11" i="6" s="1"/>
  <c r="H12" i="4"/>
  <c r="H11" i="6" s="1"/>
  <c r="G12" i="4"/>
  <c r="G11" i="6" s="1"/>
  <c r="F12" i="4"/>
  <c r="F11" i="6" s="1"/>
  <c r="E12" i="4"/>
  <c r="E11" i="6" s="1"/>
  <c r="D12" i="4"/>
  <c r="D11" i="6" s="1"/>
  <c r="R11" i="4"/>
  <c r="R9" i="6" s="1"/>
  <c r="R12" i="6" s="1"/>
  <c r="Q11" i="4"/>
  <c r="Q9" i="6" s="1"/>
  <c r="F11" i="4"/>
  <c r="F9" i="6" s="1"/>
  <c r="F12" i="6" s="1"/>
  <c r="E11" i="4"/>
  <c r="E9" i="6" s="1"/>
  <c r="D11" i="4"/>
  <c r="D9" i="6" s="1"/>
  <c r="D12" i="6" s="1"/>
  <c r="Q10" i="4"/>
  <c r="Q10" i="6" s="1"/>
  <c r="O10" i="4"/>
  <c r="O10" i="6" s="1"/>
  <c r="J10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C32" i="3"/>
  <c r="B32" i="3"/>
  <c r="C31" i="3"/>
  <c r="B31" i="3"/>
  <c r="C30" i="3"/>
  <c r="B30" i="3"/>
  <c r="C29" i="3"/>
  <c r="B29" i="3"/>
  <c r="C27" i="3"/>
  <c r="J25" i="5" s="1"/>
  <c r="B27" i="3"/>
  <c r="N18" i="4" s="1"/>
  <c r="C26" i="3"/>
  <c r="B26" i="3"/>
  <c r="C25" i="3"/>
  <c r="P39" i="5" s="1"/>
  <c r="B25" i="3"/>
  <c r="Q33" i="4" s="1"/>
  <c r="Q32" i="6" s="1"/>
  <c r="C24" i="3"/>
  <c r="B24" i="3"/>
  <c r="C23" i="3"/>
  <c r="B23" i="3"/>
  <c r="C22" i="3"/>
  <c r="B22" i="3"/>
  <c r="C20" i="3"/>
  <c r="B20" i="3"/>
  <c r="C19" i="3"/>
  <c r="P25" i="5" s="1"/>
  <c r="B19" i="3"/>
  <c r="K25" i="4" s="1"/>
  <c r="C18" i="3"/>
  <c r="B18" i="3"/>
  <c r="C17" i="3"/>
  <c r="B17" i="3"/>
  <c r="C16" i="3"/>
  <c r="B16" i="3"/>
  <c r="C15" i="3"/>
  <c r="B15" i="3"/>
  <c r="C14" i="3"/>
  <c r="B14" i="3"/>
  <c r="C12" i="3"/>
  <c r="Q54" i="5" s="1"/>
  <c r="Q74" i="6" s="1"/>
  <c r="B12" i="3"/>
  <c r="G40" i="4" s="1"/>
  <c r="G39" i="6" s="1"/>
  <c r="C11" i="3"/>
  <c r="B11" i="3"/>
  <c r="C10" i="3"/>
  <c r="B10" i="3"/>
  <c r="C9" i="3"/>
  <c r="B9" i="3"/>
  <c r="C8" i="3"/>
  <c r="B8" i="3"/>
  <c r="C7" i="3"/>
  <c r="B7" i="3"/>
  <c r="C6" i="3"/>
  <c r="B6" i="3"/>
  <c r="B91" i="2"/>
  <c r="B90" i="2"/>
  <c r="B89" i="2"/>
  <c r="P40" i="5" s="1"/>
  <c r="B88" i="2"/>
  <c r="D33" i="4" s="1"/>
  <c r="D32" i="6" s="1"/>
  <c r="P41" i="5" l="1"/>
  <c r="C42" i="5"/>
  <c r="K27" i="4"/>
  <c r="K23" i="6"/>
  <c r="K26" i="6" s="1"/>
  <c r="N16" i="6"/>
  <c r="N19" i="6" s="1"/>
  <c r="N20" i="4"/>
  <c r="J51" i="6"/>
  <c r="G41" i="4"/>
  <c r="P27" i="5"/>
  <c r="P51" i="6"/>
  <c r="P54" i="6" s="1"/>
  <c r="M32" i="4"/>
  <c r="N33" i="4"/>
  <c r="N32" i="6" s="1"/>
  <c r="P41" i="4"/>
  <c r="N44" i="6"/>
  <c r="O39" i="5"/>
  <c r="H46" i="5"/>
  <c r="C47" i="6"/>
  <c r="J19" i="6"/>
  <c r="M33" i="4"/>
  <c r="M32" i="6" s="1"/>
  <c r="O41" i="4"/>
  <c r="Q41" i="4"/>
  <c r="K46" i="5"/>
  <c r="Q40" i="6"/>
  <c r="R41" i="4"/>
  <c r="N32" i="5"/>
  <c r="O46" i="5"/>
  <c r="C42" i="4"/>
  <c r="L18" i="5"/>
  <c r="L20" i="5" s="1"/>
  <c r="M25" i="5"/>
  <c r="R32" i="5"/>
  <c r="F40" i="5"/>
  <c r="E47" i="5"/>
  <c r="E67" i="6" s="1"/>
  <c r="E72" i="6"/>
  <c r="G23" i="6"/>
  <c r="G26" i="6" s="1"/>
  <c r="D41" i="4"/>
  <c r="M18" i="5"/>
  <c r="M20" i="5" s="1"/>
  <c r="N25" i="5"/>
  <c r="F27" i="5"/>
  <c r="G40" i="5"/>
  <c r="G47" i="5"/>
  <c r="G67" i="6" s="1"/>
  <c r="I53" i="5"/>
  <c r="C19" i="6"/>
  <c r="H58" i="6"/>
  <c r="R13" i="4"/>
  <c r="M20" i="4"/>
  <c r="O18" i="4"/>
  <c r="G11" i="4"/>
  <c r="F13" i="4"/>
  <c r="R32" i="4"/>
  <c r="H11" i="4"/>
  <c r="N18" i="5"/>
  <c r="N20" i="5" s="1"/>
  <c r="O25" i="5"/>
  <c r="E33" i="5"/>
  <c r="E60" i="6" s="1"/>
  <c r="K40" i="5"/>
  <c r="K47" i="5"/>
  <c r="K67" i="6" s="1"/>
  <c r="M53" i="5"/>
  <c r="L32" i="4"/>
  <c r="D51" i="6"/>
  <c r="J20" i="4"/>
  <c r="O33" i="4"/>
  <c r="O32" i="6" s="1"/>
  <c r="G20" i="5"/>
  <c r="O32" i="4"/>
  <c r="P32" i="4"/>
  <c r="C34" i="4"/>
  <c r="I11" i="4"/>
  <c r="I12" i="4"/>
  <c r="I11" i="6" s="1"/>
  <c r="R18" i="4"/>
  <c r="R19" i="4"/>
  <c r="R18" i="6" s="1"/>
  <c r="K26" i="4"/>
  <c r="K25" i="6" s="1"/>
  <c r="E39" i="4"/>
  <c r="I12" i="5"/>
  <c r="I46" i="6" s="1"/>
  <c r="Q18" i="5"/>
  <c r="Q20" i="5" s="1"/>
  <c r="F33" i="5"/>
  <c r="F60" i="6" s="1"/>
  <c r="K38" i="5"/>
  <c r="M40" i="5"/>
  <c r="O47" i="5"/>
  <c r="O67" i="6" s="1"/>
  <c r="Q53" i="5"/>
  <c r="K16" i="6"/>
  <c r="K19" i="6" s="1"/>
  <c r="Q12" i="6"/>
  <c r="L58" i="6"/>
  <c r="F27" i="4"/>
  <c r="H32" i="4"/>
  <c r="J46" i="5"/>
  <c r="R39" i="5"/>
  <c r="J32" i="5"/>
  <c r="R25" i="5"/>
  <c r="I18" i="5"/>
  <c r="P11" i="5"/>
  <c r="I46" i="5"/>
  <c r="Q39" i="5"/>
  <c r="Q41" i="5" s="1"/>
  <c r="I32" i="5"/>
  <c r="Q25" i="5"/>
  <c r="H18" i="5"/>
  <c r="H20" i="5" s="1"/>
  <c r="O11" i="5"/>
  <c r="F46" i="5"/>
  <c r="N39" i="5"/>
  <c r="N41" i="5" s="1"/>
  <c r="D46" i="5"/>
  <c r="L39" i="5"/>
  <c r="D32" i="5"/>
  <c r="L25" i="5"/>
  <c r="R46" i="5"/>
  <c r="Q46" i="5"/>
  <c r="I39" i="5"/>
  <c r="I41" i="5" s="1"/>
  <c r="Q32" i="5"/>
  <c r="I25" i="5"/>
  <c r="U26" i="5" s="1"/>
  <c r="E15" i="7" s="1"/>
  <c r="P18" i="5"/>
  <c r="P20" i="5" s="1"/>
  <c r="G11" i="5"/>
  <c r="P46" i="5"/>
  <c r="H39" i="5"/>
  <c r="P32" i="5"/>
  <c r="H25" i="5"/>
  <c r="O18" i="5"/>
  <c r="O20" i="5" s="1"/>
  <c r="F11" i="5"/>
  <c r="N46" i="5"/>
  <c r="M46" i="5"/>
  <c r="E39" i="5"/>
  <c r="M32" i="5"/>
  <c r="E25" i="5"/>
  <c r="L46" i="5"/>
  <c r="D32" i="4"/>
  <c r="R18" i="5"/>
  <c r="R20" i="5" s="1"/>
  <c r="H33" i="4"/>
  <c r="H32" i="6" s="1"/>
  <c r="F40" i="4"/>
  <c r="F39" i="6" s="1"/>
  <c r="F39" i="4"/>
  <c r="K11" i="4"/>
  <c r="K12" i="4"/>
  <c r="K11" i="6" s="1"/>
  <c r="D18" i="4"/>
  <c r="D19" i="4"/>
  <c r="D18" i="6" s="1"/>
  <c r="C20" i="4"/>
  <c r="M25" i="4"/>
  <c r="M26" i="4"/>
  <c r="M25" i="6" s="1"/>
  <c r="E32" i="4"/>
  <c r="F33" i="4"/>
  <c r="F32" i="6" s="1"/>
  <c r="H39" i="4"/>
  <c r="I40" i="4"/>
  <c r="I39" i="6" s="1"/>
  <c r="E11" i="5"/>
  <c r="K12" i="5"/>
  <c r="K46" i="6" s="1"/>
  <c r="C17" i="5"/>
  <c r="C20" i="5" s="1"/>
  <c r="D26" i="5"/>
  <c r="D53" i="6" s="1"/>
  <c r="H33" i="5"/>
  <c r="H60" i="6" s="1"/>
  <c r="E54" i="5"/>
  <c r="E74" i="6" s="1"/>
  <c r="N32" i="4"/>
  <c r="D40" i="5"/>
  <c r="H25" i="4"/>
  <c r="R33" i="4"/>
  <c r="R32" i="6" s="1"/>
  <c r="P18" i="4"/>
  <c r="I25" i="4"/>
  <c r="J11" i="4"/>
  <c r="L25" i="4"/>
  <c r="D11" i="5"/>
  <c r="O40" i="5"/>
  <c r="J47" i="5"/>
  <c r="J67" i="6" s="1"/>
  <c r="R40" i="5"/>
  <c r="J33" i="5"/>
  <c r="J60" i="6" s="1"/>
  <c r="R26" i="5"/>
  <c r="R53" i="6" s="1"/>
  <c r="I19" i="5"/>
  <c r="P12" i="5"/>
  <c r="P46" i="6" s="1"/>
  <c r="K10" i="5"/>
  <c r="K45" i="6" s="1"/>
  <c r="I47" i="5"/>
  <c r="I67" i="6" s="1"/>
  <c r="Q40" i="5"/>
  <c r="O38" i="5"/>
  <c r="I33" i="5"/>
  <c r="I60" i="6" s="1"/>
  <c r="Q26" i="5"/>
  <c r="Q53" i="6" s="1"/>
  <c r="O24" i="5"/>
  <c r="O52" i="6" s="1"/>
  <c r="H19" i="5"/>
  <c r="O12" i="5"/>
  <c r="O46" i="6" s="1"/>
  <c r="H47" i="5"/>
  <c r="H67" i="6" s="1"/>
  <c r="F47" i="5"/>
  <c r="F67" i="6" s="1"/>
  <c r="N40" i="5"/>
  <c r="D47" i="5"/>
  <c r="D67" i="6" s="1"/>
  <c r="L40" i="5"/>
  <c r="D33" i="5"/>
  <c r="D60" i="6" s="1"/>
  <c r="L26" i="5"/>
  <c r="L53" i="6" s="1"/>
  <c r="R47" i="5"/>
  <c r="R67" i="6" s="1"/>
  <c r="J40" i="5"/>
  <c r="Q47" i="5"/>
  <c r="Q67" i="6" s="1"/>
  <c r="O45" i="5"/>
  <c r="O66" i="6" s="1"/>
  <c r="I40" i="5"/>
  <c r="Q33" i="5"/>
  <c r="Q60" i="6" s="1"/>
  <c r="O31" i="5"/>
  <c r="O59" i="6" s="1"/>
  <c r="I26" i="5"/>
  <c r="I53" i="6" s="1"/>
  <c r="P19" i="5"/>
  <c r="K17" i="5"/>
  <c r="K20" i="5" s="1"/>
  <c r="G12" i="5"/>
  <c r="G46" i="6" s="1"/>
  <c r="P47" i="5"/>
  <c r="P67" i="6" s="1"/>
  <c r="K45" i="5"/>
  <c r="K66" i="6" s="1"/>
  <c r="H40" i="5"/>
  <c r="P33" i="5"/>
  <c r="P60" i="6" s="1"/>
  <c r="K31" i="5"/>
  <c r="K59" i="6" s="1"/>
  <c r="H26" i="5"/>
  <c r="H53" i="6" s="1"/>
  <c r="O19" i="5"/>
  <c r="F12" i="5"/>
  <c r="F46" i="6" s="1"/>
  <c r="N47" i="5"/>
  <c r="N67" i="6" s="1"/>
  <c r="M47" i="5"/>
  <c r="M67" i="6" s="1"/>
  <c r="C45" i="5"/>
  <c r="E40" i="5"/>
  <c r="M33" i="5"/>
  <c r="M60" i="6" s="1"/>
  <c r="C31" i="5"/>
  <c r="E26" i="5"/>
  <c r="E53" i="6" s="1"/>
  <c r="L47" i="5"/>
  <c r="L67" i="6" s="1"/>
  <c r="E18" i="4"/>
  <c r="N25" i="4"/>
  <c r="F32" i="4"/>
  <c r="G33" i="4"/>
  <c r="G32" i="6" s="1"/>
  <c r="I39" i="4"/>
  <c r="J40" i="4"/>
  <c r="J39" i="6" s="1"/>
  <c r="H11" i="5"/>
  <c r="L12" i="5"/>
  <c r="L46" i="6" s="1"/>
  <c r="D19" i="5"/>
  <c r="C24" i="5"/>
  <c r="F26" i="5"/>
  <c r="F53" i="6" s="1"/>
  <c r="F54" i="6" s="1"/>
  <c r="K33" i="5"/>
  <c r="K60" i="6" s="1"/>
  <c r="K61" i="6" s="1"/>
  <c r="D39" i="5"/>
  <c r="I54" i="5"/>
  <c r="I74" i="6" s="1"/>
  <c r="G40" i="6"/>
  <c r="Q13" i="4"/>
  <c r="E12" i="6"/>
  <c r="Q18" i="4"/>
  <c r="E33" i="4"/>
  <c r="E32" i="6" s="1"/>
  <c r="M11" i="4"/>
  <c r="M12" i="4"/>
  <c r="M11" i="6" s="1"/>
  <c r="F18" i="4"/>
  <c r="F19" i="4"/>
  <c r="F18" i="6" s="1"/>
  <c r="O25" i="4"/>
  <c r="O26" i="4"/>
  <c r="O25" i="6" s="1"/>
  <c r="G32" i="4"/>
  <c r="I33" i="4"/>
  <c r="I32" i="6" s="1"/>
  <c r="J39" i="4"/>
  <c r="K40" i="4"/>
  <c r="K39" i="6" s="1"/>
  <c r="I11" i="5"/>
  <c r="M12" i="5"/>
  <c r="M46" i="6" s="1"/>
  <c r="M47" i="6" s="1"/>
  <c r="R13" i="5"/>
  <c r="O17" i="5"/>
  <c r="E19" i="5"/>
  <c r="E20" i="5" s="1"/>
  <c r="G26" i="5"/>
  <c r="G53" i="6" s="1"/>
  <c r="G54" i="6" s="1"/>
  <c r="L33" i="5"/>
  <c r="L60" i="6" s="1"/>
  <c r="F39" i="5"/>
  <c r="F41" i="5" s="1"/>
  <c r="M54" i="5"/>
  <c r="M74" i="6" s="1"/>
  <c r="M41" i="5"/>
  <c r="P33" i="4"/>
  <c r="P32" i="6" s="1"/>
  <c r="O34" i="5"/>
  <c r="O58" i="6"/>
  <c r="O61" i="6" s="1"/>
  <c r="Q32" i="4"/>
  <c r="L11" i="4"/>
  <c r="N26" i="4"/>
  <c r="N25" i="6" s="1"/>
  <c r="N11" i="4"/>
  <c r="N12" i="4"/>
  <c r="N11" i="6" s="1"/>
  <c r="G18" i="4"/>
  <c r="G19" i="4"/>
  <c r="G18" i="6" s="1"/>
  <c r="P25" i="4"/>
  <c r="P26" i="4"/>
  <c r="P25" i="6" s="1"/>
  <c r="I32" i="4"/>
  <c r="J33" i="4"/>
  <c r="J32" i="6" s="1"/>
  <c r="K39" i="4"/>
  <c r="L40" i="4"/>
  <c r="L39" i="6" s="1"/>
  <c r="J11" i="5"/>
  <c r="N12" i="5"/>
  <c r="N46" i="6" s="1"/>
  <c r="F19" i="5"/>
  <c r="F20" i="5" s="1"/>
  <c r="K24" i="5"/>
  <c r="K52" i="6" s="1"/>
  <c r="J26" i="5"/>
  <c r="J53" i="6" s="1"/>
  <c r="E32" i="5"/>
  <c r="N33" i="5"/>
  <c r="N60" i="6" s="1"/>
  <c r="G39" i="5"/>
  <c r="G41" i="5" s="1"/>
  <c r="E26" i="6"/>
  <c r="D27" i="4"/>
  <c r="C33" i="6"/>
  <c r="L20" i="4"/>
  <c r="E27" i="4"/>
  <c r="C10" i="4"/>
  <c r="O11" i="4"/>
  <c r="O12" i="4"/>
  <c r="O11" i="6" s="1"/>
  <c r="H18" i="4"/>
  <c r="H19" i="4"/>
  <c r="H18" i="6" s="1"/>
  <c r="O24" i="4"/>
  <c r="O24" i="6" s="1"/>
  <c r="Q25" i="4"/>
  <c r="Q26" i="4"/>
  <c r="Q25" i="6" s="1"/>
  <c r="J32" i="4"/>
  <c r="K33" i="4"/>
  <c r="K32" i="6" s="1"/>
  <c r="L39" i="4"/>
  <c r="M40" i="4"/>
  <c r="M39" i="6" s="1"/>
  <c r="K11" i="5"/>
  <c r="Q12" i="5"/>
  <c r="Q46" i="6" s="1"/>
  <c r="Q47" i="6" s="1"/>
  <c r="G19" i="5"/>
  <c r="K26" i="5"/>
  <c r="K53" i="6" s="1"/>
  <c r="K54" i="6" s="1"/>
  <c r="F32" i="5"/>
  <c r="O33" i="5"/>
  <c r="O60" i="6" s="1"/>
  <c r="J39" i="5"/>
  <c r="J41" i="5" s="1"/>
  <c r="C75" i="6"/>
  <c r="G48" i="5"/>
  <c r="G27" i="5"/>
  <c r="M19" i="6"/>
  <c r="D13" i="4"/>
  <c r="K27" i="5"/>
  <c r="E13" i="4"/>
  <c r="J25" i="4"/>
  <c r="H54" i="5"/>
  <c r="H74" i="6" s="1"/>
  <c r="H53" i="5"/>
  <c r="G54" i="5"/>
  <c r="G74" i="6" s="1"/>
  <c r="G53" i="5"/>
  <c r="F54" i="5"/>
  <c r="F74" i="6" s="1"/>
  <c r="F53" i="5"/>
  <c r="D54" i="5"/>
  <c r="D74" i="6" s="1"/>
  <c r="D53" i="5"/>
  <c r="R54" i="5"/>
  <c r="R74" i="6" s="1"/>
  <c r="R53" i="5"/>
  <c r="P54" i="5"/>
  <c r="P74" i="6" s="1"/>
  <c r="P53" i="5"/>
  <c r="O54" i="5"/>
  <c r="O74" i="6" s="1"/>
  <c r="O53" i="5"/>
  <c r="N54" i="5"/>
  <c r="N74" i="6" s="1"/>
  <c r="N53" i="5"/>
  <c r="L54" i="5"/>
  <c r="L74" i="6" s="1"/>
  <c r="L53" i="5"/>
  <c r="K54" i="5"/>
  <c r="K74" i="6" s="1"/>
  <c r="K53" i="5"/>
  <c r="J54" i="5"/>
  <c r="J74" i="6" s="1"/>
  <c r="J53" i="5"/>
  <c r="L12" i="4"/>
  <c r="L11" i="6" s="1"/>
  <c r="E19" i="4"/>
  <c r="E18" i="6" s="1"/>
  <c r="C24" i="4"/>
  <c r="P11" i="4"/>
  <c r="P12" i="4"/>
  <c r="P11" i="6" s="1"/>
  <c r="I18" i="4"/>
  <c r="I19" i="4"/>
  <c r="I18" i="6" s="1"/>
  <c r="R25" i="4"/>
  <c r="R26" i="4"/>
  <c r="R25" i="6" s="1"/>
  <c r="K32" i="4"/>
  <c r="L33" i="4"/>
  <c r="L32" i="6" s="1"/>
  <c r="M39" i="4"/>
  <c r="N40" i="4"/>
  <c r="N39" i="6" s="1"/>
  <c r="N40" i="6" s="1"/>
  <c r="L11" i="5"/>
  <c r="R12" i="5"/>
  <c r="R46" i="6" s="1"/>
  <c r="R47" i="6" s="1"/>
  <c r="D18" i="5"/>
  <c r="J19" i="5"/>
  <c r="J20" i="5" s="1"/>
  <c r="M26" i="5"/>
  <c r="M53" i="6" s="1"/>
  <c r="G32" i="5"/>
  <c r="R33" i="5"/>
  <c r="R60" i="6" s="1"/>
  <c r="K39" i="5"/>
  <c r="K41" i="5" s="1"/>
  <c r="E46" i="5"/>
  <c r="C40" i="6"/>
  <c r="G65" i="6"/>
  <c r="G68" i="6" s="1"/>
  <c r="C41" i="6" l="1"/>
  <c r="R23" i="6"/>
  <c r="R26" i="6" s="1"/>
  <c r="R27" i="4"/>
  <c r="O72" i="6"/>
  <c r="O75" i="6" s="1"/>
  <c r="O55" i="5"/>
  <c r="Q16" i="6"/>
  <c r="Q19" i="6" s="1"/>
  <c r="Q20" i="4"/>
  <c r="N30" i="6"/>
  <c r="N33" i="6" s="1"/>
  <c r="N34" i="4"/>
  <c r="P34" i="5"/>
  <c r="P58" i="6"/>
  <c r="P61" i="6" s="1"/>
  <c r="O13" i="5"/>
  <c r="O44" i="6"/>
  <c r="O47" i="6" s="1"/>
  <c r="D42" i="4"/>
  <c r="C48" i="6"/>
  <c r="J54" i="6"/>
  <c r="K13" i="4"/>
  <c r="K9" i="6"/>
  <c r="K12" i="6" s="1"/>
  <c r="H41" i="5"/>
  <c r="I9" i="6"/>
  <c r="I12" i="6" s="1"/>
  <c r="I13" i="4"/>
  <c r="H48" i="5"/>
  <c r="H65" i="6"/>
  <c r="H68" i="6" s="1"/>
  <c r="M9" i="6"/>
  <c r="M12" i="6" s="1"/>
  <c r="M13" i="4"/>
  <c r="N23" i="6"/>
  <c r="N26" i="6" s="1"/>
  <c r="N27" i="4"/>
  <c r="F37" i="6"/>
  <c r="F40" i="6" s="1"/>
  <c r="F41" i="4"/>
  <c r="P65" i="6"/>
  <c r="P68" i="6" s="1"/>
  <c r="P48" i="5"/>
  <c r="Q27" i="5"/>
  <c r="Q51" i="6"/>
  <c r="Q54" i="6" s="1"/>
  <c r="G40" i="7"/>
  <c r="F40" i="7"/>
  <c r="E40" i="7"/>
  <c r="D40" i="7"/>
  <c r="C40" i="7"/>
  <c r="C35" i="4"/>
  <c r="O27" i="5"/>
  <c r="O51" i="6"/>
  <c r="O54" i="6" s="1"/>
  <c r="K34" i="5"/>
  <c r="O41" i="5"/>
  <c r="E16" i="6"/>
  <c r="E19" i="6" s="1"/>
  <c r="E20" i="4"/>
  <c r="Q72" i="6"/>
  <c r="Q75" i="6" s="1"/>
  <c r="Q55" i="5"/>
  <c r="P30" i="6"/>
  <c r="P33" i="6" s="1"/>
  <c r="P34" i="4"/>
  <c r="H9" i="6"/>
  <c r="H12" i="6" s="1"/>
  <c r="H13" i="4"/>
  <c r="N51" i="6"/>
  <c r="N54" i="6" s="1"/>
  <c r="N27" i="5"/>
  <c r="N47" i="6"/>
  <c r="G20" i="4"/>
  <c r="G16" i="6"/>
  <c r="G19" i="6" s="1"/>
  <c r="G58" i="6"/>
  <c r="G61" i="6" s="1"/>
  <c r="G34" i="5"/>
  <c r="L9" i="6"/>
  <c r="L12" i="6" s="1"/>
  <c r="L13" i="4"/>
  <c r="I51" i="6"/>
  <c r="I54" i="6" s="1"/>
  <c r="I27" i="5"/>
  <c r="I48" i="5"/>
  <c r="I65" i="6"/>
  <c r="I68" i="6" s="1"/>
  <c r="O34" i="4"/>
  <c r="O30" i="6"/>
  <c r="O33" i="6" s="1"/>
  <c r="R30" i="6"/>
  <c r="R33" i="6" s="1"/>
  <c r="R34" i="4"/>
  <c r="O65" i="6"/>
  <c r="O68" i="6" s="1"/>
  <c r="O48" i="5"/>
  <c r="N13" i="5"/>
  <c r="Q30" i="6"/>
  <c r="Q33" i="6" s="1"/>
  <c r="Q34" i="4"/>
  <c r="J37" i="6"/>
  <c r="J40" i="6" s="1"/>
  <c r="J41" i="4"/>
  <c r="D41" i="5"/>
  <c r="U40" i="5"/>
  <c r="E19" i="7" s="1"/>
  <c r="C59" i="6"/>
  <c r="C61" i="6" s="1"/>
  <c r="C34" i="5"/>
  <c r="M13" i="5"/>
  <c r="E13" i="5"/>
  <c r="E44" i="6"/>
  <c r="E47" i="6" s="1"/>
  <c r="D30" i="6"/>
  <c r="D34" i="4"/>
  <c r="U31" i="4" s="1"/>
  <c r="C11" i="7" s="1"/>
  <c r="U33" i="4"/>
  <c r="E11" i="7" s="1"/>
  <c r="Q58" i="6"/>
  <c r="Q61" i="6" s="1"/>
  <c r="Q34" i="5"/>
  <c r="P44" i="6"/>
  <c r="P47" i="6" s="1"/>
  <c r="P13" i="5"/>
  <c r="N58" i="6"/>
  <c r="N61" i="6" s="1"/>
  <c r="N34" i="5"/>
  <c r="F30" i="6"/>
  <c r="F33" i="6" s="1"/>
  <c r="F34" i="4"/>
  <c r="E58" i="6"/>
  <c r="E61" i="6" s="1"/>
  <c r="E34" i="5"/>
  <c r="D44" i="6"/>
  <c r="U12" i="5"/>
  <c r="E14" i="7" s="1"/>
  <c r="D13" i="5"/>
  <c r="L65" i="6"/>
  <c r="L68" i="6" s="1"/>
  <c r="L48" i="5"/>
  <c r="I20" i="5"/>
  <c r="G13" i="4"/>
  <c r="U12" i="4"/>
  <c r="E8" i="7" s="1"/>
  <c r="G9" i="6"/>
  <c r="I16" i="6"/>
  <c r="I19" i="6" s="1"/>
  <c r="I20" i="4"/>
  <c r="N9" i="6"/>
  <c r="N12" i="6" s="1"/>
  <c r="N13" i="4"/>
  <c r="U19" i="5"/>
  <c r="E16" i="7" s="1"/>
  <c r="D20" i="5"/>
  <c r="J72" i="6"/>
  <c r="J75" i="6" s="1"/>
  <c r="J55" i="5"/>
  <c r="G34" i="4"/>
  <c r="G30" i="6"/>
  <c r="G33" i="6" s="1"/>
  <c r="L23" i="6"/>
  <c r="L26" i="6" s="1"/>
  <c r="L27" i="4"/>
  <c r="H37" i="6"/>
  <c r="H40" i="6" s="1"/>
  <c r="H41" i="4"/>
  <c r="E51" i="6"/>
  <c r="E27" i="5"/>
  <c r="Q65" i="6"/>
  <c r="Q68" i="6" s="1"/>
  <c r="Q48" i="5"/>
  <c r="R51" i="6"/>
  <c r="R54" i="6" s="1"/>
  <c r="R27" i="5"/>
  <c r="O16" i="6"/>
  <c r="O19" i="6" s="1"/>
  <c r="O20" i="4"/>
  <c r="M30" i="6"/>
  <c r="M33" i="6" s="1"/>
  <c r="M34" i="4"/>
  <c r="U17" i="5"/>
  <c r="C16" i="7" s="1"/>
  <c r="U18" i="5"/>
  <c r="D16" i="7" s="1"/>
  <c r="C21" i="5"/>
  <c r="C76" i="6"/>
  <c r="C52" i="6"/>
  <c r="C54" i="6" s="1"/>
  <c r="C27" i="5"/>
  <c r="C66" i="6"/>
  <c r="C68" i="6" s="1"/>
  <c r="C48" i="5"/>
  <c r="J9" i="6"/>
  <c r="J12" i="6" s="1"/>
  <c r="J13" i="4"/>
  <c r="M58" i="6"/>
  <c r="M61" i="6" s="1"/>
  <c r="M34" i="5"/>
  <c r="R65" i="6"/>
  <c r="R68" i="6" s="1"/>
  <c r="R48" i="5"/>
  <c r="J58" i="6"/>
  <c r="J61" i="6" s="1"/>
  <c r="J34" i="5"/>
  <c r="D27" i="5"/>
  <c r="E75" i="6"/>
  <c r="I34" i="5"/>
  <c r="I58" i="6"/>
  <c r="I61" i="6" s="1"/>
  <c r="J44" i="6"/>
  <c r="J47" i="6" s="1"/>
  <c r="J13" i="5"/>
  <c r="N41" i="4"/>
  <c r="K72" i="6"/>
  <c r="K75" i="6" s="1"/>
  <c r="K55" i="5"/>
  <c r="G55" i="5"/>
  <c r="G72" i="6"/>
  <c r="G75" i="6" s="1"/>
  <c r="O13" i="4"/>
  <c r="O9" i="6"/>
  <c r="O12" i="6" s="1"/>
  <c r="O27" i="4"/>
  <c r="O23" i="6"/>
  <c r="O26" i="6" s="1"/>
  <c r="I23" i="6"/>
  <c r="I26" i="6" s="1"/>
  <c r="I27" i="4"/>
  <c r="E30" i="6"/>
  <c r="E33" i="6" s="1"/>
  <c r="E34" i="4"/>
  <c r="E41" i="5"/>
  <c r="L51" i="6"/>
  <c r="L54" i="6" s="1"/>
  <c r="L27" i="5"/>
  <c r="R41" i="5"/>
  <c r="D54" i="6"/>
  <c r="E55" i="5"/>
  <c r="K65" i="6"/>
  <c r="K68" i="6" s="1"/>
  <c r="K48" i="5"/>
  <c r="N72" i="6"/>
  <c r="N75" i="6" s="1"/>
  <c r="N55" i="5"/>
  <c r="R72" i="6"/>
  <c r="R75" i="6" s="1"/>
  <c r="R55" i="5"/>
  <c r="I44" i="6"/>
  <c r="I47" i="6" s="1"/>
  <c r="I13" i="5"/>
  <c r="C24" i="6"/>
  <c r="C26" i="6" s="1"/>
  <c r="C27" i="4"/>
  <c r="H16" i="6"/>
  <c r="H19" i="6" s="1"/>
  <c r="H20" i="4"/>
  <c r="L44" i="6"/>
  <c r="L47" i="6" s="1"/>
  <c r="L13" i="5"/>
  <c r="F58" i="6"/>
  <c r="F61" i="6" s="1"/>
  <c r="F34" i="5"/>
  <c r="C10" i="6"/>
  <c r="C12" i="6" s="1"/>
  <c r="C13" i="4"/>
  <c r="K41" i="4"/>
  <c r="K37" i="6"/>
  <c r="K40" i="6" s="1"/>
  <c r="Q13" i="5"/>
  <c r="P16" i="6"/>
  <c r="P19" i="6" s="1"/>
  <c r="P20" i="4"/>
  <c r="M65" i="6"/>
  <c r="M68" i="6" s="1"/>
  <c r="M48" i="5"/>
  <c r="D58" i="6"/>
  <c r="U33" i="5"/>
  <c r="E17" i="7" s="1"/>
  <c r="D34" i="5"/>
  <c r="J65" i="6"/>
  <c r="J68" i="6" s="1"/>
  <c r="J48" i="5"/>
  <c r="L30" i="6"/>
  <c r="L33" i="6" s="1"/>
  <c r="L34" i="4"/>
  <c r="H61" i="6"/>
  <c r="D42" i="5"/>
  <c r="J23" i="6"/>
  <c r="J26" i="6" s="1"/>
  <c r="J27" i="4"/>
  <c r="P72" i="6"/>
  <c r="P75" i="6" s="1"/>
  <c r="P55" i="5"/>
  <c r="G44" i="6"/>
  <c r="G47" i="6" s="1"/>
  <c r="G13" i="5"/>
  <c r="Q23" i="6"/>
  <c r="Q26" i="6" s="1"/>
  <c r="Q27" i="4"/>
  <c r="M23" i="6"/>
  <c r="M26" i="6" s="1"/>
  <c r="M27" i="4"/>
  <c r="N65" i="6"/>
  <c r="N68" i="6" s="1"/>
  <c r="N48" i="5"/>
  <c r="L41" i="5"/>
  <c r="H30" i="6"/>
  <c r="H33" i="6" s="1"/>
  <c r="H34" i="4"/>
  <c r="E37" i="6"/>
  <c r="E41" i="4"/>
  <c r="U39" i="4" s="1"/>
  <c r="D12" i="7" s="1"/>
  <c r="U40" i="4"/>
  <c r="E12" i="7" s="1"/>
  <c r="H34" i="5"/>
  <c r="K34" i="4"/>
  <c r="K30" i="6"/>
  <c r="K33" i="6" s="1"/>
  <c r="E65" i="6"/>
  <c r="E68" i="6" s="1"/>
  <c r="E48" i="5"/>
  <c r="L37" i="6"/>
  <c r="L40" i="6" s="1"/>
  <c r="L41" i="4"/>
  <c r="J30" i="6"/>
  <c r="J33" i="6" s="1"/>
  <c r="J34" i="4"/>
  <c r="P9" i="6"/>
  <c r="P12" i="6" s="1"/>
  <c r="P13" i="4"/>
  <c r="U54" i="5"/>
  <c r="E20" i="7" s="1"/>
  <c r="D72" i="6"/>
  <c r="D55" i="5"/>
  <c r="F55" i="5"/>
  <c r="F72" i="6"/>
  <c r="F75" i="6" s="1"/>
  <c r="M37" i="6"/>
  <c r="M40" i="6" s="1"/>
  <c r="M41" i="4"/>
  <c r="L72" i="6"/>
  <c r="L75" i="6" s="1"/>
  <c r="L55" i="5"/>
  <c r="H72" i="6"/>
  <c r="H75" i="6" s="1"/>
  <c r="H55" i="5"/>
  <c r="F16" i="6"/>
  <c r="F19" i="6" s="1"/>
  <c r="F20" i="4"/>
  <c r="I30" i="6"/>
  <c r="I33" i="6" s="1"/>
  <c r="I34" i="4"/>
  <c r="H44" i="6"/>
  <c r="H47" i="6" s="1"/>
  <c r="H13" i="5"/>
  <c r="H23" i="6"/>
  <c r="U26" i="4"/>
  <c r="E10" i="7" s="1"/>
  <c r="H27" i="4"/>
  <c r="F39" i="7"/>
  <c r="E39" i="7"/>
  <c r="D39" i="7"/>
  <c r="C39" i="7"/>
  <c r="G39" i="7"/>
  <c r="C21" i="4"/>
  <c r="U17" i="4"/>
  <c r="C9" i="7" s="1"/>
  <c r="U18" i="4"/>
  <c r="D9" i="7" s="1"/>
  <c r="F13" i="5"/>
  <c r="F44" i="6"/>
  <c r="F47" i="6" s="1"/>
  <c r="D65" i="6"/>
  <c r="U47" i="5"/>
  <c r="E18" i="7" s="1"/>
  <c r="D48" i="5"/>
  <c r="R58" i="6"/>
  <c r="R61" i="6" s="1"/>
  <c r="R34" i="5"/>
  <c r="L61" i="6"/>
  <c r="M72" i="6"/>
  <c r="M75" i="6" s="1"/>
  <c r="M55" i="5"/>
  <c r="C20" i="6"/>
  <c r="M51" i="6"/>
  <c r="M54" i="6" s="1"/>
  <c r="M27" i="5"/>
  <c r="K13" i="5"/>
  <c r="K44" i="6"/>
  <c r="K47" i="6" s="1"/>
  <c r="C34" i="6"/>
  <c r="P23" i="6"/>
  <c r="P26" i="6" s="1"/>
  <c r="P27" i="4"/>
  <c r="I37" i="6"/>
  <c r="I40" i="6" s="1"/>
  <c r="I41" i="4"/>
  <c r="D16" i="6"/>
  <c r="U19" i="4"/>
  <c r="E9" i="7" s="1"/>
  <c r="D20" i="4"/>
  <c r="H51" i="6"/>
  <c r="H54" i="6" s="1"/>
  <c r="H27" i="5"/>
  <c r="F65" i="6"/>
  <c r="F68" i="6" s="1"/>
  <c r="F48" i="5"/>
  <c r="L34" i="5"/>
  <c r="R16" i="6"/>
  <c r="R19" i="6" s="1"/>
  <c r="R20" i="4"/>
  <c r="I72" i="6"/>
  <c r="I75" i="6" s="1"/>
  <c r="I55" i="5"/>
  <c r="J27" i="5"/>
  <c r="C55" i="6" l="1"/>
  <c r="E54" i="6"/>
  <c r="U52" i="6" s="1"/>
  <c r="C32" i="7" s="1"/>
  <c r="U53" i="6"/>
  <c r="E32" i="7" s="1"/>
  <c r="G12" i="6"/>
  <c r="U11" i="6"/>
  <c r="E25" i="7" s="1"/>
  <c r="E42" i="4"/>
  <c r="F42" i="4" s="1"/>
  <c r="G42" i="4" s="1"/>
  <c r="H42" i="4" s="1"/>
  <c r="I42" i="4" s="1"/>
  <c r="J42" i="4" s="1"/>
  <c r="K42" i="4" s="1"/>
  <c r="L42" i="4" s="1"/>
  <c r="M42" i="4" s="1"/>
  <c r="N42" i="4" s="1"/>
  <c r="O42" i="4" s="1"/>
  <c r="P42" i="4" s="1"/>
  <c r="Q42" i="4" s="1"/>
  <c r="R42" i="4" s="1"/>
  <c r="D21" i="4"/>
  <c r="E21" i="4" s="1"/>
  <c r="F21" i="4" s="1"/>
  <c r="G21" i="4" s="1"/>
  <c r="H21" i="4" s="1"/>
  <c r="I21" i="4" s="1"/>
  <c r="J21" i="4" s="1"/>
  <c r="K21" i="4" s="1"/>
  <c r="L21" i="4" s="1"/>
  <c r="M21" i="4" s="1"/>
  <c r="N21" i="4" s="1"/>
  <c r="O21" i="4" s="1"/>
  <c r="P21" i="4" s="1"/>
  <c r="Q21" i="4" s="1"/>
  <c r="R21" i="4" s="1"/>
  <c r="D61" i="6"/>
  <c r="U60" i="6"/>
  <c r="E33" i="7" s="1"/>
  <c r="C28" i="4"/>
  <c r="U24" i="4"/>
  <c r="C10" i="7" s="1"/>
  <c r="U25" i="4"/>
  <c r="D10" i="7" s="1"/>
  <c r="U32" i="4"/>
  <c r="D11" i="7" s="1"/>
  <c r="C27" i="6"/>
  <c r="D35" i="4"/>
  <c r="E35" i="4" s="1"/>
  <c r="F35" i="4" s="1"/>
  <c r="G35" i="4" s="1"/>
  <c r="H35" i="4" s="1"/>
  <c r="I35" i="4" s="1"/>
  <c r="J35" i="4" s="1"/>
  <c r="K35" i="4" s="1"/>
  <c r="L35" i="4" s="1"/>
  <c r="M35" i="4" s="1"/>
  <c r="N35" i="4" s="1"/>
  <c r="O35" i="4" s="1"/>
  <c r="P35" i="4" s="1"/>
  <c r="Q35" i="4" s="1"/>
  <c r="R35" i="4" s="1"/>
  <c r="U34" i="4"/>
  <c r="F11" i="7" s="1"/>
  <c r="D21" i="5"/>
  <c r="E21" i="5" s="1"/>
  <c r="F21" i="5" s="1"/>
  <c r="G21" i="5" s="1"/>
  <c r="H21" i="5" s="1"/>
  <c r="I21" i="5" s="1"/>
  <c r="J21" i="5" s="1"/>
  <c r="K21" i="5" s="1"/>
  <c r="L21" i="5" s="1"/>
  <c r="M21" i="5" s="1"/>
  <c r="N21" i="5" s="1"/>
  <c r="O21" i="5" s="1"/>
  <c r="P21" i="5" s="1"/>
  <c r="Q21" i="5" s="1"/>
  <c r="R21" i="5" s="1"/>
  <c r="U20" i="5"/>
  <c r="F16" i="7" s="1"/>
  <c r="D75" i="6"/>
  <c r="D76" i="6" s="1"/>
  <c r="U74" i="6"/>
  <c r="E35" i="7" s="1"/>
  <c r="U11" i="4"/>
  <c r="D8" i="7" s="1"/>
  <c r="C14" i="4"/>
  <c r="U10" i="4"/>
  <c r="C8" i="7" s="1"/>
  <c r="U31" i="5"/>
  <c r="C17" i="7" s="1"/>
  <c r="C35" i="5"/>
  <c r="U32" i="5"/>
  <c r="D17" i="7" s="1"/>
  <c r="D19" i="6"/>
  <c r="U18" i="6"/>
  <c r="E26" i="7" s="1"/>
  <c r="D47" i="6"/>
  <c r="U46" i="6"/>
  <c r="E31" i="7" s="1"/>
  <c r="H26" i="6"/>
  <c r="U24" i="6" s="1"/>
  <c r="C27" i="7" s="1"/>
  <c r="U25" i="6"/>
  <c r="E27" i="7" s="1"/>
  <c r="U10" i="6"/>
  <c r="C25" i="7" s="1"/>
  <c r="U9" i="6"/>
  <c r="D25" i="7" s="1"/>
  <c r="C13" i="6"/>
  <c r="D13" i="6" s="1"/>
  <c r="U59" i="6"/>
  <c r="C33" i="7" s="1"/>
  <c r="U58" i="6"/>
  <c r="D33" i="7" s="1"/>
  <c r="C62" i="6"/>
  <c r="E42" i="5"/>
  <c r="F42" i="5" s="1"/>
  <c r="G42" i="5" s="1"/>
  <c r="H42" i="5" s="1"/>
  <c r="I42" i="5" s="1"/>
  <c r="J42" i="5" s="1"/>
  <c r="K42" i="5" s="1"/>
  <c r="L42" i="5" s="1"/>
  <c r="M42" i="5" s="1"/>
  <c r="N42" i="5" s="1"/>
  <c r="O42" i="5" s="1"/>
  <c r="P42" i="5" s="1"/>
  <c r="Q42" i="5" s="1"/>
  <c r="R42" i="5" s="1"/>
  <c r="D20" i="6"/>
  <c r="E20" i="6" s="1"/>
  <c r="F20" i="6" s="1"/>
  <c r="G20" i="6" s="1"/>
  <c r="H20" i="6" s="1"/>
  <c r="I20" i="6" s="1"/>
  <c r="J20" i="6" s="1"/>
  <c r="K20" i="6" s="1"/>
  <c r="L20" i="6" s="1"/>
  <c r="M20" i="6" s="1"/>
  <c r="N20" i="6" s="1"/>
  <c r="O20" i="6" s="1"/>
  <c r="P20" i="6" s="1"/>
  <c r="Q20" i="6" s="1"/>
  <c r="R20" i="6" s="1"/>
  <c r="D14" i="5"/>
  <c r="U10" i="5"/>
  <c r="C14" i="7" s="1"/>
  <c r="U11" i="5"/>
  <c r="D14" i="7" s="1"/>
  <c r="D68" i="6"/>
  <c r="U67" i="6"/>
  <c r="E34" i="7" s="1"/>
  <c r="G42" i="7"/>
  <c r="F42" i="7"/>
  <c r="E42" i="7"/>
  <c r="D42" i="7"/>
  <c r="C42" i="7"/>
  <c r="C49" i="5"/>
  <c r="U45" i="5"/>
  <c r="C18" i="7" s="1"/>
  <c r="U46" i="5"/>
  <c r="D18" i="7" s="1"/>
  <c r="U38" i="5"/>
  <c r="C19" i="7" s="1"/>
  <c r="U39" i="5"/>
  <c r="D19" i="7" s="1"/>
  <c r="D33" i="6"/>
  <c r="U32" i="6"/>
  <c r="E28" i="7" s="1"/>
  <c r="U53" i="5"/>
  <c r="D20" i="7" s="1"/>
  <c r="U52" i="5"/>
  <c r="C20" i="7" s="1"/>
  <c r="D56" i="5"/>
  <c r="U66" i="6"/>
  <c r="C34" i="7" s="1"/>
  <c r="U65" i="6"/>
  <c r="D34" i="7" s="1"/>
  <c r="C69" i="6"/>
  <c r="D41" i="6"/>
  <c r="E40" i="6"/>
  <c r="U39" i="6"/>
  <c r="E29" i="7" s="1"/>
  <c r="G41" i="7"/>
  <c r="F41" i="7"/>
  <c r="E41" i="7"/>
  <c r="D41" i="7"/>
  <c r="C41" i="7"/>
  <c r="C28" i="5"/>
  <c r="U24" i="5"/>
  <c r="C15" i="7" s="1"/>
  <c r="U25" i="5"/>
  <c r="D15" i="7" s="1"/>
  <c r="U38" i="4"/>
  <c r="C12" i="7" s="1"/>
  <c r="U41" i="4"/>
  <c r="F12" i="7" s="1"/>
  <c r="E76" i="6" l="1"/>
  <c r="F76" i="6" s="1"/>
  <c r="G76" i="6" s="1"/>
  <c r="H76" i="6" s="1"/>
  <c r="I76" i="6" s="1"/>
  <c r="J76" i="6" s="1"/>
  <c r="K76" i="6" s="1"/>
  <c r="L76" i="6" s="1"/>
  <c r="M76" i="6" s="1"/>
  <c r="N76" i="6" s="1"/>
  <c r="O76" i="6" s="1"/>
  <c r="P76" i="6" s="1"/>
  <c r="Q76" i="6" s="1"/>
  <c r="R76" i="6" s="1"/>
  <c r="U75" i="6"/>
  <c r="F35" i="7" s="1"/>
  <c r="D28" i="4"/>
  <c r="E28" i="4" s="1"/>
  <c r="F28" i="4" s="1"/>
  <c r="G28" i="4" s="1"/>
  <c r="H28" i="4" s="1"/>
  <c r="I28" i="4" s="1"/>
  <c r="J28" i="4" s="1"/>
  <c r="K28" i="4" s="1"/>
  <c r="L28" i="4" s="1"/>
  <c r="M28" i="4" s="1"/>
  <c r="N28" i="4" s="1"/>
  <c r="O28" i="4" s="1"/>
  <c r="P28" i="4" s="1"/>
  <c r="Q28" i="4" s="1"/>
  <c r="R28" i="4" s="1"/>
  <c r="U27" i="4"/>
  <c r="F10" i="7" s="1"/>
  <c r="D62" i="6"/>
  <c r="E62" i="6" s="1"/>
  <c r="F62" i="6" s="1"/>
  <c r="G62" i="6" s="1"/>
  <c r="H62" i="6" s="1"/>
  <c r="I62" i="6" s="1"/>
  <c r="J62" i="6" s="1"/>
  <c r="K62" i="6" s="1"/>
  <c r="L62" i="6" s="1"/>
  <c r="M62" i="6" s="1"/>
  <c r="N62" i="6" s="1"/>
  <c r="O62" i="6" s="1"/>
  <c r="P62" i="6" s="1"/>
  <c r="Q62" i="6" s="1"/>
  <c r="R62" i="6" s="1"/>
  <c r="U61" i="6"/>
  <c r="F33" i="7" s="1"/>
  <c r="E13" i="6"/>
  <c r="F13" i="6" s="1"/>
  <c r="G13" i="6" s="1"/>
  <c r="H13" i="6" s="1"/>
  <c r="I13" i="6" s="1"/>
  <c r="J13" i="6" s="1"/>
  <c r="K13" i="6" s="1"/>
  <c r="L13" i="6" s="1"/>
  <c r="M13" i="6" s="1"/>
  <c r="N13" i="6" s="1"/>
  <c r="O13" i="6" s="1"/>
  <c r="P13" i="6" s="1"/>
  <c r="Q13" i="6" s="1"/>
  <c r="R13" i="6" s="1"/>
  <c r="U20" i="4"/>
  <c r="F9" i="7" s="1"/>
  <c r="U38" i="6"/>
  <c r="C29" i="7" s="1"/>
  <c r="U37" i="6"/>
  <c r="D29" i="7" s="1"/>
  <c r="E41" i="6"/>
  <c r="D28" i="5"/>
  <c r="E28" i="5" s="1"/>
  <c r="F28" i="5" s="1"/>
  <c r="G28" i="5" s="1"/>
  <c r="H28" i="5" s="1"/>
  <c r="I28" i="5" s="1"/>
  <c r="J28" i="5" s="1"/>
  <c r="K28" i="5" s="1"/>
  <c r="L28" i="5" s="1"/>
  <c r="M28" i="5" s="1"/>
  <c r="N28" i="5" s="1"/>
  <c r="O28" i="5" s="1"/>
  <c r="P28" i="5" s="1"/>
  <c r="Q28" i="5" s="1"/>
  <c r="R28" i="5" s="1"/>
  <c r="U31" i="6"/>
  <c r="C28" i="7" s="1"/>
  <c r="U30" i="6"/>
  <c r="D28" i="7" s="1"/>
  <c r="D34" i="6"/>
  <c r="U45" i="6"/>
  <c r="C31" i="7" s="1"/>
  <c r="U44" i="6"/>
  <c r="D31" i="7" s="1"/>
  <c r="D49" i="5"/>
  <c r="E49" i="5" s="1"/>
  <c r="F49" i="5" s="1"/>
  <c r="G49" i="5" s="1"/>
  <c r="H49" i="5" s="1"/>
  <c r="I49" i="5" s="1"/>
  <c r="J49" i="5" s="1"/>
  <c r="K49" i="5" s="1"/>
  <c r="L49" i="5" s="1"/>
  <c r="M49" i="5" s="1"/>
  <c r="N49" i="5" s="1"/>
  <c r="O49" i="5" s="1"/>
  <c r="P49" i="5" s="1"/>
  <c r="Q49" i="5" s="1"/>
  <c r="R49" i="5" s="1"/>
  <c r="D14" i="4"/>
  <c r="E14" i="4" s="1"/>
  <c r="F14" i="4" s="1"/>
  <c r="G14" i="4" s="1"/>
  <c r="H14" i="4" s="1"/>
  <c r="I14" i="4" s="1"/>
  <c r="J14" i="4" s="1"/>
  <c r="K14" i="4" s="1"/>
  <c r="L14" i="4" s="1"/>
  <c r="M14" i="4" s="1"/>
  <c r="N14" i="4" s="1"/>
  <c r="O14" i="4" s="1"/>
  <c r="P14" i="4" s="1"/>
  <c r="Q14" i="4" s="1"/>
  <c r="R14" i="4" s="1"/>
  <c r="U13" i="4"/>
  <c r="F8" i="7" s="1"/>
  <c r="E56" i="5"/>
  <c r="F56" i="5" s="1"/>
  <c r="G56" i="5" s="1"/>
  <c r="H56" i="5" s="1"/>
  <c r="I56" i="5" s="1"/>
  <c r="J56" i="5" s="1"/>
  <c r="K56" i="5" s="1"/>
  <c r="L56" i="5" s="1"/>
  <c r="M56" i="5" s="1"/>
  <c r="N56" i="5" s="1"/>
  <c r="O56" i="5" s="1"/>
  <c r="P56" i="5" s="1"/>
  <c r="Q56" i="5" s="1"/>
  <c r="R56" i="5" s="1"/>
  <c r="U23" i="6"/>
  <c r="D27" i="7" s="1"/>
  <c r="D55" i="6"/>
  <c r="E55" i="6" s="1"/>
  <c r="F55" i="6" s="1"/>
  <c r="G55" i="6" s="1"/>
  <c r="H55" i="6" s="1"/>
  <c r="I55" i="6" s="1"/>
  <c r="J55" i="6" s="1"/>
  <c r="K55" i="6" s="1"/>
  <c r="L55" i="6" s="1"/>
  <c r="M55" i="6" s="1"/>
  <c r="N55" i="6" s="1"/>
  <c r="O55" i="6" s="1"/>
  <c r="P55" i="6" s="1"/>
  <c r="Q55" i="6" s="1"/>
  <c r="R55" i="6" s="1"/>
  <c r="U54" i="6"/>
  <c r="F32" i="7" s="1"/>
  <c r="D48" i="6"/>
  <c r="U17" i="6"/>
  <c r="C26" i="7" s="1"/>
  <c r="U16" i="6"/>
  <c r="D26" i="7" s="1"/>
  <c r="D27" i="6"/>
  <c r="E27" i="6" s="1"/>
  <c r="F27" i="6" s="1"/>
  <c r="G27" i="6" s="1"/>
  <c r="H27" i="6" s="1"/>
  <c r="I27" i="6" s="1"/>
  <c r="J27" i="6" s="1"/>
  <c r="K27" i="6" s="1"/>
  <c r="L27" i="6" s="1"/>
  <c r="M27" i="6" s="1"/>
  <c r="N27" i="6" s="1"/>
  <c r="O27" i="6" s="1"/>
  <c r="P27" i="6" s="1"/>
  <c r="Q27" i="6" s="1"/>
  <c r="R27" i="6" s="1"/>
  <c r="U51" i="6"/>
  <c r="D32" i="7" s="1"/>
  <c r="D69" i="6"/>
  <c r="E69" i="6" s="1"/>
  <c r="F69" i="6" s="1"/>
  <c r="G69" i="6" s="1"/>
  <c r="H69" i="6" s="1"/>
  <c r="I69" i="6" s="1"/>
  <c r="J69" i="6" s="1"/>
  <c r="K69" i="6" s="1"/>
  <c r="L69" i="6" s="1"/>
  <c r="M69" i="6" s="1"/>
  <c r="N69" i="6" s="1"/>
  <c r="O69" i="6" s="1"/>
  <c r="P69" i="6" s="1"/>
  <c r="Q69" i="6" s="1"/>
  <c r="R69" i="6" s="1"/>
  <c r="U73" i="6"/>
  <c r="C35" i="7" s="1"/>
  <c r="U72" i="6"/>
  <c r="D35" i="7" s="1"/>
  <c r="E14" i="5"/>
  <c r="F14" i="5" s="1"/>
  <c r="G14" i="5" s="1"/>
  <c r="H14" i="5" s="1"/>
  <c r="I14" i="5" s="1"/>
  <c r="J14" i="5" s="1"/>
  <c r="K14" i="5" s="1"/>
  <c r="L14" i="5" s="1"/>
  <c r="M14" i="5" s="1"/>
  <c r="N14" i="5" s="1"/>
  <c r="O14" i="5" s="1"/>
  <c r="P14" i="5" s="1"/>
  <c r="Q14" i="5" s="1"/>
  <c r="R14" i="5" s="1"/>
  <c r="U13" i="5"/>
  <c r="F14" i="7" s="1"/>
  <c r="U19" i="6"/>
  <c r="F26" i="7" s="1"/>
  <c r="D35" i="5"/>
  <c r="E35" i="5" s="1"/>
  <c r="F35" i="5" s="1"/>
  <c r="G35" i="5" s="1"/>
  <c r="H35" i="5" s="1"/>
  <c r="I35" i="5" s="1"/>
  <c r="J35" i="5" s="1"/>
  <c r="K35" i="5" s="1"/>
  <c r="L35" i="5" s="1"/>
  <c r="M35" i="5" s="1"/>
  <c r="N35" i="5" s="1"/>
  <c r="O35" i="5" s="1"/>
  <c r="P35" i="5" s="1"/>
  <c r="Q35" i="5" s="1"/>
  <c r="R35" i="5" s="1"/>
  <c r="U41" i="5"/>
  <c r="F19" i="7" s="1"/>
  <c r="F41" i="6" l="1"/>
  <c r="G41" i="6" s="1"/>
  <c r="H41" i="6" s="1"/>
  <c r="I41" i="6" s="1"/>
  <c r="J41" i="6" s="1"/>
  <c r="K41" i="6" s="1"/>
  <c r="L41" i="6" s="1"/>
  <c r="M41" i="6" s="1"/>
  <c r="N41" i="6" s="1"/>
  <c r="O41" i="6" s="1"/>
  <c r="P41" i="6" s="1"/>
  <c r="Q41" i="6" s="1"/>
  <c r="R41" i="6" s="1"/>
  <c r="U40" i="6"/>
  <c r="F29" i="7" s="1"/>
  <c r="E48" i="6"/>
  <c r="F48" i="6" s="1"/>
  <c r="G48" i="6" s="1"/>
  <c r="H48" i="6" s="1"/>
  <c r="I48" i="6" s="1"/>
  <c r="J48" i="6" s="1"/>
  <c r="K48" i="6" s="1"/>
  <c r="L48" i="6" s="1"/>
  <c r="M48" i="6" s="1"/>
  <c r="N48" i="6" s="1"/>
  <c r="O48" i="6" s="1"/>
  <c r="P48" i="6" s="1"/>
  <c r="Q48" i="6" s="1"/>
  <c r="R48" i="6" s="1"/>
  <c r="U47" i="6"/>
  <c r="F31" i="7" s="1"/>
  <c r="U34" i="5"/>
  <c r="F17" i="7" s="1"/>
  <c r="U12" i="6"/>
  <c r="F25" i="7" s="1"/>
  <c r="U27" i="5"/>
  <c r="F15" i="7" s="1"/>
  <c r="U55" i="5"/>
  <c r="F20" i="7" s="1"/>
  <c r="U48" i="5"/>
  <c r="F18" i="7" s="1"/>
  <c r="U68" i="6"/>
  <c r="F34" i="7" s="1"/>
  <c r="U26" i="6"/>
  <c r="F27" i="7" s="1"/>
  <c r="E34" i="6"/>
  <c r="F34" i="6" s="1"/>
  <c r="G34" i="6" s="1"/>
  <c r="H34" i="6" s="1"/>
  <c r="I34" i="6" s="1"/>
  <c r="J34" i="6" s="1"/>
  <c r="K34" i="6" s="1"/>
  <c r="L34" i="6" s="1"/>
  <c r="M34" i="6" s="1"/>
  <c r="N34" i="6" s="1"/>
  <c r="O34" i="6" s="1"/>
  <c r="P34" i="6" s="1"/>
  <c r="Q34" i="6" s="1"/>
  <c r="R34" i="6" s="1"/>
  <c r="U33" i="6" l="1"/>
  <c r="F28" i="7" s="1"/>
</calcChain>
</file>

<file path=xl/sharedStrings.xml><?xml version="1.0" encoding="utf-8"?>
<sst xmlns="http://schemas.openxmlformats.org/spreadsheetml/2006/main" count="617" uniqueCount="337">
  <si>
    <t>UNEP/CTCN Technical Assistance: "Reducing Smallholder Vegetable Farmers' Vulnerability to Climate Change in Mongolia through EbA and Digitalised Risk-Mitigation Insurance Solutions" — Activity 1.3.</t>
  </si>
  <si>
    <t>Implementing entity: OIKO LOGICA S.L.   |   Analytical workbook accompanying the CBA report.</t>
  </si>
  <si>
    <t>PURPOSE OF THIS WORKBOOK</t>
  </si>
  <si>
    <t>This workbook is the auditable quantitative engine behind the CBA report. It is fully formula-driven: every</t>
  </si>
  <si>
    <t>financial and economic indicator (NPV, IRR, BCR, payback) is recomputed by Excel from the annual cash-flow</t>
  </si>
  <si>
    <t>streams, which in turn reference a single Assumptions sheet through named ranges. Change any blue input on the</t>
  </si>
  <si>
    <t>Assumptions sheet and the entire model — enterprise budgets, scenario cash flows, indicators and summary —</t>
  </si>
  <si>
    <t>recalculates automatically.</t>
  </si>
  <si>
    <t>UNIT OF ANALYSIS</t>
  </si>
  <si>
    <t>• Primary unit: one representative smallholder HOUSEHOLD, with shared (water-users'-association) irrigation</t>
  </si>
  <si>
    <t xml:space="preserve">  infrastructure allocated on a per-household basis (cluster of 18 households).</t>
  </si>
  <si>
    <t>• Representative household endowment: 500 m² open-field vegetable plot, 300 m² greenhouse, 250 m²</t>
  </si>
  <si>
    <t xml:space="preserve">  agroforestry / shelterbelt strip.</t>
  </si>
  <si>
    <t>• All values in constant 2026 USD. Exchange rate 3,570 MNT/USD (June 2026). Base horizon 15 years; economic</t>
  </si>
  <si>
    <t xml:space="preserve">  horizon and a 20-year variant are reported in the accompanying document.</t>
  </si>
  <si>
    <t>SCENARIO (TECHNOLOGY-PACKAGE) FRAMEWORK — as defined in the Feasibility Study (Section 8.5, Table 49)</t>
  </si>
  <si>
    <t>S0  —  Baseline — traditional rain-fed / low-efficiency vegetable farming, no project intervention (counterfactual).</t>
  </si>
  <si>
    <t>S1  —  Improved irrigation — shared solar-powered pump + household drip system.</t>
  </si>
  <si>
    <t>S2  —  Irrigation + Greenhouse — solar drip plus a passive-solar / wind-resistant greenhouse.</t>
  </si>
  <si>
    <t>S3  —  Irrigation + Agroforestry (EbA) — solar drip plus layered shelterbelt / agroforestry.</t>
  </si>
  <si>
    <t>S4  —  Full Integrated Model — irrigation + greenhouse + agroforestry + index-based crop insurance.</t>
  </si>
  <si>
    <t>S5  —  Insurance only — index-based crop insurance with no physical technology (analytical reference scenario, not a recommended package).</t>
  </si>
  <si>
    <t>COLOUR CONVENTION</t>
  </si>
  <si>
    <t>Blue text = hard-coded input (change for scenarios).</t>
  </si>
  <si>
    <t>Black text = formula / calculation (do not overwrite).</t>
  </si>
  <si>
    <t>Green text = link to another worksheet.</t>
  </si>
  <si>
    <t>Yellow fill = key assumption flagged for verification.</t>
  </si>
  <si>
    <t>SHEET INDEX</t>
  </si>
  <si>
    <t>1. Assumptions — all inputs with sources (blue) and the data-gap verification flags.</t>
  </si>
  <si>
    <t>2. Enterprise Budgets — per-province gross margins for each enterprise (live formulas).</t>
  </si>
  <si>
    <t>4. Financial CBA – Dundgovi — passive-solar base case (recommended) and polycarbonate co-financed variant.</t>
  </si>
  <si>
    <t>5. Economic CBA — both provinces (society viewpoint: import-parity, conversion factors, carbon).</t>
  </si>
  <si>
    <t>6. Summary &amp; Sensitivity — headline indicators, discount-rate, tornado and horizon sensitivity.</t>
  </si>
  <si>
    <t>IMPORTANT — DATA-GAP / VERIFICATION FLAGS</t>
  </si>
  <si>
    <t>Several inputs are plausible assumptions calibrated to provincial reports and a market scan rather than</t>
  </si>
  <si>
    <t>directly measured project values. They are highlighted yellow on the Assumptions sheet and itemised in the</t>
  </si>
  <si>
    <t>report. Priority items to verify: greenhouse yields and the blended greenhouse price; open-field yields and</t>
  </si>
  <si>
    <t>the climate-risk haircut; agroforestry establishment cost and survival; the insurance premium/subsidy/payout</t>
  </si>
  <si>
    <t>structure; and the discount rates. These drive the results and should be confirmed before publication.</t>
  </si>
  <si>
    <t>ASSUMPTIONS REGISTER</t>
  </si>
  <si>
    <t>All inputs in constant 2026 USD unless noted. Blue = input. Yellow fill = verify before publication.</t>
  </si>
  <si>
    <t>Parameter</t>
  </si>
  <si>
    <t>Value</t>
  </si>
  <si>
    <t>Unit</t>
  </si>
  <si>
    <t>Source / basis</t>
  </si>
  <si>
    <t>1. Macro &amp; analysis parameters</t>
  </si>
  <si>
    <t>Exchange rate</t>
  </si>
  <si>
    <t>MNT/USD</t>
  </si>
  <si>
    <t>Mid-market rate, June 2026 (tradingeconomics / currency.wiki). Verify at delivery.</t>
  </si>
  <si>
    <t>Financial discount rate (real)</t>
  </si>
  <si>
    <t>Smallholder real opportunity cost of capital / MFI lending proxy, Mongolia. ADB CBA guidance band 8–12%.</t>
  </si>
  <si>
    <t>Economic discount rate (real)</t>
  </si>
  <si>
    <t>ADB economic opportunity cost of capital for Mongolia (10% nominal guideline, ~8% real).</t>
  </si>
  <si>
    <t>Households per shared-pump cluster</t>
  </si>
  <si>
    <t>hh</t>
  </si>
  <si>
    <t>Feasibility study: water-users' association of 15–20 households sharing a solar pump.</t>
  </si>
  <si>
    <t>2. Plot areas (representative household)</t>
  </si>
  <si>
    <t>Open-field vegetable plot</t>
  </si>
  <si>
    <t>m²</t>
  </si>
  <si>
    <t>Representative smallholder backyard plot (provincial DFA reports; project design).</t>
  </si>
  <si>
    <t>Greenhouse</t>
  </si>
  <si>
    <t>Representative household greenhouse unit (feasibility study design module).</t>
  </si>
  <si>
    <t>Agroforestry / shelterbelt strip</t>
  </si>
  <si>
    <t>Representative productive shelterbelt strip per household (feasibility study).</t>
  </si>
  <si>
    <t>3. Farm-gate prices</t>
  </si>
  <si>
    <t>Open-field vegetables (blended)</t>
  </si>
  <si>
    <t>MNT/kg</t>
  </si>
  <si>
    <t>Blended potato + cabbage/carrot/turnip farm-gate, 2025–26 (news.mn; provincial briefs).</t>
  </si>
  <si>
    <t>Greenhouse produce (blended off-season)</t>
  </si>
  <si>
    <t>Blended off-season wholesale tomato/cucumber/leafy (shuud.mn, news.mn). Conservative vs retail.</t>
  </si>
  <si>
    <t>Agroforestry product (blended)</t>
  </si>
  <si>
    <t>Blended berries/fruit/fodder value (sea buckthorn, currant) — indicative.</t>
  </si>
  <si>
    <t>4. Yields — nominal (before climate-risk haircut)</t>
  </si>
  <si>
    <t>kg/m²/yr</t>
  </si>
  <si>
    <t>Provincial vegetable yields ~8–10 t/ha under low-efficiency irrigation (DFA 2025; baseline study).</t>
  </si>
  <si>
    <t>Open-field, baseline — Dundgovi</t>
  </si>
  <si>
    <t>Dundgovi vegetable yield 8.1 t/ha but water-stressed; lower effective backyard yield.</t>
  </si>
  <si>
    <t>+44% from drip efficiency, water reliability, fertigation (literature; project target).</t>
  </si>
  <si>
    <t>Open-field, with solar-drip — Dundgovi</t>
  </si>
  <si>
    <t>+67% uplift from reliable irrigation in water-scarce Dundgovi (project target).</t>
  </si>
  <si>
    <t>Passive-solar, 2 harvests; conservative vs high-tech 36 kg/m² (shuud.mn) given 9-month season.</t>
  </si>
  <si>
    <t>Greenhouse — Dundgovi</t>
  </si>
  <si>
    <t>Passive-solar, 8-month season; provincial winter unit ~13.4 kg/m² (DFA 2025).</t>
  </si>
  <si>
    <t>Mature productive shelterbelt (berries/fruit) — indicative, slow-establishing.</t>
  </si>
  <si>
    <t>Agroforestry, mature — Dundgovi</t>
  </si>
  <si>
    <t>Mature productive shelterbelt under harsher Gobi conditions — indicative.</t>
  </si>
  <si>
    <t>5. Climate-risk haircut  (expected-yield loss = p(event) × severity)</t>
  </si>
  <si>
    <t>/yr</t>
  </si>
  <si>
    <t>Drought/frost/hail/sandstorm exposure; IRIMHE hazard frequency, provincial reports.</t>
  </si>
  <si>
    <t>Average fraction of crop lost in an event year (assumption).</t>
  </si>
  <si>
    <t>Reduced exposure with reliable irrigation.</t>
  </si>
  <si>
    <t>Sharply reduced exposure under protected cultivation.</t>
  </si>
  <si>
    <t>P(damaging event), baseline OF — Dundgovi</t>
  </si>
  <si>
    <t>Higher Gobi exposure (sandstorms, drought) — IRIMHE/desertification studies.</t>
  </si>
  <si>
    <t>Loss severity, baseline — Dundgovi</t>
  </si>
  <si>
    <t>Higher severity under harsher conditions (assumption).</t>
  </si>
  <si>
    <t>P(loss), drip-protected OF — Dundgovi</t>
  </si>
  <si>
    <t>P(loss), greenhouse — Dundgovi</t>
  </si>
  <si>
    <t>6. Variable (operating) costs</t>
  </si>
  <si>
    <t>Open-field, baseline</t>
  </si>
  <si>
    <t>USD/m²/yr</t>
  </si>
  <si>
    <t>Seeds, fertiliser, residual family labour (crop-budget basis).</t>
  </si>
  <si>
    <t>Open-field, with drip</t>
  </si>
  <si>
    <t>Higher inputs + slightly more labour under intensified drip cultivation.</t>
  </si>
  <si>
    <t>Greenhouse (intensive, 2 harvests)</t>
  </si>
  <si>
    <t>Seedlings, substrate/manure, fertiliser, water/energy, hired+peak labour, packaging, IPM.</t>
  </si>
  <si>
    <t>Agroforestry maintenance (mature)</t>
  </si>
  <si>
    <t>Pruning, watering, guarding once established.</t>
  </si>
  <si>
    <t>7. Capital costs — greenhouse</t>
  </si>
  <si>
    <t>USD/m²</t>
  </si>
  <si>
    <t>Greenhouse capex — Dundgovi (polycarbonate, co-financed variant)</t>
  </si>
  <si>
    <t>Polycarbonate wind-resistant (120 km/h) 35–55 USD/m² — higher-specification co-financed upgrade (feasibility report Section 7.1.5, Table 49).</t>
  </si>
  <si>
    <t>Greenhouse capex — Dundgovi (passive solar, base case)</t>
  </si>
  <si>
    <t>Earth-sheltered passive solar 15–25 USD/m² — MCA rank 1 and recommended primary design for Dundgovi (feasibility report Section 7.1.5, Table 49).</t>
  </si>
  <si>
    <t>Annual upkeep.</t>
  </si>
  <si>
    <t>Greenhouse annual O&amp;M — Dundgovi</t>
  </si>
  <si>
    <t>Higher upkeep under harsher conditions.</t>
  </si>
  <si>
    <t>Glazing/cover replacement cost.</t>
  </si>
  <si>
    <t>Greenhouse glazing replacement — Dundgovi</t>
  </si>
  <si>
    <t>Polycarbonate panel replacement cost.</t>
  </si>
  <si>
    <t>year</t>
  </si>
  <si>
    <t>Mid-life cover replacement.</t>
  </si>
  <si>
    <t>Glazing replacement year — Dundgovi</t>
  </si>
  <si>
    <t>8. Capital costs — solar pumping &amp; water (shared cluster of 18 hh)</t>
  </si>
  <si>
    <t>USD</t>
  </si>
  <si>
    <t>Direct solar, shallow well (5–25 m) 1,500–3,000 USD — MCA primary.</t>
  </si>
  <si>
    <t>Solar pump system per cluster — Dundgovi</t>
  </si>
  <si>
    <t>Submersible + LiFePO₄ battery, deep borehole (50–150 m) 5,500–12,000 USD — MCA primary.</t>
  </si>
  <si>
    <t>Solar O&amp;M (fraction of capex / yr)</t>
  </si>
  <si>
    <t>Annual O&amp;M as share of capex.</t>
  </si>
  <si>
    <t>Pump replacement year</t>
  </si>
  <si>
    <t>Submersible pump mid-life replacement.</t>
  </si>
  <si>
    <t>Pump replacement (fraction of capex)</t>
  </si>
  <si>
    <t>Pump share of system cost.</t>
  </si>
  <si>
    <t>Battery replacement year — Dundgovi</t>
  </si>
  <si>
    <t>LiFePO₄ battery cycle life (Dundgovi only).</t>
  </si>
  <si>
    <t>Battery replacement (fraction of capex)</t>
  </si>
  <si>
    <t>Battery share of Dundgovi system cost.</t>
  </si>
  <si>
    <t>Shared 3,000 L tank + distribution mainline.</t>
  </si>
  <si>
    <t>Tank + mainline per cluster — Dundgovi</t>
  </si>
  <si>
    <t>Shared 3,000 L tank + distribution mainline (deeper).</t>
  </si>
  <si>
    <t>9. Capital costs — drip &amp; agroforestry (per household)</t>
  </si>
  <si>
    <t>Drip system, OF+GH (per hh)</t>
  </si>
  <si>
    <t>Laterals, filter, fittings for 500 m² OF + 300 m² GH (~0.45 USD/m²).</t>
  </si>
  <si>
    <t>Drip system, OF only (per hh)</t>
  </si>
  <si>
    <t>Laterals, filter, fittings for 500 m² OF only.</t>
  </si>
  <si>
    <t>Drip replacement (fraction)</t>
  </si>
  <si>
    <t>Lateral replacement share.</t>
  </si>
  <si>
    <t>Drip replacement year 1</t>
  </si>
  <si>
    <t>First drip-line replacement.</t>
  </si>
  <si>
    <t>Drip replacement year 2</t>
  </si>
  <si>
    <t>Second drip-line replacement.</t>
  </si>
  <si>
    <t>Agroforestry seedlings (per hh)</t>
  </si>
  <si>
    <t>~150 trees/shrubs @ ~0.40 USD incl. transport &amp; beating-up.</t>
  </si>
  <si>
    <t>Agroforestry planting labour (per hh)</t>
  </si>
  <si>
    <t>Pitting, planting, initial watering.</t>
  </si>
  <si>
    <t>Agroforestry fencing (per hh share)</t>
  </si>
  <si>
    <t>Essential livestock-exclusion fence (share).</t>
  </si>
  <si>
    <t>Establishment irrigation (per hh share)</t>
  </si>
  <si>
    <t>Establishment watering infrastructure share.</t>
  </si>
  <si>
    <t>Agroforestry beating-up year</t>
  </si>
  <si>
    <t>Replanting of failures (~50–60% survival).</t>
  </si>
  <si>
    <t>Beating-up (fraction of seedling+planting)</t>
  </si>
  <si>
    <t>Replacement share for mortality.</t>
  </si>
  <si>
    <t>10. Index-based crop insurance</t>
  </si>
  <si>
    <t>Premium rate (of insured value)</t>
  </si>
  <si>
    <t>IBLIP-style index insurance premium.</t>
  </si>
  <si>
    <t>Premium subsidy share (govt/donor)</t>
  </si>
  <si>
    <t>Assumed 50% premium subsidy.</t>
  </si>
  <si>
    <t>Expected payout / gross premium</t>
  </si>
  <si>
    <t>Loading of ~25% (expected payout below premium).</t>
  </si>
  <si>
    <t>11. Economic-analysis parameters</t>
  </si>
  <si>
    <t>Standard conversion factor</t>
  </si>
  <si>
    <t>Financial→economic price conversion (remove duties/margins). ADB Mongolia.</t>
  </si>
  <si>
    <t>Import-parity uplift (vegetables)</t>
  </si>
  <si>
    <t>Vegetables are import-substituting (~70% of fine veg imported) → economic price uplift.</t>
  </si>
  <si>
    <t>Rural shadow wage factor</t>
  </si>
  <si>
    <t>Surplus rural labour (applied via conversion).</t>
  </si>
  <si>
    <t>Carbon price</t>
  </si>
  <si>
    <t>USD/tCO₂e</t>
  </si>
  <si>
    <t>Economic carbon co-benefit value.</t>
  </si>
  <si>
    <t>Agroforestry sequestration</t>
  </si>
  <si>
    <t>tCO₂e/hh/yr</t>
  </si>
  <si>
    <t>Mature shelterbelt sequestration per household.</t>
  </si>
  <si>
    <t>Avoided emissions (solar pumping)</t>
  </si>
  <si>
    <t>Avoided diesel/coal pumping per household (allocated).</t>
  </si>
  <si>
    <t>12. Shelter (windbreak) protective effect on open field</t>
  </si>
  <si>
    <t>+6% open-field yield once shelterbelt mature (from year 6).</t>
  </si>
  <si>
    <t>Yield uplift on protected OF — Dundgovi</t>
  </si>
  <si>
    <t>+8% open-field yield once shelterbelt mature (from year 6).</t>
  </si>
  <si>
    <t>13. Derived per-household shares (formulas)</t>
  </si>
  <si>
    <t>Solar share per hh — Dundgovi</t>
  </si>
  <si>
    <t>Tank share per hh — Dundgovi</t>
  </si>
  <si>
    <t>ENTERPRISE BUDGETS — annual gross margins (live formulas)</t>
  </si>
  <si>
    <t>Per representative household plot. Prices entered in MNT/kg on Assumptions; converted to USD here.</t>
  </si>
  <si>
    <t>Item</t>
  </si>
  <si>
    <t>Dundgovi</t>
  </si>
  <si>
    <t>A. Open field — BASELINE (low-efficiency irrigation)</t>
  </si>
  <si>
    <t>Nominal yield (kg/m²/yr)</t>
  </si>
  <si>
    <t>Climate-risk factor (1 − p×severity)</t>
  </si>
  <si>
    <t>Effective yield (kg/m²/yr)</t>
  </si>
  <si>
    <t>Revenue (USD/yr)</t>
  </si>
  <si>
    <t>Variable cost (USD/yr)</t>
  </si>
  <si>
    <t>NET MARGIN (USD/yr)</t>
  </si>
  <si>
    <t>Nominal revenue for insurance (USD/yr)</t>
  </si>
  <si>
    <t>B. Open field — WITH SOLAR DRIP</t>
  </si>
  <si>
    <t>C. Greenhouse (passive solar, 2 harvests)</t>
  </si>
  <si>
    <t>Revenue, risk-adjusted (USD/yr)</t>
  </si>
  <si>
    <t>D. Agroforestry / shelterbelt (productive, at maturity)</t>
  </si>
  <si>
    <t>Mature yield (kg/m²/yr)</t>
  </si>
  <si>
    <t>Mature revenue (USD/yr)</t>
  </si>
  <si>
    <t>NET MARGIN at maturity (USD/yr)</t>
  </si>
  <si>
    <t>Incremental cash flows over baseline (S0), per representative household. Constant 2026 USD. Discount rate = financial rate on Assumptions.</t>
  </si>
  <si>
    <t>Year</t>
  </si>
  <si>
    <t>Discount factor (financial)</t>
  </si>
  <si>
    <t>Agroforestry maturity ramp</t>
  </si>
  <si>
    <t>Shelter-effect onset</t>
  </si>
  <si>
    <t>S1 — Improved irrigation (solar pump + drip)</t>
  </si>
  <si>
    <t>Capital cost (CAPEX)</t>
  </si>
  <si>
    <t>NPV (USD)</t>
  </si>
  <si>
    <t>Incremental benefit</t>
  </si>
  <si>
    <t>IRR</t>
  </si>
  <si>
    <t>Operating cost (OPEX)</t>
  </si>
  <si>
    <t>BCR</t>
  </si>
  <si>
    <t>Net cash flow</t>
  </si>
  <si>
    <t>Payback (yr)</t>
  </si>
  <si>
    <t>Cumulative net</t>
  </si>
  <si>
    <t>S2 — Irrigation + Greenhouse</t>
  </si>
  <si>
    <t>S3 — Irrigation + Agroforestry (EbA)</t>
  </si>
  <si>
    <t>S4 — Full Integrated Model</t>
  </si>
  <si>
    <t>S5 — Insurance only</t>
  </si>
  <si>
    <t>FINANCIAL CBA — Dundgovi</t>
  </si>
  <si>
    <t>Incremental cash flows over baseline (S0), per representative household. Constant 2026 USD. Base case uses the earth-sheltered passive-solar greenhouse recommended by the feasibility study (Section 7.1.5, Table 49); the wind-resistant polycarbonate structure is carried as a co-financed variant.</t>
  </si>
  <si>
    <t>S2 — Irrigation + Greenhouse  [polycarbonate, CO-FINANCED VARIANT]</t>
  </si>
  <si>
    <t>S2 — Irrigation + Greenhouse  [passive solar, BASE CASE — recommended]</t>
  </si>
  <si>
    <t>S4 — Full Integrated Model  [polycarbonate, CO-FINANCED VARIANT]</t>
  </si>
  <si>
    <t>S4 — Full Integrated Model  [passive solar, BASE CASE — recommended]</t>
  </si>
  <si>
    <t>ECONOMIC CBA — both provinces</t>
  </si>
  <si>
    <t>Economic (society) viewpoint: benefits at import-parity × SCF, costs × SCF, plus carbon co-benefits. Economic discount rate on Assumptions. Dundgovi greenhouse = passive solar.</t>
  </si>
  <si>
    <t>Discount factor (economic)</t>
  </si>
  <si>
    <t>Economic benefit</t>
  </si>
  <si>
    <t>EIRR</t>
  </si>
  <si>
    <t>Economic capital cost</t>
  </si>
  <si>
    <t>ENPV (USD)</t>
  </si>
  <si>
    <t>Economic operating cost</t>
  </si>
  <si>
    <t>EBCR</t>
  </si>
  <si>
    <t>Economic net cash flow</t>
  </si>
  <si>
    <t>Cumulative economic net</t>
  </si>
  <si>
    <t>Dundgovi · S1 — Improved irrigation</t>
  </si>
  <si>
    <t>Dundgovi · S2 — Irrigation + Greenhouse (passive solar)</t>
  </si>
  <si>
    <t>Dundgovi · S3 — Irrigation + Agroforestry (EbA)</t>
  </si>
  <si>
    <t>Dundgovi · S4 — Full Integrated Model (passive solar)</t>
  </si>
  <si>
    <t>Dundgovi · S5 — Insurance only</t>
  </si>
  <si>
    <t>SUMMARY OF RESULTS &amp; SENSITIVITY ANALYSIS</t>
  </si>
  <si>
    <t>Headline indicators are live links to the Financial and Economic worksheets. Discount-rate sensitivity recomputes live from the scenario cash flows; the remaining sensitivity blocks report values computed by the financial model and reproduced in the CBA report.</t>
  </si>
  <si>
    <t>1.  FINANCIAL INDICATORS  (constant 2026 USD, 15-year horizon, real discount rate 10%)</t>
  </si>
  <si>
    <t>Technology package (scenario)</t>
  </si>
  <si>
    <t xml:space="preserve">  S1 — Improved irrigation</t>
  </si>
  <si>
    <t xml:space="preserve">  S2 — Irrigation + Greenhouse</t>
  </si>
  <si>
    <t xml:space="preserve">  S3 — Irrigation + Agroforestry (EbA)</t>
  </si>
  <si>
    <t xml:space="preserve">  S4 — Full Integrated Model</t>
  </si>
  <si>
    <t xml:space="preserve">  S5 — Insurance only</t>
  </si>
  <si>
    <t xml:space="preserve">  S2 — Irrigation + Greenhouse [passive solar, base case]</t>
  </si>
  <si>
    <t xml:space="preserve">  S2 — Irrigation + Greenhouse [polycarbonate, co-financed variant]</t>
  </si>
  <si>
    <t xml:space="preserve">  S4 — Full Integrated Model [passive solar, base case]</t>
  </si>
  <si>
    <t xml:space="preserve">  S4 — Full Integrated Model [polycarbonate, co-financed variant]</t>
  </si>
  <si>
    <t>2.  ECONOMIC INDICATORS  (import-parity &amp; carbon co-benefits; social discount rate 8%; Dundgovi greenhouse = passive solar)</t>
  </si>
  <si>
    <t>Dundgovi  (greenhouse = passive solar, base case)</t>
  </si>
  <si>
    <t>3.  DISCOUNT-RATE SENSITIVITY — financial NPV (USD) at alternative real discount rates  [live]</t>
  </si>
  <si>
    <t>Scenario</t>
  </si>
  <si>
    <t>Dundgovi · S2 — Greenhouse [passive solar, base case]</t>
  </si>
  <si>
    <t>Dundgovi · S4 — Full Integrated [passive solar, base case]</t>
  </si>
  <si>
    <t>Driver</t>
  </si>
  <si>
    <t>Low NPV (USD)</t>
  </si>
  <si>
    <t>High NPV (USD)</t>
  </si>
  <si>
    <t>Swing (USD)</t>
  </si>
  <si>
    <t>GH yield</t>
  </si>
  <si>
    <t>GH price</t>
  </si>
  <si>
    <t>GH variable cost</t>
  </si>
  <si>
    <t>GH capex</t>
  </si>
  <si>
    <t>Greenhouse output price and greenhouse yield are the dominant value drivers; greenhouse capital cost is comparatively minor.</t>
  </si>
  <si>
    <t>5.  ANALYSIS-HORIZON SENSITIVITY — financial NPV (USD): 15-year (base) vs 20-year</t>
  </si>
  <si>
    <t>15-year NPV</t>
  </si>
  <si>
    <t>20-year NPV</t>
  </si>
  <si>
    <t>Dundgovi · S2 [passive solar, base case]</t>
  </si>
  <si>
    <t>Dundgovi · S3</t>
  </si>
  <si>
    <t>Dundgovi · S4 [passive solar, base case]</t>
  </si>
  <si>
    <t>6.  PROJECT / CLUSTER AGGREGATION — S4 Full Integrated Model scaled to a 18-household water-users’ association</t>
  </si>
  <si>
    <t>Indicator (S4)</t>
  </si>
  <si>
    <t>Dundgovi [passive solar, base case]</t>
  </si>
  <si>
    <t>Per-household NPV (USD)</t>
  </si>
  <si>
    <t>Per-household CAPEX, year 0 (USD)</t>
  </si>
  <si>
    <t>Cluster NPV — 18 households (USD)</t>
  </si>
  <si>
    <t>Cluster CAPEX, year 0 (USD)</t>
  </si>
  <si>
    <t>7.  INDEX-BASED CROP INSURANCE — stand-alone variants (per household, annual expectation)</t>
  </si>
  <si>
    <t>Indicator</t>
  </si>
  <si>
    <t>Subsidised (50%) — Övör.</t>
  </si>
  <si>
    <t>Subsidised (50%) — Dund.</t>
  </si>
  <si>
    <t>Unsubsidised — Övör.</t>
  </si>
  <si>
    <t>Unsubsidised — Dund.</t>
  </si>
  <si>
    <t>NPV of insurance line (USD)</t>
  </si>
  <si>
    <t>Benefit–cost ratio</t>
  </si>
  <si>
    <t>Farmer premium / year (USD)</t>
  </si>
  <si>
    <t>Expected payout / year (USD)</t>
  </si>
  <si>
    <t>Subsidised insurance is marginally positive in expectation and reduces downside variance; unsubsidised insurance is a near-actuarially-fair risk transfer whose value lies in protection rather than expected return.</t>
  </si>
  <si>
    <t>Smallholder vegetable farming — Dundgovi &amp; Uvurkhangai aimags, Mongolia</t>
  </si>
  <si>
    <t>3. Financial CBA – Uvurkhangai — scenario cash flows and indicators (private/farmer viewpoint).</t>
  </si>
  <si>
    <t>Open-field, baseline — Uvurkhangai</t>
  </si>
  <si>
    <t>Open-field, with solar-drip — Uvurkhangai</t>
  </si>
  <si>
    <t>Greenhouse — Uvurkhangai</t>
  </si>
  <si>
    <t>Agroforestry, mature — Uvurkhangai</t>
  </si>
  <si>
    <t>P(damaging event), baseline OF — Uvurkhangai</t>
  </si>
  <si>
    <t>Loss severity, baseline — Uvurkhangai</t>
  </si>
  <si>
    <t>P(loss), drip-protected OF — Uvurkhangai</t>
  </si>
  <si>
    <t>P(loss), greenhouse — Uvurkhangai</t>
  </si>
  <si>
    <t>Greenhouse capex — Uvurkhangai (passive solar)</t>
  </si>
  <si>
    <t>Earth-sheltered passive solar (GERES) 15–25 USD/m² — MCA primary, Uvurkhangai.</t>
  </si>
  <si>
    <t>Greenhouse annual O&amp;M — Uvurkhangai</t>
  </si>
  <si>
    <t>Greenhouse glazing replacement — Uvurkhangai</t>
  </si>
  <si>
    <t>Glazing replacement year — Uvurkhangai</t>
  </si>
  <si>
    <t>Solar pump system per cluster — Uvurkhangai</t>
  </si>
  <si>
    <t>Tank + mainline per cluster — Uvurkhangai</t>
  </si>
  <si>
    <t>Yield uplift on protected OF — Uvurkhangai</t>
  </si>
  <si>
    <t>Solar share per hh — Uvurkhangai</t>
  </si>
  <si>
    <t>Tank share per hh — Uvurkhangai</t>
  </si>
  <si>
    <t>Uvurkhangai</t>
  </si>
  <si>
    <t>FINANCIAL CBA — Uvurkhangai</t>
  </si>
  <si>
    <t>Uvurkhangai · S1 — Improved irrigation</t>
  </si>
  <si>
    <t>Uvurkhangai · S2 — Irrigation + Greenhouse</t>
  </si>
  <si>
    <t>Uvurkhangai · S3 — Irrigation + Agroforestry (EbA)</t>
  </si>
  <si>
    <t>Uvurkhangai · S4 — Full Integrated Model</t>
  </si>
  <si>
    <t>Uvurkhangai · S5 — Insurance only</t>
  </si>
  <si>
    <t>Uvurkhangai · S2</t>
  </si>
  <si>
    <t>Uvurkhangai · S3</t>
  </si>
  <si>
    <t>Uvurkhangai · S4</t>
  </si>
  <si>
    <t>4.  ONE-WAY SENSITIVITY (TORNADO) — Uvurkhangai S2; base NPV $15,060; each driver ±25%</t>
  </si>
  <si>
    <t>COST–BENEFIT ANALYSIS OF RECOMMENDED CLIMATE-ADAPTATION TECHNOLOGY PACKAGES
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</si>
</sst>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;\(#,##0.00\);\-"/>
    <numFmt numFmtId="165" formatCode="0.0%"/>
    <numFmt numFmtId="166" formatCode="\$#,##0;&quot;($&quot;#,##0\);\-"/>
    <numFmt numFmtId="167" formatCode="\$#,##0.00;&quot;($&quot;#,##0.00\);\-"/>
    <numFmt numFmtId="168" formatCode="0.000"/>
  </numFmts>
  <fonts count="11" x14ac:knownFonts="1">
    <font>
      <sz val="11"/>
      <color theme="1"/>
      <name val="Calibri"/>
      <family val="2"/>
      <charset val="1"/>
    </font>
    <font>
      <b/>
      <sz val="14"/>
      <color rgb="FF1F3864"/>
      <name val="Arial"/>
      <charset val="1"/>
    </font>
    <font>
      <b/>
      <sz val="11"/>
      <color rgb="FF1F3864"/>
      <name val="Arial"/>
      <charset val="1"/>
    </font>
    <font>
      <sz val="10"/>
      <color rgb="FF000000"/>
      <name val="Arial"/>
      <charset val="1"/>
    </font>
    <font>
      <b/>
      <sz val="10"/>
      <name val="Arial"/>
      <charset val="1"/>
    </font>
    <font>
      <sz val="10"/>
      <color rgb="FF0000FF"/>
      <name val="Arial"/>
      <charset val="1"/>
    </font>
    <font>
      <sz val="10"/>
      <color rgb="FF008000"/>
      <name val="Arial"/>
      <charset val="1"/>
    </font>
    <font>
      <sz val="9"/>
      <color rgb="FF595959"/>
      <name val="Arial"/>
      <charset val="1"/>
    </font>
    <font>
      <b/>
      <sz val="10"/>
      <color rgb="FFFFFFFF"/>
      <name val="Arial"/>
      <charset val="1"/>
    </font>
    <font>
      <i/>
      <sz val="9"/>
      <color rgb="FF808080"/>
      <name val="Arial"/>
      <charset val="1"/>
    </font>
    <font>
      <sz val="9"/>
      <color rgb="FF80808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2F2F2"/>
      </patternFill>
    </fill>
    <fill>
      <patternFill patternType="solid">
        <fgColor rgb="FF1F3864"/>
        <bgColor rgb="FF333333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1" fillId="0" borderId="0" xfId="0" applyFont="1"/>
    <xf numFmtId="0" fontId="3" fillId="0" borderId="0" xfId="0" applyFont="1"/>
    <xf numFmtId="0" fontId="4" fillId="3" borderId="0" xfId="0" applyFont="1" applyFill="1"/>
    <xf numFmtId="164" fontId="5" fillId="0" borderId="0" xfId="0" applyNumberFormat="1" applyFont="1"/>
    <xf numFmtId="0" fontId="7" fillId="0" borderId="0" xfId="0" applyFont="1" applyAlignment="1">
      <alignment wrapText="1"/>
    </xf>
    <xf numFmtId="165" fontId="5" fillId="0" borderId="0" xfId="0" applyNumberFormat="1" applyFont="1"/>
    <xf numFmtId="0" fontId="5" fillId="0" borderId="0" xfId="0" applyFont="1"/>
    <xf numFmtId="0" fontId="5" fillId="2" borderId="0" xfId="0" applyFont="1" applyFill="1"/>
    <xf numFmtId="164" fontId="5" fillId="2" borderId="0" xfId="0" applyNumberFormat="1" applyFont="1" applyFill="1"/>
    <xf numFmtId="165" fontId="5" fillId="2" borderId="0" xfId="0" applyNumberFormat="1" applyFont="1" applyFill="1"/>
    <xf numFmtId="166" fontId="5" fillId="2" borderId="0" xfId="0" applyNumberFormat="1" applyFont="1" applyFill="1"/>
    <xf numFmtId="166" fontId="5" fillId="0" borderId="0" xfId="0" applyNumberFormat="1" applyFont="1"/>
    <xf numFmtId="167" fontId="5" fillId="0" borderId="0" xfId="0" applyNumberFormat="1" applyFont="1"/>
    <xf numFmtId="167" fontId="5" fillId="2" borderId="0" xfId="0" applyNumberFormat="1" applyFont="1" applyFill="1"/>
    <xf numFmtId="167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4" fillId="0" borderId="0" xfId="0" applyFont="1"/>
    <xf numFmtId="0" fontId="4" fillId="3" borderId="0" xfId="0" applyFont="1" applyFill="1" applyAlignment="1">
      <alignment horizontal="center"/>
    </xf>
    <xf numFmtId="168" fontId="3" fillId="0" borderId="0" xfId="0" applyNumberFormat="1" applyFont="1"/>
    <xf numFmtId="2" fontId="5" fillId="0" borderId="0" xfId="0" applyNumberFormat="1" applyFont="1"/>
    <xf numFmtId="1" fontId="5" fillId="0" borderId="0" xfId="0" applyNumberFormat="1" applyFont="1"/>
    <xf numFmtId="166" fontId="3" fillId="0" borderId="0" xfId="0" applyNumberFormat="1" applyFont="1"/>
    <xf numFmtId="166" fontId="4" fillId="2" borderId="0" xfId="0" applyNumberFormat="1" applyFont="1" applyFill="1"/>
    <xf numFmtId="2" fontId="3" fillId="0" borderId="0" xfId="0" applyNumberFormat="1" applyFont="1"/>
    <xf numFmtId="166" fontId="4" fillId="0" borderId="0" xfId="0" applyNumberFormat="1" applyFont="1"/>
    <xf numFmtId="0" fontId="3" fillId="0" borderId="0" xfId="0" applyFont="1" applyAlignment="1">
      <alignment horizontal="right"/>
    </xf>
    <xf numFmtId="0" fontId="9" fillId="0" borderId="0" xfId="0" applyFont="1"/>
    <xf numFmtId="166" fontId="10" fillId="0" borderId="0" xfId="0" applyNumberFormat="1" applyFont="1"/>
    <xf numFmtId="166" fontId="6" fillId="0" borderId="0" xfId="0" applyNumberFormat="1" applyFont="1"/>
    <xf numFmtId="0" fontId="8" fillId="5" borderId="0" xfId="0" applyFont="1" applyFill="1"/>
    <xf numFmtId="0" fontId="0" fillId="5" borderId="0" xfId="0" applyFill="1"/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0" borderId="1" xfId="0" applyFont="1" applyBorder="1"/>
    <xf numFmtId="166" fontId="6" fillId="0" borderId="1" xfId="0" applyNumberFormat="1" applyFont="1" applyBorder="1"/>
    <xf numFmtId="165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4" fillId="4" borderId="1" xfId="0" applyFont="1" applyFill="1" applyBorder="1"/>
    <xf numFmtId="9" fontId="5" fillId="4" borderId="1" xfId="0" applyNumberFormat="1" applyFont="1" applyFill="1" applyBorder="1" applyAlignment="1">
      <alignment horizontal="center"/>
    </xf>
    <xf numFmtId="166" fontId="3" fillId="0" borderId="1" xfId="0" applyNumberFormat="1" applyFont="1" applyBorder="1"/>
    <xf numFmtId="2" fontId="3" fillId="0" borderId="1" xfId="0" applyNumberFormat="1" applyFont="1" applyBorder="1"/>
    <xf numFmtId="167" fontId="3" fillId="0" borderId="1" xfId="0" applyNumberFormat="1" applyFont="1" applyBorder="1"/>
    <xf numFmtId="0" fontId="9" fillId="0" borderId="0" xfId="0" applyFont="1" applyAlignment="1">
      <alignment wrapText="1"/>
    </xf>
    <xf numFmtId="0" fontId="2" fillId="4" borderId="0" xfId="0" applyFont="1" applyFill="1"/>
    <xf numFmtId="0" fontId="8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50"/>
  <sheetViews>
    <sheetView showGridLines="0" tabSelected="1" zoomScale="60" zoomScaleNormal="60" workbookViewId="0">
      <selection activeCell="B3" sqref="B3"/>
    </sheetView>
  </sheetViews>
  <sheetFormatPr defaultColWidth="8.77734375" defaultRowHeight="14.4" x14ac:dyDescent="0.3"/>
  <cols>
    <col min="1" max="1" width="3" customWidth="1"/>
    <col min="2" max="2" width="120" customWidth="1"/>
  </cols>
  <sheetData>
    <row r="2" spans="2:2" ht="34.5" customHeight="1" x14ac:dyDescent="0.3">
      <c r="B2" s="1" t="s">
        <v>336</v>
      </c>
    </row>
    <row r="3" spans="2:2" x14ac:dyDescent="0.3">
      <c r="B3" s="2" t="s">
        <v>305</v>
      </c>
    </row>
    <row r="5" spans="2:2" ht="24.75" customHeight="1" x14ac:dyDescent="0.3">
      <c r="B5" s="3" t="s">
        <v>0</v>
      </c>
    </row>
    <row r="6" spans="2:2" x14ac:dyDescent="0.3">
      <c r="B6" s="3" t="s">
        <v>1</v>
      </c>
    </row>
    <row r="8" spans="2:2" x14ac:dyDescent="0.3">
      <c r="B8" s="4" t="s">
        <v>2</v>
      </c>
    </row>
    <row r="9" spans="2:2" x14ac:dyDescent="0.3">
      <c r="B9" s="3" t="s">
        <v>3</v>
      </c>
    </row>
    <row r="10" spans="2:2" x14ac:dyDescent="0.3">
      <c r="B10" s="3" t="s">
        <v>4</v>
      </c>
    </row>
    <row r="11" spans="2:2" x14ac:dyDescent="0.3">
      <c r="B11" s="3" t="s">
        <v>5</v>
      </c>
    </row>
    <row r="12" spans="2:2" x14ac:dyDescent="0.3">
      <c r="B12" s="3" t="s">
        <v>6</v>
      </c>
    </row>
    <row r="13" spans="2:2" x14ac:dyDescent="0.3">
      <c r="B13" s="3" t="s">
        <v>7</v>
      </c>
    </row>
    <row r="15" spans="2:2" x14ac:dyDescent="0.3">
      <c r="B15" s="4" t="s">
        <v>8</v>
      </c>
    </row>
    <row r="16" spans="2:2" x14ac:dyDescent="0.3">
      <c r="B16" s="3" t="s">
        <v>9</v>
      </c>
    </row>
    <row r="17" spans="2:2" x14ac:dyDescent="0.3">
      <c r="B17" s="3" t="s">
        <v>10</v>
      </c>
    </row>
    <row r="18" spans="2:2" x14ac:dyDescent="0.3">
      <c r="B18" s="3" t="s">
        <v>11</v>
      </c>
    </row>
    <row r="19" spans="2:2" x14ac:dyDescent="0.3">
      <c r="B19" s="3" t="s">
        <v>12</v>
      </c>
    </row>
    <row r="20" spans="2:2" x14ac:dyDescent="0.3">
      <c r="B20" s="3" t="s">
        <v>13</v>
      </c>
    </row>
    <row r="21" spans="2:2" x14ac:dyDescent="0.3">
      <c r="B21" s="3" t="s">
        <v>14</v>
      </c>
    </row>
    <row r="23" spans="2:2" x14ac:dyDescent="0.3">
      <c r="B23" s="4" t="s">
        <v>15</v>
      </c>
    </row>
    <row r="24" spans="2:2" x14ac:dyDescent="0.3">
      <c r="B24" s="5" t="s">
        <v>16</v>
      </c>
    </row>
    <row r="25" spans="2:2" x14ac:dyDescent="0.3">
      <c r="B25" s="5" t="s">
        <v>17</v>
      </c>
    </row>
    <row r="26" spans="2:2" x14ac:dyDescent="0.3">
      <c r="B26" s="5" t="s">
        <v>18</v>
      </c>
    </row>
    <row r="27" spans="2:2" x14ac:dyDescent="0.3">
      <c r="B27" s="5" t="s">
        <v>19</v>
      </c>
    </row>
    <row r="28" spans="2:2" x14ac:dyDescent="0.3">
      <c r="B28" s="5" t="s">
        <v>20</v>
      </c>
    </row>
    <row r="29" spans="2:2" ht="27" x14ac:dyDescent="0.3">
      <c r="B29" s="5" t="s">
        <v>21</v>
      </c>
    </row>
    <row r="31" spans="2:2" x14ac:dyDescent="0.3">
      <c r="B31" s="4" t="s">
        <v>22</v>
      </c>
    </row>
    <row r="32" spans="2:2" x14ac:dyDescent="0.3">
      <c r="B32" s="6" t="s">
        <v>23</v>
      </c>
    </row>
    <row r="33" spans="2:2" x14ac:dyDescent="0.3">
      <c r="B33" s="3" t="s">
        <v>24</v>
      </c>
    </row>
    <row r="34" spans="2:2" x14ac:dyDescent="0.3">
      <c r="B34" s="7" t="s">
        <v>25</v>
      </c>
    </row>
    <row r="35" spans="2:2" x14ac:dyDescent="0.3">
      <c r="B35" s="8" t="s">
        <v>26</v>
      </c>
    </row>
    <row r="37" spans="2:2" x14ac:dyDescent="0.3">
      <c r="B37" s="4" t="s">
        <v>27</v>
      </c>
    </row>
    <row r="38" spans="2:2" x14ac:dyDescent="0.3">
      <c r="B38" s="3" t="s">
        <v>28</v>
      </c>
    </row>
    <row r="39" spans="2:2" x14ac:dyDescent="0.3">
      <c r="B39" s="3" t="s">
        <v>29</v>
      </c>
    </row>
    <row r="40" spans="2:2" x14ac:dyDescent="0.3">
      <c r="B40" s="3" t="s">
        <v>306</v>
      </c>
    </row>
    <row r="41" spans="2:2" x14ac:dyDescent="0.3">
      <c r="B41" s="3" t="s">
        <v>30</v>
      </c>
    </row>
    <row r="42" spans="2:2" x14ac:dyDescent="0.3">
      <c r="B42" s="3" t="s">
        <v>31</v>
      </c>
    </row>
    <row r="43" spans="2:2" x14ac:dyDescent="0.3">
      <c r="B43" s="3" t="s">
        <v>32</v>
      </c>
    </row>
    <row r="45" spans="2:2" x14ac:dyDescent="0.3">
      <c r="B45" s="9" t="s">
        <v>33</v>
      </c>
    </row>
    <row r="46" spans="2:2" x14ac:dyDescent="0.3">
      <c r="B46" s="3" t="s">
        <v>34</v>
      </c>
    </row>
    <row r="47" spans="2:2" x14ac:dyDescent="0.3">
      <c r="B47" s="3" t="s">
        <v>35</v>
      </c>
    </row>
    <row r="48" spans="2:2" x14ac:dyDescent="0.3">
      <c r="B48" s="3" t="s">
        <v>36</v>
      </c>
    </row>
    <row r="49" spans="2:2" x14ac:dyDescent="0.3">
      <c r="B49" s="3" t="s">
        <v>37</v>
      </c>
    </row>
    <row r="50" spans="2:2" x14ac:dyDescent="0.3">
      <c r="B50" s="3" t="s">
        <v>38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1"/>
  <sheetViews>
    <sheetView showGridLines="0" topLeftCell="A56" zoomScale="70" zoomScaleNormal="70" workbookViewId="0">
      <selection activeCell="A90" sqref="A90"/>
    </sheetView>
  </sheetViews>
  <sheetFormatPr defaultColWidth="8.77734375" defaultRowHeight="14.4" x14ac:dyDescent="0.3"/>
  <cols>
    <col min="1" max="1" width="46" customWidth="1"/>
    <col min="2" max="2" width="14" customWidth="1"/>
    <col min="3" max="3" width="12" customWidth="1"/>
    <col min="4" max="4" width="86" customWidth="1"/>
  </cols>
  <sheetData>
    <row r="1" spans="1:4" ht="17.25" customHeight="1" x14ac:dyDescent="0.3">
      <c r="A1" s="10" t="s">
        <v>39</v>
      </c>
    </row>
    <row r="2" spans="1:4" x14ac:dyDescent="0.3">
      <c r="A2" s="11" t="s">
        <v>40</v>
      </c>
    </row>
    <row r="4" spans="1:4" x14ac:dyDescent="0.3">
      <c r="A4" s="12" t="s">
        <v>41</v>
      </c>
      <c r="B4" s="12" t="s">
        <v>42</v>
      </c>
      <c r="C4" s="12" t="s">
        <v>43</v>
      </c>
      <c r="D4" s="12" t="s">
        <v>44</v>
      </c>
    </row>
    <row r="5" spans="1:4" x14ac:dyDescent="0.3">
      <c r="A5" s="56" t="s">
        <v>45</v>
      </c>
      <c r="B5" s="56"/>
      <c r="C5" s="56"/>
      <c r="D5" s="56"/>
    </row>
    <row r="6" spans="1:4" x14ac:dyDescent="0.3">
      <c r="A6" s="11" t="s">
        <v>46</v>
      </c>
      <c r="B6" s="13">
        <v>3570</v>
      </c>
      <c r="C6" s="11" t="s">
        <v>47</v>
      </c>
      <c r="D6" s="14" t="s">
        <v>48</v>
      </c>
    </row>
    <row r="7" spans="1:4" x14ac:dyDescent="0.3">
      <c r="A7" s="11" t="s">
        <v>49</v>
      </c>
      <c r="B7" s="15">
        <v>0.1</v>
      </c>
      <c r="C7" s="11"/>
      <c r="D7" s="14" t="s">
        <v>50</v>
      </c>
    </row>
    <row r="8" spans="1:4" x14ac:dyDescent="0.3">
      <c r="A8" s="11" t="s">
        <v>51</v>
      </c>
      <c r="B8" s="15">
        <v>0.08</v>
      </c>
      <c r="C8" s="11"/>
      <c r="D8" s="14" t="s">
        <v>52</v>
      </c>
    </row>
    <row r="9" spans="1:4" x14ac:dyDescent="0.3">
      <c r="A9" s="11" t="s">
        <v>53</v>
      </c>
      <c r="B9" s="16">
        <v>18</v>
      </c>
      <c r="C9" s="11" t="s">
        <v>54</v>
      </c>
      <c r="D9" s="14" t="s">
        <v>55</v>
      </c>
    </row>
    <row r="10" spans="1:4" x14ac:dyDescent="0.3">
      <c r="A10" s="56" t="s">
        <v>56</v>
      </c>
      <c r="B10" s="56"/>
      <c r="C10" s="56"/>
      <c r="D10" s="56"/>
    </row>
    <row r="11" spans="1:4" x14ac:dyDescent="0.3">
      <c r="A11" s="11" t="s">
        <v>57</v>
      </c>
      <c r="B11" s="16">
        <v>500</v>
      </c>
      <c r="C11" s="11" t="s">
        <v>58</v>
      </c>
      <c r="D11" s="14" t="s">
        <v>59</v>
      </c>
    </row>
    <row r="12" spans="1:4" x14ac:dyDescent="0.3">
      <c r="A12" s="11" t="s">
        <v>60</v>
      </c>
      <c r="B12" s="16">
        <v>300</v>
      </c>
      <c r="C12" s="11" t="s">
        <v>58</v>
      </c>
      <c r="D12" s="14" t="s">
        <v>61</v>
      </c>
    </row>
    <row r="13" spans="1:4" x14ac:dyDescent="0.3">
      <c r="A13" s="11" t="s">
        <v>62</v>
      </c>
      <c r="B13" s="16">
        <v>250</v>
      </c>
      <c r="C13" s="11" t="s">
        <v>58</v>
      </c>
      <c r="D13" s="14" t="s">
        <v>63</v>
      </c>
    </row>
    <row r="14" spans="1:4" x14ac:dyDescent="0.3">
      <c r="A14" s="56" t="s">
        <v>64</v>
      </c>
      <c r="B14" s="56"/>
      <c r="C14" s="56"/>
      <c r="D14" s="56"/>
    </row>
    <row r="15" spans="1:4" x14ac:dyDescent="0.3">
      <c r="A15" s="11" t="s">
        <v>65</v>
      </c>
      <c r="B15" s="17">
        <v>1400</v>
      </c>
      <c r="C15" s="11" t="s">
        <v>66</v>
      </c>
      <c r="D15" s="14" t="s">
        <v>67</v>
      </c>
    </row>
    <row r="16" spans="1:4" x14ac:dyDescent="0.3">
      <c r="A16" s="11" t="s">
        <v>68</v>
      </c>
      <c r="B16" s="17">
        <v>4500</v>
      </c>
      <c r="C16" s="11" t="s">
        <v>66</v>
      </c>
      <c r="D16" s="14" t="s">
        <v>69</v>
      </c>
    </row>
    <row r="17" spans="1:4" x14ac:dyDescent="0.3">
      <c r="A17" s="11" t="s">
        <v>70</v>
      </c>
      <c r="B17" s="17">
        <v>2200</v>
      </c>
      <c r="C17" s="11" t="s">
        <v>66</v>
      </c>
      <c r="D17" s="14" t="s">
        <v>71</v>
      </c>
    </row>
    <row r="18" spans="1:4" x14ac:dyDescent="0.3">
      <c r="A18" s="56" t="s">
        <v>72</v>
      </c>
      <c r="B18" s="56"/>
      <c r="C18" s="56"/>
      <c r="D18" s="56"/>
    </row>
    <row r="19" spans="1:4" x14ac:dyDescent="0.3">
      <c r="A19" s="11" t="s">
        <v>307</v>
      </c>
      <c r="B19" s="18">
        <v>0.9</v>
      </c>
      <c r="C19" s="11" t="s">
        <v>73</v>
      </c>
      <c r="D19" s="14" t="s">
        <v>74</v>
      </c>
    </row>
    <row r="20" spans="1:4" x14ac:dyDescent="0.3">
      <c r="A20" s="11" t="s">
        <v>75</v>
      </c>
      <c r="B20" s="18">
        <v>0.6</v>
      </c>
      <c r="C20" s="11" t="s">
        <v>73</v>
      </c>
      <c r="D20" s="14" t="s">
        <v>76</v>
      </c>
    </row>
    <row r="21" spans="1:4" x14ac:dyDescent="0.3">
      <c r="A21" s="11" t="s">
        <v>308</v>
      </c>
      <c r="B21" s="18">
        <v>1.3</v>
      </c>
      <c r="C21" s="11" t="s">
        <v>73</v>
      </c>
      <c r="D21" s="14" t="s">
        <v>77</v>
      </c>
    </row>
    <row r="22" spans="1:4" x14ac:dyDescent="0.3">
      <c r="A22" s="11" t="s">
        <v>78</v>
      </c>
      <c r="B22" s="18">
        <v>1</v>
      </c>
      <c r="C22" s="11" t="s">
        <v>73</v>
      </c>
      <c r="D22" s="14" t="s">
        <v>79</v>
      </c>
    </row>
    <row r="23" spans="1:4" x14ac:dyDescent="0.3">
      <c r="A23" s="11" t="s">
        <v>309</v>
      </c>
      <c r="B23" s="18">
        <v>18</v>
      </c>
      <c r="C23" s="11" t="s">
        <v>73</v>
      </c>
      <c r="D23" s="14" t="s">
        <v>80</v>
      </c>
    </row>
    <row r="24" spans="1:4" x14ac:dyDescent="0.3">
      <c r="A24" s="11" t="s">
        <v>81</v>
      </c>
      <c r="B24" s="18">
        <v>15</v>
      </c>
      <c r="C24" s="11" t="s">
        <v>73</v>
      </c>
      <c r="D24" s="14" t="s">
        <v>82</v>
      </c>
    </row>
    <row r="25" spans="1:4" x14ac:dyDescent="0.3">
      <c r="A25" s="11" t="s">
        <v>310</v>
      </c>
      <c r="B25" s="18">
        <v>1.2</v>
      </c>
      <c r="C25" s="11" t="s">
        <v>73</v>
      </c>
      <c r="D25" s="14" t="s">
        <v>83</v>
      </c>
    </row>
    <row r="26" spans="1:4" x14ac:dyDescent="0.3">
      <c r="A26" s="11" t="s">
        <v>84</v>
      </c>
      <c r="B26" s="18">
        <v>0.8</v>
      </c>
      <c r="C26" s="11" t="s">
        <v>73</v>
      </c>
      <c r="D26" s="14" t="s">
        <v>85</v>
      </c>
    </row>
    <row r="27" spans="1:4" x14ac:dyDescent="0.3">
      <c r="A27" s="56" t="s">
        <v>86</v>
      </c>
      <c r="B27" s="56"/>
      <c r="C27" s="56"/>
      <c r="D27" s="56"/>
    </row>
    <row r="28" spans="1:4" x14ac:dyDescent="0.3">
      <c r="A28" s="11" t="s">
        <v>311</v>
      </c>
      <c r="B28" s="19">
        <v>0.22</v>
      </c>
      <c r="C28" s="11" t="s">
        <v>87</v>
      </c>
      <c r="D28" s="14" t="s">
        <v>88</v>
      </c>
    </row>
    <row r="29" spans="1:4" x14ac:dyDescent="0.3">
      <c r="A29" s="11" t="s">
        <v>312</v>
      </c>
      <c r="B29" s="19">
        <v>0.45</v>
      </c>
      <c r="C29" s="11"/>
      <c r="D29" s="14" t="s">
        <v>89</v>
      </c>
    </row>
    <row r="30" spans="1:4" x14ac:dyDescent="0.3">
      <c r="A30" s="11" t="s">
        <v>313</v>
      </c>
      <c r="B30" s="15">
        <v>0.1</v>
      </c>
      <c r="C30" s="11" t="s">
        <v>87</v>
      </c>
      <c r="D30" s="14" t="s">
        <v>90</v>
      </c>
    </row>
    <row r="31" spans="1:4" x14ac:dyDescent="0.3">
      <c r="A31" s="11" t="s">
        <v>314</v>
      </c>
      <c r="B31" s="15">
        <v>0.04</v>
      </c>
      <c r="C31" s="11" t="s">
        <v>87</v>
      </c>
      <c r="D31" s="14" t="s">
        <v>91</v>
      </c>
    </row>
    <row r="32" spans="1:4" x14ac:dyDescent="0.3">
      <c r="A32" s="11" t="s">
        <v>92</v>
      </c>
      <c r="B32" s="19">
        <v>0.32</v>
      </c>
      <c r="C32" s="11" t="s">
        <v>87</v>
      </c>
      <c r="D32" s="14" t="s">
        <v>93</v>
      </c>
    </row>
    <row r="33" spans="1:4" x14ac:dyDescent="0.3">
      <c r="A33" s="11" t="s">
        <v>94</v>
      </c>
      <c r="B33" s="19">
        <v>0.55000000000000004</v>
      </c>
      <c r="C33" s="11"/>
      <c r="D33" s="14" t="s">
        <v>95</v>
      </c>
    </row>
    <row r="34" spans="1:4" x14ac:dyDescent="0.3">
      <c r="A34" s="11" t="s">
        <v>96</v>
      </c>
      <c r="B34" s="15">
        <v>0.15</v>
      </c>
      <c r="C34" s="11" t="s">
        <v>87</v>
      </c>
      <c r="D34" s="14" t="s">
        <v>90</v>
      </c>
    </row>
    <row r="35" spans="1:4" x14ac:dyDescent="0.3">
      <c r="A35" s="11" t="s">
        <v>97</v>
      </c>
      <c r="B35" s="15">
        <v>0.05</v>
      </c>
      <c r="C35" s="11" t="s">
        <v>87</v>
      </c>
      <c r="D35" s="14" t="s">
        <v>91</v>
      </c>
    </row>
    <row r="36" spans="1:4" x14ac:dyDescent="0.3">
      <c r="A36" s="56" t="s">
        <v>98</v>
      </c>
      <c r="B36" s="56"/>
      <c r="C36" s="56"/>
      <c r="D36" s="56"/>
    </row>
    <row r="37" spans="1:4" x14ac:dyDescent="0.3">
      <c r="A37" s="11" t="s">
        <v>99</v>
      </c>
      <c r="B37" s="13">
        <v>0.22</v>
      </c>
      <c r="C37" s="11" t="s">
        <v>100</v>
      </c>
      <c r="D37" s="14" t="s">
        <v>101</v>
      </c>
    </row>
    <row r="38" spans="1:4" x14ac:dyDescent="0.3">
      <c r="A38" s="11" t="s">
        <v>102</v>
      </c>
      <c r="B38" s="13">
        <v>0.34</v>
      </c>
      <c r="C38" s="11" t="s">
        <v>100</v>
      </c>
      <c r="D38" s="14" t="s">
        <v>103</v>
      </c>
    </row>
    <row r="39" spans="1:4" x14ac:dyDescent="0.3">
      <c r="A39" s="11" t="s">
        <v>104</v>
      </c>
      <c r="B39" s="18">
        <v>11</v>
      </c>
      <c r="C39" s="11" t="s">
        <v>100</v>
      </c>
      <c r="D39" s="14" t="s">
        <v>105</v>
      </c>
    </row>
    <row r="40" spans="1:4" x14ac:dyDescent="0.3">
      <c r="A40" s="11" t="s">
        <v>106</v>
      </c>
      <c r="B40" s="13">
        <v>0.45</v>
      </c>
      <c r="C40" s="11" t="s">
        <v>100</v>
      </c>
      <c r="D40" s="14" t="s">
        <v>107</v>
      </c>
    </row>
    <row r="41" spans="1:4" x14ac:dyDescent="0.3">
      <c r="A41" s="56" t="s">
        <v>108</v>
      </c>
      <c r="B41" s="56"/>
      <c r="C41" s="56"/>
      <c r="D41" s="56"/>
    </row>
    <row r="42" spans="1:4" x14ac:dyDescent="0.3">
      <c r="A42" s="11" t="s">
        <v>315</v>
      </c>
      <c r="B42" s="18">
        <v>20</v>
      </c>
      <c r="C42" s="11" t="s">
        <v>109</v>
      </c>
      <c r="D42" s="14" t="s">
        <v>316</v>
      </c>
    </row>
    <row r="43" spans="1:4" ht="24" x14ac:dyDescent="0.3">
      <c r="A43" s="11" t="s">
        <v>110</v>
      </c>
      <c r="B43" s="18">
        <v>45</v>
      </c>
      <c r="C43" s="11" t="s">
        <v>109</v>
      </c>
      <c r="D43" s="14" t="s">
        <v>111</v>
      </c>
    </row>
    <row r="44" spans="1:4" ht="24" x14ac:dyDescent="0.3">
      <c r="A44" s="11" t="s">
        <v>112</v>
      </c>
      <c r="B44" s="18">
        <v>20</v>
      </c>
      <c r="C44" s="11" t="s">
        <v>109</v>
      </c>
      <c r="D44" s="14" t="s">
        <v>113</v>
      </c>
    </row>
    <row r="45" spans="1:4" x14ac:dyDescent="0.3">
      <c r="A45" s="11" t="s">
        <v>317</v>
      </c>
      <c r="B45" s="13">
        <v>1.5</v>
      </c>
      <c r="C45" s="11" t="s">
        <v>100</v>
      </c>
      <c r="D45" s="14" t="s">
        <v>114</v>
      </c>
    </row>
    <row r="46" spans="1:4" x14ac:dyDescent="0.3">
      <c r="A46" s="11" t="s">
        <v>115</v>
      </c>
      <c r="B46" s="13">
        <v>2.5</v>
      </c>
      <c r="C46" s="11" t="s">
        <v>100</v>
      </c>
      <c r="D46" s="14" t="s">
        <v>116</v>
      </c>
    </row>
    <row r="47" spans="1:4" x14ac:dyDescent="0.3">
      <c r="A47" s="11" t="s">
        <v>318</v>
      </c>
      <c r="B47" s="13">
        <v>6</v>
      </c>
      <c r="C47" s="11" t="s">
        <v>109</v>
      </c>
      <c r="D47" s="14" t="s">
        <v>117</v>
      </c>
    </row>
    <row r="48" spans="1:4" x14ac:dyDescent="0.3">
      <c r="A48" s="11" t="s">
        <v>118</v>
      </c>
      <c r="B48" s="13">
        <v>8</v>
      </c>
      <c r="C48" s="11" t="s">
        <v>109</v>
      </c>
      <c r="D48" s="14" t="s">
        <v>119</v>
      </c>
    </row>
    <row r="49" spans="1:4" x14ac:dyDescent="0.3">
      <c r="A49" s="11" t="s">
        <v>319</v>
      </c>
      <c r="B49" s="16">
        <v>10</v>
      </c>
      <c r="C49" s="11" t="s">
        <v>120</v>
      </c>
      <c r="D49" s="14" t="s">
        <v>121</v>
      </c>
    </row>
    <row r="50" spans="1:4" x14ac:dyDescent="0.3">
      <c r="A50" s="11" t="s">
        <v>122</v>
      </c>
      <c r="B50" s="16">
        <v>12</v>
      </c>
      <c r="C50" s="11" t="s">
        <v>120</v>
      </c>
      <c r="D50" s="14" t="s">
        <v>121</v>
      </c>
    </row>
    <row r="51" spans="1:4" x14ac:dyDescent="0.3">
      <c r="A51" s="56" t="s">
        <v>123</v>
      </c>
      <c r="B51" s="56"/>
      <c r="C51" s="56"/>
      <c r="D51" s="56"/>
    </row>
    <row r="52" spans="1:4" x14ac:dyDescent="0.3">
      <c r="A52" s="11" t="s">
        <v>320</v>
      </c>
      <c r="B52" s="20">
        <v>2250</v>
      </c>
      <c r="C52" s="11" t="s">
        <v>124</v>
      </c>
      <c r="D52" s="14" t="s">
        <v>125</v>
      </c>
    </row>
    <row r="53" spans="1:4" x14ac:dyDescent="0.3">
      <c r="A53" s="11" t="s">
        <v>126</v>
      </c>
      <c r="B53" s="20">
        <v>8750</v>
      </c>
      <c r="C53" s="11" t="s">
        <v>124</v>
      </c>
      <c r="D53" s="14" t="s">
        <v>127</v>
      </c>
    </row>
    <row r="54" spans="1:4" x14ac:dyDescent="0.3">
      <c r="A54" s="11" t="s">
        <v>128</v>
      </c>
      <c r="B54" s="15">
        <v>0.03</v>
      </c>
      <c r="C54" s="11"/>
      <c r="D54" s="14" t="s">
        <v>129</v>
      </c>
    </row>
    <row r="55" spans="1:4" x14ac:dyDescent="0.3">
      <c r="A55" s="11" t="s">
        <v>130</v>
      </c>
      <c r="B55" s="16">
        <v>12</v>
      </c>
      <c r="C55" s="11" t="s">
        <v>120</v>
      </c>
      <c r="D55" s="14" t="s">
        <v>131</v>
      </c>
    </row>
    <row r="56" spans="1:4" x14ac:dyDescent="0.3">
      <c r="A56" s="11" t="s">
        <v>132</v>
      </c>
      <c r="B56" s="15">
        <v>0.45</v>
      </c>
      <c r="C56" s="11"/>
      <c r="D56" s="14" t="s">
        <v>133</v>
      </c>
    </row>
    <row r="57" spans="1:4" x14ac:dyDescent="0.3">
      <c r="A57" s="11" t="s">
        <v>134</v>
      </c>
      <c r="B57" s="16">
        <v>8</v>
      </c>
      <c r="C57" s="11" t="s">
        <v>120</v>
      </c>
      <c r="D57" s="14" t="s">
        <v>135</v>
      </c>
    </row>
    <row r="58" spans="1:4" x14ac:dyDescent="0.3">
      <c r="A58" s="11" t="s">
        <v>136</v>
      </c>
      <c r="B58" s="15">
        <v>0.35</v>
      </c>
      <c r="C58" s="11"/>
      <c r="D58" s="14" t="s">
        <v>137</v>
      </c>
    </row>
    <row r="59" spans="1:4" x14ac:dyDescent="0.3">
      <c r="A59" s="11" t="s">
        <v>321</v>
      </c>
      <c r="B59" s="21">
        <v>900</v>
      </c>
      <c r="C59" s="11" t="s">
        <v>124</v>
      </c>
      <c r="D59" s="14" t="s">
        <v>138</v>
      </c>
    </row>
    <row r="60" spans="1:4" x14ac:dyDescent="0.3">
      <c r="A60" s="11" t="s">
        <v>139</v>
      </c>
      <c r="B60" s="21">
        <v>1400</v>
      </c>
      <c r="C60" s="11" t="s">
        <v>124</v>
      </c>
      <c r="D60" s="14" t="s">
        <v>140</v>
      </c>
    </row>
    <row r="61" spans="1:4" x14ac:dyDescent="0.3">
      <c r="A61" s="56" t="s">
        <v>141</v>
      </c>
      <c r="B61" s="56"/>
      <c r="C61" s="56"/>
      <c r="D61" s="56"/>
    </row>
    <row r="62" spans="1:4" x14ac:dyDescent="0.3">
      <c r="A62" s="11" t="s">
        <v>142</v>
      </c>
      <c r="B62" s="22">
        <v>360</v>
      </c>
      <c r="C62" s="11" t="s">
        <v>124</v>
      </c>
      <c r="D62" s="14" t="s">
        <v>143</v>
      </c>
    </row>
    <row r="63" spans="1:4" x14ac:dyDescent="0.3">
      <c r="A63" s="11" t="s">
        <v>144</v>
      </c>
      <c r="B63" s="22">
        <v>225</v>
      </c>
      <c r="C63" s="11" t="s">
        <v>124</v>
      </c>
      <c r="D63" s="14" t="s">
        <v>145</v>
      </c>
    </row>
    <row r="64" spans="1:4" x14ac:dyDescent="0.3">
      <c r="A64" s="11" t="s">
        <v>146</v>
      </c>
      <c r="B64" s="15">
        <v>0.6</v>
      </c>
      <c r="C64" s="11"/>
      <c r="D64" s="14" t="s">
        <v>147</v>
      </c>
    </row>
    <row r="65" spans="1:4" x14ac:dyDescent="0.3">
      <c r="A65" s="11" t="s">
        <v>148</v>
      </c>
      <c r="B65" s="16">
        <v>7</v>
      </c>
      <c r="C65" s="11" t="s">
        <v>120</v>
      </c>
      <c r="D65" s="14" t="s">
        <v>149</v>
      </c>
    </row>
    <row r="66" spans="1:4" x14ac:dyDescent="0.3">
      <c r="A66" s="11" t="s">
        <v>150</v>
      </c>
      <c r="B66" s="16">
        <v>14</v>
      </c>
      <c r="C66" s="11" t="s">
        <v>120</v>
      </c>
      <c r="D66" s="14" t="s">
        <v>151</v>
      </c>
    </row>
    <row r="67" spans="1:4" x14ac:dyDescent="0.3">
      <c r="A67" s="11" t="s">
        <v>152</v>
      </c>
      <c r="B67" s="23">
        <v>60</v>
      </c>
      <c r="C67" s="11" t="s">
        <v>124</v>
      </c>
      <c r="D67" s="14" t="s">
        <v>153</v>
      </c>
    </row>
    <row r="68" spans="1:4" x14ac:dyDescent="0.3">
      <c r="A68" s="11" t="s">
        <v>154</v>
      </c>
      <c r="B68" s="22">
        <v>45</v>
      </c>
      <c r="C68" s="11" t="s">
        <v>124</v>
      </c>
      <c r="D68" s="14" t="s">
        <v>155</v>
      </c>
    </row>
    <row r="69" spans="1:4" x14ac:dyDescent="0.3">
      <c r="A69" s="11" t="s">
        <v>156</v>
      </c>
      <c r="B69" s="23">
        <v>180</v>
      </c>
      <c r="C69" s="11" t="s">
        <v>124</v>
      </c>
      <c r="D69" s="14" t="s">
        <v>157</v>
      </c>
    </row>
    <row r="70" spans="1:4" x14ac:dyDescent="0.3">
      <c r="A70" s="11" t="s">
        <v>158</v>
      </c>
      <c r="B70" s="22">
        <v>35</v>
      </c>
      <c r="C70" s="11" t="s">
        <v>124</v>
      </c>
      <c r="D70" s="14" t="s">
        <v>159</v>
      </c>
    </row>
    <row r="71" spans="1:4" x14ac:dyDescent="0.3">
      <c r="A71" s="11" t="s">
        <v>160</v>
      </c>
      <c r="B71" s="16">
        <v>2</v>
      </c>
      <c r="C71" s="11" t="s">
        <v>120</v>
      </c>
      <c r="D71" s="14" t="s">
        <v>161</v>
      </c>
    </row>
    <row r="72" spans="1:4" x14ac:dyDescent="0.3">
      <c r="A72" s="11" t="s">
        <v>162</v>
      </c>
      <c r="B72" s="19">
        <v>0.35</v>
      </c>
      <c r="C72" s="11"/>
      <c r="D72" s="14" t="s">
        <v>163</v>
      </c>
    </row>
    <row r="73" spans="1:4" x14ac:dyDescent="0.3">
      <c r="A73" s="56" t="s">
        <v>164</v>
      </c>
      <c r="B73" s="56"/>
      <c r="C73" s="56"/>
      <c r="D73" s="56"/>
    </row>
    <row r="74" spans="1:4" x14ac:dyDescent="0.3">
      <c r="A74" s="11" t="s">
        <v>165</v>
      </c>
      <c r="B74" s="19">
        <v>0.06</v>
      </c>
      <c r="C74" s="11"/>
      <c r="D74" s="14" t="s">
        <v>166</v>
      </c>
    </row>
    <row r="75" spans="1:4" x14ac:dyDescent="0.3">
      <c r="A75" s="11" t="s">
        <v>167</v>
      </c>
      <c r="B75" s="19">
        <v>0.5</v>
      </c>
      <c r="C75" s="11"/>
      <c r="D75" s="14" t="s">
        <v>168</v>
      </c>
    </row>
    <row r="76" spans="1:4" x14ac:dyDescent="0.3">
      <c r="A76" s="11" t="s">
        <v>169</v>
      </c>
      <c r="B76" s="19">
        <v>0.75</v>
      </c>
      <c r="C76" s="11"/>
      <c r="D76" s="14" t="s">
        <v>170</v>
      </c>
    </row>
    <row r="77" spans="1:4" x14ac:dyDescent="0.3">
      <c r="A77" s="56" t="s">
        <v>171</v>
      </c>
      <c r="B77" s="56"/>
      <c r="C77" s="56"/>
      <c r="D77" s="56"/>
    </row>
    <row r="78" spans="1:4" x14ac:dyDescent="0.3">
      <c r="A78" s="11" t="s">
        <v>172</v>
      </c>
      <c r="B78" s="15">
        <v>0.9</v>
      </c>
      <c r="C78" s="11"/>
      <c r="D78" s="14" t="s">
        <v>173</v>
      </c>
    </row>
    <row r="79" spans="1:4" x14ac:dyDescent="0.3">
      <c r="A79" s="11" t="s">
        <v>174</v>
      </c>
      <c r="B79" s="19">
        <v>1.1499999999999999</v>
      </c>
      <c r="C79" s="11"/>
      <c r="D79" s="14" t="s">
        <v>175</v>
      </c>
    </row>
    <row r="80" spans="1:4" x14ac:dyDescent="0.3">
      <c r="A80" s="11" t="s">
        <v>176</v>
      </c>
      <c r="B80" s="15">
        <v>0.75</v>
      </c>
      <c r="C80" s="11"/>
      <c r="D80" s="14" t="s">
        <v>177</v>
      </c>
    </row>
    <row r="81" spans="1:4" x14ac:dyDescent="0.3">
      <c r="A81" s="11" t="s">
        <v>178</v>
      </c>
      <c r="B81" s="18">
        <v>20</v>
      </c>
      <c r="C81" s="11" t="s">
        <v>179</v>
      </c>
      <c r="D81" s="14" t="s">
        <v>180</v>
      </c>
    </row>
    <row r="82" spans="1:4" x14ac:dyDescent="0.3">
      <c r="A82" s="11" t="s">
        <v>181</v>
      </c>
      <c r="B82" s="18">
        <v>0.25</v>
      </c>
      <c r="C82" s="11" t="s">
        <v>182</v>
      </c>
      <c r="D82" s="14" t="s">
        <v>183</v>
      </c>
    </row>
    <row r="83" spans="1:4" x14ac:dyDescent="0.3">
      <c r="A83" s="11" t="s">
        <v>184</v>
      </c>
      <c r="B83" s="18">
        <v>0.3</v>
      </c>
      <c r="C83" s="11" t="s">
        <v>182</v>
      </c>
      <c r="D83" s="14" t="s">
        <v>185</v>
      </c>
    </row>
    <row r="84" spans="1:4" x14ac:dyDescent="0.3">
      <c r="A84" s="56" t="s">
        <v>186</v>
      </c>
      <c r="B84" s="56"/>
      <c r="C84" s="56"/>
      <c r="D84" s="56"/>
    </row>
    <row r="85" spans="1:4" x14ac:dyDescent="0.3">
      <c r="A85" s="11" t="s">
        <v>322</v>
      </c>
      <c r="B85" s="19">
        <v>0.06</v>
      </c>
      <c r="C85" s="11"/>
      <c r="D85" s="14" t="s">
        <v>187</v>
      </c>
    </row>
    <row r="86" spans="1:4" x14ac:dyDescent="0.3">
      <c r="A86" s="11" t="s">
        <v>188</v>
      </c>
      <c r="B86" s="19">
        <v>0.08</v>
      </c>
      <c r="C86" s="11"/>
      <c r="D86" s="14" t="s">
        <v>189</v>
      </c>
    </row>
    <row r="87" spans="1:4" x14ac:dyDescent="0.3">
      <c r="A87" s="56" t="s">
        <v>190</v>
      </c>
      <c r="B87" s="56"/>
      <c r="C87" s="56"/>
      <c r="D87" s="56"/>
    </row>
    <row r="88" spans="1:4" x14ac:dyDescent="0.3">
      <c r="A88" s="11" t="s">
        <v>323</v>
      </c>
      <c r="B88" s="24">
        <f>SOL_U/CLUSTER_HH</f>
        <v>125</v>
      </c>
      <c r="C88" s="11" t="s">
        <v>124</v>
      </c>
    </row>
    <row r="89" spans="1:4" x14ac:dyDescent="0.3">
      <c r="A89" s="11" t="s">
        <v>191</v>
      </c>
      <c r="B89" s="24">
        <f>SOL_D/CLUSTER_HH</f>
        <v>486.11111111111109</v>
      </c>
      <c r="C89" s="11" t="s">
        <v>124</v>
      </c>
    </row>
    <row r="90" spans="1:4" x14ac:dyDescent="0.3">
      <c r="A90" s="11" t="s">
        <v>324</v>
      </c>
      <c r="B90" s="24">
        <f>TANK_U/CLUSTER_HH</f>
        <v>50</v>
      </c>
      <c r="C90" s="11" t="s">
        <v>124</v>
      </c>
    </row>
    <row r="91" spans="1:4" x14ac:dyDescent="0.3">
      <c r="A91" s="11" t="s">
        <v>192</v>
      </c>
      <c r="B91" s="24">
        <f>TANK_D/CLUSTER_HH</f>
        <v>77.777777777777771</v>
      </c>
      <c r="C91" s="11" t="s">
        <v>124</v>
      </c>
    </row>
  </sheetData>
  <mergeCells count="13">
    <mergeCell ref="A77:D77"/>
    <mergeCell ref="A84:D84"/>
    <mergeCell ref="A87:D87"/>
    <mergeCell ref="A36:D36"/>
    <mergeCell ref="A41:D41"/>
    <mergeCell ref="A51:D51"/>
    <mergeCell ref="A61:D61"/>
    <mergeCell ref="A73:D73"/>
    <mergeCell ref="A5:D5"/>
    <mergeCell ref="A10:D10"/>
    <mergeCell ref="A14:D14"/>
    <mergeCell ref="A18:D18"/>
    <mergeCell ref="A27:D2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2"/>
  <sheetViews>
    <sheetView showGridLines="0" zoomScaleNormal="100" workbookViewId="0">
      <selection activeCell="B4" sqref="B4"/>
    </sheetView>
  </sheetViews>
  <sheetFormatPr defaultColWidth="8.77734375" defaultRowHeight="14.4" x14ac:dyDescent="0.3"/>
  <cols>
    <col min="1" max="1" width="42" customWidth="1"/>
    <col min="2" max="3" width="16" customWidth="1"/>
  </cols>
  <sheetData>
    <row r="1" spans="1:3" ht="17.25" customHeight="1" x14ac:dyDescent="0.3">
      <c r="A1" s="10" t="s">
        <v>193</v>
      </c>
    </row>
    <row r="2" spans="1:3" x14ac:dyDescent="0.3">
      <c r="A2" s="11" t="s">
        <v>194</v>
      </c>
    </row>
    <row r="4" spans="1:3" x14ac:dyDescent="0.3">
      <c r="A4" s="12" t="s">
        <v>195</v>
      </c>
      <c r="B4" s="12" t="s">
        <v>325</v>
      </c>
      <c r="C4" s="12" t="s">
        <v>196</v>
      </c>
    </row>
    <row r="5" spans="1:3" x14ac:dyDescent="0.3">
      <c r="A5" s="56" t="s">
        <v>197</v>
      </c>
      <c r="B5" s="56"/>
      <c r="C5" s="56"/>
    </row>
    <row r="6" spans="1:3" x14ac:dyDescent="0.3">
      <c r="A6" s="11" t="s">
        <v>198</v>
      </c>
      <c r="B6" s="25">
        <f>Y_OFB_U</f>
        <v>0.9</v>
      </c>
      <c r="C6" s="25">
        <f>Y_OFB_D</f>
        <v>0.6</v>
      </c>
    </row>
    <row r="7" spans="1:3" x14ac:dyDescent="0.3">
      <c r="A7" s="11" t="s">
        <v>199</v>
      </c>
      <c r="B7" s="26">
        <f>1-RP0_U*RSV_U</f>
        <v>0.90100000000000002</v>
      </c>
      <c r="C7" s="26">
        <f>1-RP0_D*RSV_D</f>
        <v>0.82399999999999995</v>
      </c>
    </row>
    <row r="8" spans="1:3" x14ac:dyDescent="0.3">
      <c r="A8" s="11" t="s">
        <v>200</v>
      </c>
      <c r="B8" s="25">
        <f>Y_OFB_U*(1-RP0_U*RSV_U)</f>
        <v>0.81090000000000007</v>
      </c>
      <c r="C8" s="25">
        <f>Y_OFB_D*(1-RP0_D*RSV_D)</f>
        <v>0.49439999999999995</v>
      </c>
    </row>
    <row r="9" spans="1:3" x14ac:dyDescent="0.3">
      <c r="A9" s="11" t="s">
        <v>201</v>
      </c>
      <c r="B9" s="24">
        <f>A_OF*Y_OFB_U*(1-RP0_U*RSV_U)*P_OF/FX</f>
        <v>159</v>
      </c>
      <c r="C9" s="24">
        <f>A_OF*Y_OFB_D*(1-RP0_D*RSV_D)*P_OF/FX</f>
        <v>96.941176470588232</v>
      </c>
    </row>
    <row r="10" spans="1:3" x14ac:dyDescent="0.3">
      <c r="A10" s="11" t="s">
        <v>202</v>
      </c>
      <c r="B10" s="24">
        <f>A_OF*VC_OFB</f>
        <v>110</v>
      </c>
      <c r="C10" s="24">
        <f>A_OF*VC_OFB</f>
        <v>110</v>
      </c>
    </row>
    <row r="11" spans="1:3" x14ac:dyDescent="0.3">
      <c r="A11" s="11" t="s">
        <v>203</v>
      </c>
      <c r="B11" s="24">
        <f>A_OF*Y_OFB_U*(1-RP0_U*RSV_U)*P_OF/FX-A_OF*VC_OFB</f>
        <v>49</v>
      </c>
      <c r="C11" s="24">
        <f>A_OF*Y_OFB_D*(1-RP0_D*RSV_D)*P_OF/FX-A_OF*VC_OFB</f>
        <v>-13.058823529411768</v>
      </c>
    </row>
    <row r="12" spans="1:3" x14ac:dyDescent="0.3">
      <c r="A12" s="11" t="s">
        <v>204</v>
      </c>
      <c r="B12" s="24">
        <f>A_OF*Y_OFB_U*P_OF/FX</f>
        <v>176.47058823529412</v>
      </c>
      <c r="C12" s="24">
        <f>A_OF*Y_OFB_D*P_OF/FX</f>
        <v>117.64705882352941</v>
      </c>
    </row>
    <row r="13" spans="1:3" x14ac:dyDescent="0.3">
      <c r="A13" s="56" t="s">
        <v>205</v>
      </c>
      <c r="B13" s="56"/>
      <c r="C13" s="56"/>
    </row>
    <row r="14" spans="1:3" x14ac:dyDescent="0.3">
      <c r="A14" s="11" t="s">
        <v>198</v>
      </c>
      <c r="B14" s="25">
        <f>Y_OFD_U</f>
        <v>1.3</v>
      </c>
      <c r="C14" s="25">
        <f>Y_OFD_D</f>
        <v>1</v>
      </c>
    </row>
    <row r="15" spans="1:3" x14ac:dyDescent="0.3">
      <c r="A15" s="11" t="s">
        <v>199</v>
      </c>
      <c r="B15" s="26">
        <f>1-RPD_U*RSV_U</f>
        <v>0.95499999999999996</v>
      </c>
      <c r="C15" s="26">
        <f>1-RPD_D*RSV_D</f>
        <v>0.91749999999999998</v>
      </c>
    </row>
    <row r="16" spans="1:3" x14ac:dyDescent="0.3">
      <c r="A16" s="11" t="s">
        <v>200</v>
      </c>
      <c r="B16" s="25">
        <f>Y_OFD_U*(1-RPD_U*RSV_U)</f>
        <v>1.2415</v>
      </c>
      <c r="C16" s="25">
        <f>Y_OFD_D*(1-RPD_D*RSV_D)</f>
        <v>0.91749999999999998</v>
      </c>
    </row>
    <row r="17" spans="1:3" x14ac:dyDescent="0.3">
      <c r="A17" s="11" t="s">
        <v>201</v>
      </c>
      <c r="B17" s="24">
        <f>A_OF*Y_OFD_U*(1-RPD_U*RSV_U)*P_OF/FX</f>
        <v>243.43137254901961</v>
      </c>
      <c r="C17" s="24">
        <f>A_OF*Y_OFD_D*(1-RPD_D*RSV_D)*P_OF/FX</f>
        <v>179.90196078431373</v>
      </c>
    </row>
    <row r="18" spans="1:3" x14ac:dyDescent="0.3">
      <c r="A18" s="11" t="s">
        <v>202</v>
      </c>
      <c r="B18" s="24">
        <f>A_OF*VC_OFD</f>
        <v>170</v>
      </c>
      <c r="C18" s="24">
        <f>A_OF*VC_OFD</f>
        <v>170</v>
      </c>
    </row>
    <row r="19" spans="1:3" x14ac:dyDescent="0.3">
      <c r="A19" s="11" t="s">
        <v>203</v>
      </c>
      <c r="B19" s="24">
        <f>A_OF*Y_OFD_U*(1-RPD_U*RSV_U)*P_OF/FX-A_OF*VC_OFD</f>
        <v>73.431372549019613</v>
      </c>
      <c r="C19" s="24">
        <f>A_OF*Y_OFD_D*(1-RPD_D*RSV_D)*P_OF/FX-A_OF*VC_OFD</f>
        <v>9.9019607843137294</v>
      </c>
    </row>
    <row r="20" spans="1:3" x14ac:dyDescent="0.3">
      <c r="A20" s="11" t="s">
        <v>204</v>
      </c>
      <c r="B20" s="24">
        <f>A_OF*Y_OFD_U*P_OF/FX</f>
        <v>254.90196078431373</v>
      </c>
      <c r="C20" s="24">
        <f>A_OF*Y_OFD_D*P_OF/FX</f>
        <v>196.07843137254903</v>
      </c>
    </row>
    <row r="21" spans="1:3" x14ac:dyDescent="0.3">
      <c r="A21" s="56" t="s">
        <v>206</v>
      </c>
      <c r="B21" s="56"/>
      <c r="C21" s="56"/>
    </row>
    <row r="22" spans="1:3" x14ac:dyDescent="0.3">
      <c r="A22" s="11" t="s">
        <v>198</v>
      </c>
      <c r="B22" s="25">
        <f>Y_GH_U</f>
        <v>18</v>
      </c>
      <c r="C22" s="25">
        <f>Y_GH_D</f>
        <v>15</v>
      </c>
    </row>
    <row r="23" spans="1:3" x14ac:dyDescent="0.3">
      <c r="A23" s="11" t="s">
        <v>199</v>
      </c>
      <c r="B23" s="26">
        <f>1-RPG_U*RSV_U</f>
        <v>0.98199999999999998</v>
      </c>
      <c r="C23" s="26">
        <f>1-RPG_D*RSV_D</f>
        <v>0.97250000000000003</v>
      </c>
    </row>
    <row r="24" spans="1:3" x14ac:dyDescent="0.3">
      <c r="A24" s="11" t="s">
        <v>200</v>
      </c>
      <c r="B24" s="25">
        <f>Y_GH_U*(1-RPG_U*RSV_U)</f>
        <v>17.675999999999998</v>
      </c>
      <c r="C24" s="25">
        <f>Y_GH_D*(1-RPG_D*RSV_D)</f>
        <v>14.5875</v>
      </c>
    </row>
    <row r="25" spans="1:3" x14ac:dyDescent="0.3">
      <c r="A25" s="11" t="s">
        <v>207</v>
      </c>
      <c r="B25" s="24">
        <f>A_GH*Y_GH_U*(1-RPG_U*RSV_U)*P_GH/FX</f>
        <v>6684.2016806722686</v>
      </c>
      <c r="C25" s="24">
        <f>A_GH*Y_GH_D*(1-RPG_D*RSV_D)*P_GH/FX</f>
        <v>5516.2815126050418</v>
      </c>
    </row>
    <row r="26" spans="1:3" x14ac:dyDescent="0.3">
      <c r="A26" s="11" t="s">
        <v>202</v>
      </c>
      <c r="B26" s="24">
        <f>A_GH*VC_GH</f>
        <v>3300</v>
      </c>
      <c r="C26" s="24">
        <f>A_GH*VC_GH</f>
        <v>3300</v>
      </c>
    </row>
    <row r="27" spans="1:3" x14ac:dyDescent="0.3">
      <c r="A27" s="11" t="s">
        <v>203</v>
      </c>
      <c r="B27" s="24">
        <f>A_GH*Y_GH_U*(1-RPG_U*RSV_U)*P_GH/FX-A_GH*VC_GH</f>
        <v>3384.2016806722686</v>
      </c>
      <c r="C27" s="24">
        <f>A_GH*Y_GH_D*(1-RPG_D*RSV_D)*P_GH/FX-A_GH*VC_GH</f>
        <v>2216.2815126050418</v>
      </c>
    </row>
    <row r="28" spans="1:3" x14ac:dyDescent="0.3">
      <c r="A28" s="56" t="s">
        <v>208</v>
      </c>
      <c r="B28" s="56"/>
      <c r="C28" s="56"/>
    </row>
    <row r="29" spans="1:3" x14ac:dyDescent="0.3">
      <c r="A29" s="11" t="s">
        <v>209</v>
      </c>
      <c r="B29" s="25">
        <f>Y_AG_U</f>
        <v>1.2</v>
      </c>
      <c r="C29" s="25">
        <f>Y_AG_D</f>
        <v>0.8</v>
      </c>
    </row>
    <row r="30" spans="1:3" x14ac:dyDescent="0.3">
      <c r="A30" s="11" t="s">
        <v>210</v>
      </c>
      <c r="B30" s="24">
        <f>A_AG*Y_AG_U*P_AG/FX</f>
        <v>184.87394957983193</v>
      </c>
      <c r="C30" s="24">
        <f>A_AG*Y_AG_D*P_AG/FX</f>
        <v>123.24929971988796</v>
      </c>
    </row>
    <row r="31" spans="1:3" x14ac:dyDescent="0.3">
      <c r="A31" s="11" t="s">
        <v>202</v>
      </c>
      <c r="B31" s="24">
        <f>A_AG*VC_AG</f>
        <v>112.5</v>
      </c>
      <c r="C31" s="24">
        <f>A_AG*VC_AG</f>
        <v>112.5</v>
      </c>
    </row>
    <row r="32" spans="1:3" x14ac:dyDescent="0.3">
      <c r="A32" s="11" t="s">
        <v>211</v>
      </c>
      <c r="B32" s="24">
        <f>A_AG*Y_AG_U*P_AG/FX-A_AG*VC_AG</f>
        <v>72.37394957983193</v>
      </c>
      <c r="C32" s="24">
        <f>A_AG*Y_AG_D*P_AG/FX-A_AG*VC_AG</f>
        <v>10.749299719887958</v>
      </c>
    </row>
  </sheetData>
  <mergeCells count="4">
    <mergeCell ref="A5:C5"/>
    <mergeCell ref="A13:C13"/>
    <mergeCell ref="A21:C21"/>
    <mergeCell ref="A28:C28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2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77734375" defaultRowHeight="14.4" x14ac:dyDescent="0.3"/>
  <cols>
    <col min="1" max="1" width="34" customWidth="1"/>
    <col min="3" max="18" width="9.5546875" customWidth="1"/>
    <col min="20" max="20" width="15" customWidth="1"/>
    <col min="21" max="21" width="12" customWidth="1"/>
  </cols>
  <sheetData>
    <row r="1" spans="1:21" ht="17.25" customHeight="1" x14ac:dyDescent="0.3">
      <c r="A1" s="10" t="s">
        <v>326</v>
      </c>
    </row>
    <row r="2" spans="1:21" x14ac:dyDescent="0.3">
      <c r="A2" s="11" t="s">
        <v>212</v>
      </c>
    </row>
    <row r="4" spans="1:21" x14ac:dyDescent="0.3">
      <c r="A4" s="27" t="s">
        <v>213</v>
      </c>
      <c r="C4" s="28">
        <v>0</v>
      </c>
      <c r="D4" s="28">
        <v>1</v>
      </c>
      <c r="E4" s="28">
        <v>2</v>
      </c>
      <c r="F4" s="28">
        <v>3</v>
      </c>
      <c r="G4" s="28">
        <v>4</v>
      </c>
      <c r="H4" s="28">
        <v>5</v>
      </c>
      <c r="I4" s="28">
        <v>6</v>
      </c>
      <c r="J4" s="28">
        <v>7</v>
      </c>
      <c r="K4" s="28">
        <v>8</v>
      </c>
      <c r="L4" s="28">
        <v>9</v>
      </c>
      <c r="M4" s="28">
        <v>10</v>
      </c>
      <c r="N4" s="28">
        <v>11</v>
      </c>
      <c r="O4" s="28">
        <v>12</v>
      </c>
      <c r="P4" s="28">
        <v>13</v>
      </c>
      <c r="Q4" s="28">
        <v>14</v>
      </c>
      <c r="R4" s="28">
        <v>15</v>
      </c>
    </row>
    <row r="5" spans="1:21" x14ac:dyDescent="0.3">
      <c r="A5" s="11" t="s">
        <v>214</v>
      </c>
      <c r="C5" s="29">
        <f>1/(1+DR_FIN)^0</f>
        <v>1</v>
      </c>
      <c r="D5" s="29">
        <f>1/(1+DR_FIN)^1</f>
        <v>0.90909090909090906</v>
      </c>
      <c r="E5" s="29">
        <f>1/(1+DR_FIN)^2</f>
        <v>0.82644628099173545</v>
      </c>
      <c r="F5" s="29">
        <f>1/(1+DR_FIN)^3</f>
        <v>0.75131480090157754</v>
      </c>
      <c r="G5" s="29">
        <f>1/(1+DR_FIN)^4</f>
        <v>0.68301345536507052</v>
      </c>
      <c r="H5" s="29">
        <f>1/(1+DR_FIN)^5</f>
        <v>0.62092132305915493</v>
      </c>
      <c r="I5" s="29">
        <f>1/(1+DR_FIN)^6</f>
        <v>0.56447393005377722</v>
      </c>
      <c r="J5" s="29">
        <f>1/(1+DR_FIN)^7</f>
        <v>0.51315811823070645</v>
      </c>
      <c r="K5" s="29">
        <f>1/(1+DR_FIN)^8</f>
        <v>0.46650738020973315</v>
      </c>
      <c r="L5" s="29">
        <f>1/(1+DR_FIN)^9</f>
        <v>0.42409761837248466</v>
      </c>
      <c r="M5" s="29">
        <f>1/(1+DR_FIN)^10</f>
        <v>0.38554328942953148</v>
      </c>
      <c r="N5" s="29">
        <f>1/(1+DR_FIN)^11</f>
        <v>0.3504938994813922</v>
      </c>
      <c r="O5" s="29">
        <f>1/(1+DR_FIN)^12</f>
        <v>0.31863081771035656</v>
      </c>
      <c r="P5" s="29">
        <f>1/(1+DR_FIN)^13</f>
        <v>0.28966437973668779</v>
      </c>
      <c r="Q5" s="29">
        <f>1/(1+DR_FIN)^14</f>
        <v>0.26333125430607973</v>
      </c>
      <c r="R5" s="29">
        <f>1/(1+DR_FIN)^15</f>
        <v>0.23939204936916339</v>
      </c>
    </row>
    <row r="6" spans="1:21" x14ac:dyDescent="0.3">
      <c r="A6" s="11" t="s">
        <v>215</v>
      </c>
      <c r="C6" s="30">
        <v>0</v>
      </c>
      <c r="D6" s="30">
        <v>0</v>
      </c>
      <c r="E6" s="30">
        <v>0</v>
      </c>
      <c r="F6" s="30">
        <v>0.25</v>
      </c>
      <c r="G6" s="30">
        <v>0.5</v>
      </c>
      <c r="H6" s="30">
        <v>0.75</v>
      </c>
      <c r="I6" s="30">
        <v>1</v>
      </c>
      <c r="J6" s="30">
        <v>1</v>
      </c>
      <c r="K6" s="30">
        <v>1</v>
      </c>
      <c r="L6" s="30">
        <v>1</v>
      </c>
      <c r="M6" s="30">
        <v>1</v>
      </c>
      <c r="N6" s="30">
        <v>1</v>
      </c>
      <c r="O6" s="30">
        <v>1</v>
      </c>
      <c r="P6" s="30">
        <v>1</v>
      </c>
      <c r="Q6" s="30">
        <v>1</v>
      </c>
      <c r="R6" s="30">
        <v>1</v>
      </c>
    </row>
    <row r="7" spans="1:21" x14ac:dyDescent="0.3">
      <c r="A7" s="11" t="s">
        <v>216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1</v>
      </c>
      <c r="J7" s="31">
        <v>1</v>
      </c>
      <c r="K7" s="31">
        <v>1</v>
      </c>
      <c r="L7" s="31">
        <v>1</v>
      </c>
      <c r="M7" s="31">
        <v>1</v>
      </c>
      <c r="N7" s="31">
        <v>1</v>
      </c>
      <c r="O7" s="31">
        <v>1</v>
      </c>
      <c r="P7" s="31">
        <v>1</v>
      </c>
      <c r="Q7" s="31">
        <v>1</v>
      </c>
      <c r="R7" s="31">
        <v>1</v>
      </c>
    </row>
    <row r="9" spans="1:21" x14ac:dyDescent="0.3">
      <c r="A9" s="57" t="s">
        <v>217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</row>
    <row r="10" spans="1:21" x14ac:dyDescent="0.3">
      <c r="A10" s="11" t="s">
        <v>218</v>
      </c>
      <c r="C10" s="32">
        <f>SOLSH_U+TANKSH_U+DRIP_OF</f>
        <v>400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f>DRIPFR*(DRIP_OF)</f>
        <v>135</v>
      </c>
      <c r="K10" s="32">
        <v>0</v>
      </c>
      <c r="L10" s="32">
        <v>0</v>
      </c>
      <c r="M10" s="32">
        <v>0</v>
      </c>
      <c r="N10" s="32">
        <v>0</v>
      </c>
      <c r="O10" s="32">
        <f>PUMPFR*SOLSH_U</f>
        <v>56.25</v>
      </c>
      <c r="P10" s="32">
        <v>0</v>
      </c>
      <c r="Q10" s="32">
        <f>DRIPFR*(DRIP_OF)</f>
        <v>135</v>
      </c>
      <c r="R10" s="32">
        <v>0</v>
      </c>
      <c r="T10" s="27" t="s">
        <v>219</v>
      </c>
      <c r="U10" s="33">
        <f>C13+NPV(DR_FIN,D13:R13)</f>
        <v>-365.44488488124733</v>
      </c>
    </row>
    <row r="11" spans="1:21" x14ac:dyDescent="0.3">
      <c r="A11" s="11" t="s">
        <v>220</v>
      </c>
      <c r="C11" s="32">
        <v>0</v>
      </c>
      <c r="D11" s="32">
        <f t="shared" ref="D11:R11" si="0">(NET_OFD_U-NET_OFB_U)</f>
        <v>24.431372549019613</v>
      </c>
      <c r="E11" s="32">
        <f t="shared" si="0"/>
        <v>24.431372549019613</v>
      </c>
      <c r="F11" s="32">
        <f t="shared" si="0"/>
        <v>24.431372549019613</v>
      </c>
      <c r="G11" s="32">
        <f t="shared" si="0"/>
        <v>24.431372549019613</v>
      </c>
      <c r="H11" s="32">
        <f t="shared" si="0"/>
        <v>24.431372549019613</v>
      </c>
      <c r="I11" s="32">
        <f t="shared" si="0"/>
        <v>24.431372549019613</v>
      </c>
      <c r="J11" s="32">
        <f t="shared" si="0"/>
        <v>24.431372549019613</v>
      </c>
      <c r="K11" s="32">
        <f t="shared" si="0"/>
        <v>24.431372549019613</v>
      </c>
      <c r="L11" s="32">
        <f t="shared" si="0"/>
        <v>24.431372549019613</v>
      </c>
      <c r="M11" s="32">
        <f t="shared" si="0"/>
        <v>24.431372549019613</v>
      </c>
      <c r="N11" s="32">
        <f t="shared" si="0"/>
        <v>24.431372549019613</v>
      </c>
      <c r="O11" s="32">
        <f t="shared" si="0"/>
        <v>24.431372549019613</v>
      </c>
      <c r="P11" s="32">
        <f t="shared" si="0"/>
        <v>24.431372549019613</v>
      </c>
      <c r="Q11" s="32">
        <f t="shared" si="0"/>
        <v>24.431372549019613</v>
      </c>
      <c r="R11" s="32">
        <f t="shared" si="0"/>
        <v>24.431372549019613</v>
      </c>
      <c r="T11" s="11" t="s">
        <v>221</v>
      </c>
      <c r="U11" s="26" t="str">
        <f>IFERROR(IRR(C13:R13),"n/a")</f>
        <v>n/a</v>
      </c>
    </row>
    <row r="12" spans="1:21" x14ac:dyDescent="0.3">
      <c r="A12" s="11" t="s">
        <v>222</v>
      </c>
      <c r="C12" s="32">
        <v>0</v>
      </c>
      <c r="D12" s="32">
        <f t="shared" ref="D12:R12" si="1">SOLOM*SOLSH_U</f>
        <v>3.75</v>
      </c>
      <c r="E12" s="32">
        <f t="shared" si="1"/>
        <v>3.75</v>
      </c>
      <c r="F12" s="32">
        <f t="shared" si="1"/>
        <v>3.75</v>
      </c>
      <c r="G12" s="32">
        <f t="shared" si="1"/>
        <v>3.75</v>
      </c>
      <c r="H12" s="32">
        <f t="shared" si="1"/>
        <v>3.75</v>
      </c>
      <c r="I12" s="32">
        <f t="shared" si="1"/>
        <v>3.75</v>
      </c>
      <c r="J12" s="32">
        <f t="shared" si="1"/>
        <v>3.75</v>
      </c>
      <c r="K12" s="32">
        <f t="shared" si="1"/>
        <v>3.75</v>
      </c>
      <c r="L12" s="32">
        <f t="shared" si="1"/>
        <v>3.75</v>
      </c>
      <c r="M12" s="32">
        <f t="shared" si="1"/>
        <v>3.75</v>
      </c>
      <c r="N12" s="32">
        <f t="shared" si="1"/>
        <v>3.75</v>
      </c>
      <c r="O12" s="32">
        <f t="shared" si="1"/>
        <v>3.75</v>
      </c>
      <c r="P12" s="32">
        <f t="shared" si="1"/>
        <v>3.75</v>
      </c>
      <c r="Q12" s="32">
        <f t="shared" si="1"/>
        <v>3.75</v>
      </c>
      <c r="R12" s="32">
        <f t="shared" si="1"/>
        <v>3.75</v>
      </c>
      <c r="T12" s="11" t="s">
        <v>223</v>
      </c>
      <c r="U12" s="34">
        <f>(SUMPRODUCT(C11:R11,C5:R5))/(SUMPRODUCT((C10:R10+C12:R12),C5:R5))</f>
        <v>0.33708770561832796</v>
      </c>
    </row>
    <row r="13" spans="1:21" x14ac:dyDescent="0.3">
      <c r="A13" s="27" t="s">
        <v>224</v>
      </c>
      <c r="C13" s="35">
        <f t="shared" ref="C13:R13" si="2">C11-C12-C10</f>
        <v>-400</v>
      </c>
      <c r="D13" s="35">
        <f t="shared" si="2"/>
        <v>20.681372549019613</v>
      </c>
      <c r="E13" s="35">
        <f t="shared" si="2"/>
        <v>20.681372549019613</v>
      </c>
      <c r="F13" s="35">
        <f t="shared" si="2"/>
        <v>20.681372549019613</v>
      </c>
      <c r="G13" s="35">
        <f t="shared" si="2"/>
        <v>20.681372549019613</v>
      </c>
      <c r="H13" s="35">
        <f t="shared" si="2"/>
        <v>20.681372549019613</v>
      </c>
      <c r="I13" s="35">
        <f t="shared" si="2"/>
        <v>20.681372549019613</v>
      </c>
      <c r="J13" s="35">
        <f t="shared" si="2"/>
        <v>-114.31862745098039</v>
      </c>
      <c r="K13" s="35">
        <f t="shared" si="2"/>
        <v>20.681372549019613</v>
      </c>
      <c r="L13" s="35">
        <f t="shared" si="2"/>
        <v>20.681372549019613</v>
      </c>
      <c r="M13" s="35">
        <f t="shared" si="2"/>
        <v>20.681372549019613</v>
      </c>
      <c r="N13" s="35">
        <f t="shared" si="2"/>
        <v>20.681372549019613</v>
      </c>
      <c r="O13" s="35">
        <f t="shared" si="2"/>
        <v>-35.568627450980387</v>
      </c>
      <c r="P13" s="35">
        <f t="shared" si="2"/>
        <v>20.681372549019613</v>
      </c>
      <c r="Q13" s="35">
        <f t="shared" si="2"/>
        <v>-114.31862745098039</v>
      </c>
      <c r="R13" s="35">
        <f t="shared" si="2"/>
        <v>20.681372549019613</v>
      </c>
      <c r="T13" s="11" t="s">
        <v>225</v>
      </c>
      <c r="U13" s="36" t="str">
        <f>IF(SUMPRODUCT(--(C14:R14&lt;0))&gt;15,"&gt;15",SUMPRODUCT(--(C14:R14&lt;0)))</f>
        <v>&gt;15</v>
      </c>
    </row>
    <row r="14" spans="1:21" x14ac:dyDescent="0.3">
      <c r="A14" s="37" t="s">
        <v>226</v>
      </c>
      <c r="C14" s="38">
        <f>C13</f>
        <v>-400</v>
      </c>
      <c r="D14" s="38">
        <f t="shared" ref="D14:R14" si="3">C14+D13</f>
        <v>-379.31862745098039</v>
      </c>
      <c r="E14" s="38">
        <f t="shared" si="3"/>
        <v>-358.63725490196077</v>
      </c>
      <c r="F14" s="38">
        <f t="shared" si="3"/>
        <v>-337.95588235294116</v>
      </c>
      <c r="G14" s="38">
        <f t="shared" si="3"/>
        <v>-317.27450980392155</v>
      </c>
      <c r="H14" s="38">
        <f t="shared" si="3"/>
        <v>-296.59313725490193</v>
      </c>
      <c r="I14" s="38">
        <f t="shared" si="3"/>
        <v>-275.91176470588232</v>
      </c>
      <c r="J14" s="38">
        <f t="shared" si="3"/>
        <v>-390.23039215686271</v>
      </c>
      <c r="K14" s="38">
        <f t="shared" si="3"/>
        <v>-369.54901960784309</v>
      </c>
      <c r="L14" s="38">
        <f t="shared" si="3"/>
        <v>-348.86764705882348</v>
      </c>
      <c r="M14" s="38">
        <f t="shared" si="3"/>
        <v>-328.18627450980387</v>
      </c>
      <c r="N14" s="38">
        <f t="shared" si="3"/>
        <v>-307.50490196078425</v>
      </c>
      <c r="O14" s="38">
        <f t="shared" si="3"/>
        <v>-343.07352941176464</v>
      </c>
      <c r="P14" s="38">
        <f t="shared" si="3"/>
        <v>-322.39215686274503</v>
      </c>
      <c r="Q14" s="38">
        <f t="shared" si="3"/>
        <v>-436.71078431372541</v>
      </c>
      <c r="R14" s="38">
        <f t="shared" si="3"/>
        <v>-416.0294117647058</v>
      </c>
    </row>
    <row r="16" spans="1:21" x14ac:dyDescent="0.3">
      <c r="A16" s="57" t="s">
        <v>227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</row>
    <row r="17" spans="1:21" x14ac:dyDescent="0.3">
      <c r="A17" s="11" t="s">
        <v>218</v>
      </c>
      <c r="C17" s="32">
        <f>SOLSH_U+TANKSH_U+DRIP_GH+A_GH*GHC_U</f>
        <v>6535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f>DRIPFR*(DRIP_GH)</f>
        <v>216</v>
      </c>
      <c r="K17" s="32">
        <v>0</v>
      </c>
      <c r="L17" s="32">
        <v>0</v>
      </c>
      <c r="M17" s="32">
        <f>A_GH*GHG_U</f>
        <v>1800</v>
      </c>
      <c r="N17" s="32">
        <v>0</v>
      </c>
      <c r="O17" s="32">
        <f>PUMPFR*SOLSH_U</f>
        <v>56.25</v>
      </c>
      <c r="P17" s="32">
        <v>0</v>
      </c>
      <c r="Q17" s="32">
        <f>DRIPFR*(DRIP_GH)</f>
        <v>216</v>
      </c>
      <c r="R17" s="32">
        <v>0</v>
      </c>
      <c r="T17" s="27" t="s">
        <v>219</v>
      </c>
      <c r="U17" s="33">
        <f>C20+NPV(DR_FIN,D20:R20)</f>
        <v>15060.452825707001</v>
      </c>
    </row>
    <row r="18" spans="1:21" x14ac:dyDescent="0.3">
      <c r="A18" s="11" t="s">
        <v>220</v>
      </c>
      <c r="C18" s="32">
        <v>0</v>
      </c>
      <c r="D18" s="32">
        <f t="shared" ref="D18:R18" si="4">(NET_OFD_U-NET_OFB_U)+NET_GH_U</f>
        <v>3408.6330532212883</v>
      </c>
      <c r="E18" s="32">
        <f t="shared" si="4"/>
        <v>3408.6330532212883</v>
      </c>
      <c r="F18" s="32">
        <f t="shared" si="4"/>
        <v>3408.6330532212883</v>
      </c>
      <c r="G18" s="32">
        <f t="shared" si="4"/>
        <v>3408.6330532212883</v>
      </c>
      <c r="H18" s="32">
        <f t="shared" si="4"/>
        <v>3408.6330532212883</v>
      </c>
      <c r="I18" s="32">
        <f t="shared" si="4"/>
        <v>3408.6330532212883</v>
      </c>
      <c r="J18" s="32">
        <f t="shared" si="4"/>
        <v>3408.6330532212883</v>
      </c>
      <c r="K18" s="32">
        <f t="shared" si="4"/>
        <v>3408.6330532212883</v>
      </c>
      <c r="L18" s="32">
        <f t="shared" si="4"/>
        <v>3408.6330532212883</v>
      </c>
      <c r="M18" s="32">
        <f t="shared" si="4"/>
        <v>3408.6330532212883</v>
      </c>
      <c r="N18" s="32">
        <f t="shared" si="4"/>
        <v>3408.6330532212883</v>
      </c>
      <c r="O18" s="32">
        <f t="shared" si="4"/>
        <v>3408.6330532212883</v>
      </c>
      <c r="P18" s="32">
        <f t="shared" si="4"/>
        <v>3408.6330532212883</v>
      </c>
      <c r="Q18" s="32">
        <f t="shared" si="4"/>
        <v>3408.6330532212883</v>
      </c>
      <c r="R18" s="32">
        <f t="shared" si="4"/>
        <v>3408.6330532212883</v>
      </c>
      <c r="T18" s="11" t="s">
        <v>221</v>
      </c>
      <c r="U18" s="26">
        <f>IFERROR(IRR(C20:R20),"n/a")</f>
        <v>0.44605569288648361</v>
      </c>
    </row>
    <row r="19" spans="1:21" x14ac:dyDescent="0.3">
      <c r="A19" s="11" t="s">
        <v>222</v>
      </c>
      <c r="C19" s="32">
        <v>0</v>
      </c>
      <c r="D19" s="32">
        <f t="shared" ref="D19:R19" si="5">SOLOM*SOLSH_U+A_GH*GHOM_U</f>
        <v>453.75</v>
      </c>
      <c r="E19" s="32">
        <f t="shared" si="5"/>
        <v>453.75</v>
      </c>
      <c r="F19" s="32">
        <f t="shared" si="5"/>
        <v>453.75</v>
      </c>
      <c r="G19" s="32">
        <f t="shared" si="5"/>
        <v>453.75</v>
      </c>
      <c r="H19" s="32">
        <f t="shared" si="5"/>
        <v>453.75</v>
      </c>
      <c r="I19" s="32">
        <f t="shared" si="5"/>
        <v>453.75</v>
      </c>
      <c r="J19" s="32">
        <f t="shared" si="5"/>
        <v>453.75</v>
      </c>
      <c r="K19" s="32">
        <f t="shared" si="5"/>
        <v>453.75</v>
      </c>
      <c r="L19" s="32">
        <f t="shared" si="5"/>
        <v>453.75</v>
      </c>
      <c r="M19" s="32">
        <f t="shared" si="5"/>
        <v>453.75</v>
      </c>
      <c r="N19" s="32">
        <f t="shared" si="5"/>
        <v>453.75</v>
      </c>
      <c r="O19" s="32">
        <f t="shared" si="5"/>
        <v>453.75</v>
      </c>
      <c r="P19" s="32">
        <f t="shared" si="5"/>
        <v>453.75</v>
      </c>
      <c r="Q19" s="32">
        <f t="shared" si="5"/>
        <v>453.75</v>
      </c>
      <c r="R19" s="32">
        <f t="shared" si="5"/>
        <v>453.75</v>
      </c>
      <c r="T19" s="11" t="s">
        <v>223</v>
      </c>
      <c r="U19" s="34">
        <f>(SUMPRODUCT(C18:R18,C5:R5))/(SUMPRODUCT((C17:R17+C19:R19),C5:R5))</f>
        <v>2.3860314289651718</v>
      </c>
    </row>
    <row r="20" spans="1:21" x14ac:dyDescent="0.3">
      <c r="A20" s="27" t="s">
        <v>224</v>
      </c>
      <c r="C20" s="35">
        <f t="shared" ref="C20:R20" si="6">C18-C19-C17</f>
        <v>-6535</v>
      </c>
      <c r="D20" s="35">
        <f t="shared" si="6"/>
        <v>2954.8830532212883</v>
      </c>
      <c r="E20" s="35">
        <f t="shared" si="6"/>
        <v>2954.8830532212883</v>
      </c>
      <c r="F20" s="35">
        <f t="shared" si="6"/>
        <v>2954.8830532212883</v>
      </c>
      <c r="G20" s="35">
        <f t="shared" si="6"/>
        <v>2954.8830532212883</v>
      </c>
      <c r="H20" s="35">
        <f t="shared" si="6"/>
        <v>2954.8830532212883</v>
      </c>
      <c r="I20" s="35">
        <f t="shared" si="6"/>
        <v>2954.8830532212883</v>
      </c>
      <c r="J20" s="35">
        <f t="shared" si="6"/>
        <v>2738.8830532212883</v>
      </c>
      <c r="K20" s="35">
        <f t="shared" si="6"/>
        <v>2954.8830532212883</v>
      </c>
      <c r="L20" s="35">
        <f t="shared" si="6"/>
        <v>2954.8830532212883</v>
      </c>
      <c r="M20" s="35">
        <f t="shared" si="6"/>
        <v>1154.8830532212883</v>
      </c>
      <c r="N20" s="35">
        <f t="shared" si="6"/>
        <v>2954.8830532212883</v>
      </c>
      <c r="O20" s="35">
        <f t="shared" si="6"/>
        <v>2898.6330532212883</v>
      </c>
      <c r="P20" s="35">
        <f t="shared" si="6"/>
        <v>2954.8830532212883</v>
      </c>
      <c r="Q20" s="35">
        <f t="shared" si="6"/>
        <v>2738.8830532212883</v>
      </c>
      <c r="R20" s="35">
        <f t="shared" si="6"/>
        <v>2954.8830532212883</v>
      </c>
      <c r="T20" s="11" t="s">
        <v>225</v>
      </c>
      <c r="U20" s="36">
        <f>IF(SUMPRODUCT(--(C21:R21&lt;0))&gt;15,"&gt;15",SUMPRODUCT(--(C21:R21&lt;0)))</f>
        <v>3</v>
      </c>
    </row>
    <row r="21" spans="1:21" x14ac:dyDescent="0.3">
      <c r="A21" s="37" t="s">
        <v>226</v>
      </c>
      <c r="C21" s="38">
        <f>C20</f>
        <v>-6535</v>
      </c>
      <c r="D21" s="38">
        <f t="shared" ref="D21:R21" si="7">C21+D20</f>
        <v>-3580.1169467787117</v>
      </c>
      <c r="E21" s="38">
        <f t="shared" si="7"/>
        <v>-625.23389355742347</v>
      </c>
      <c r="F21" s="38">
        <f t="shared" si="7"/>
        <v>2329.6491596638648</v>
      </c>
      <c r="G21" s="38">
        <f t="shared" si="7"/>
        <v>5284.5322128851531</v>
      </c>
      <c r="H21" s="38">
        <f t="shared" si="7"/>
        <v>8239.4152661064418</v>
      </c>
      <c r="I21" s="38">
        <f t="shared" si="7"/>
        <v>11194.29831932773</v>
      </c>
      <c r="J21" s="38">
        <f t="shared" si="7"/>
        <v>13933.181372549019</v>
      </c>
      <c r="K21" s="38">
        <f t="shared" si="7"/>
        <v>16888.064425770306</v>
      </c>
      <c r="L21" s="38">
        <f t="shared" si="7"/>
        <v>19842.947478991595</v>
      </c>
      <c r="M21" s="38">
        <f t="shared" si="7"/>
        <v>20997.830532212884</v>
      </c>
      <c r="N21" s="38">
        <f t="shared" si="7"/>
        <v>23952.713585434172</v>
      </c>
      <c r="O21" s="38">
        <f t="shared" si="7"/>
        <v>26851.346638655461</v>
      </c>
      <c r="P21" s="38">
        <f t="shared" si="7"/>
        <v>29806.22969187675</v>
      </c>
      <c r="Q21" s="38">
        <f t="shared" si="7"/>
        <v>32545.112745098038</v>
      </c>
      <c r="R21" s="38">
        <f t="shared" si="7"/>
        <v>35499.995798319324</v>
      </c>
    </row>
    <row r="23" spans="1:21" x14ac:dyDescent="0.3">
      <c r="A23" s="57" t="s">
        <v>228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</row>
    <row r="24" spans="1:21" x14ac:dyDescent="0.3">
      <c r="A24" s="11" t="s">
        <v>218</v>
      </c>
      <c r="C24" s="32">
        <f>SOLSH_U+TANKSH_U+DRIP_OF+AG_SEED+AG_PLANT+AG_FENCE+AG_ESTIRR</f>
        <v>720</v>
      </c>
      <c r="D24" s="32">
        <v>0</v>
      </c>
      <c r="E24" s="32">
        <f>AGBEATFR*(AG_SEED+AG_PLANT)</f>
        <v>36.75</v>
      </c>
      <c r="F24" s="32">
        <v>0</v>
      </c>
      <c r="G24" s="32">
        <v>0</v>
      </c>
      <c r="H24" s="32">
        <v>0</v>
      </c>
      <c r="I24" s="32">
        <v>0</v>
      </c>
      <c r="J24" s="32">
        <f>DRIPFR*(DRIP_OF)</f>
        <v>135</v>
      </c>
      <c r="K24" s="32">
        <v>0</v>
      </c>
      <c r="L24" s="32">
        <v>0</v>
      </c>
      <c r="M24" s="32">
        <v>0</v>
      </c>
      <c r="N24" s="32">
        <v>0</v>
      </c>
      <c r="O24" s="32">
        <f>PUMPFR*SOLSH_U</f>
        <v>56.25</v>
      </c>
      <c r="P24" s="32">
        <v>0</v>
      </c>
      <c r="Q24" s="32">
        <f>DRIPFR*(DRIP_OF)</f>
        <v>135</v>
      </c>
      <c r="R24" s="32">
        <v>0</v>
      </c>
      <c r="T24" s="27" t="s">
        <v>219</v>
      </c>
      <c r="U24" s="33">
        <f>C27+NPV(DR_FIN,D27:R27)</f>
        <v>-665.38829791355886</v>
      </c>
    </row>
    <row r="25" spans="1:21" x14ac:dyDescent="0.3">
      <c r="A25" s="11" t="s">
        <v>220</v>
      </c>
      <c r="C25" s="32">
        <v>0</v>
      </c>
      <c r="D25" s="32">
        <f t="shared" ref="D25:R25" si="8">(NET_OFD_U-NET_OFB_U)+REVAG_U*D6-VCAG_U+NET_OFD_U*SHU_U*D7</f>
        <v>-88.068627450980387</v>
      </c>
      <c r="E25" s="32">
        <f t="shared" si="8"/>
        <v>-88.068627450980387</v>
      </c>
      <c r="F25" s="32">
        <f t="shared" si="8"/>
        <v>-41.850140056022411</v>
      </c>
      <c r="G25" s="32">
        <f t="shared" si="8"/>
        <v>4.3683473389355783</v>
      </c>
      <c r="H25" s="32">
        <f t="shared" si="8"/>
        <v>50.586834733893568</v>
      </c>
      <c r="I25" s="32">
        <f t="shared" si="8"/>
        <v>101.21120448179272</v>
      </c>
      <c r="J25" s="32">
        <f t="shared" si="8"/>
        <v>101.21120448179272</v>
      </c>
      <c r="K25" s="32">
        <f t="shared" si="8"/>
        <v>101.21120448179272</v>
      </c>
      <c r="L25" s="32">
        <f t="shared" si="8"/>
        <v>101.21120448179272</v>
      </c>
      <c r="M25" s="32">
        <f t="shared" si="8"/>
        <v>101.21120448179272</v>
      </c>
      <c r="N25" s="32">
        <f t="shared" si="8"/>
        <v>101.21120448179272</v>
      </c>
      <c r="O25" s="32">
        <f t="shared" si="8"/>
        <v>101.21120448179272</v>
      </c>
      <c r="P25" s="32">
        <f t="shared" si="8"/>
        <v>101.21120448179272</v>
      </c>
      <c r="Q25" s="32">
        <f t="shared" si="8"/>
        <v>101.21120448179272</v>
      </c>
      <c r="R25" s="32">
        <f t="shared" si="8"/>
        <v>101.21120448179272</v>
      </c>
      <c r="T25" s="11" t="s">
        <v>221</v>
      </c>
      <c r="U25" s="26">
        <f>IFERROR(IRR(C27:R27),"n/a")</f>
        <v>-3.5481440746837012E-2</v>
      </c>
    </row>
    <row r="26" spans="1:21" x14ac:dyDescent="0.3">
      <c r="A26" s="11" t="s">
        <v>222</v>
      </c>
      <c r="C26" s="32">
        <v>0</v>
      </c>
      <c r="D26" s="32">
        <f t="shared" ref="D26:R26" si="9">SOLOM*SOLSH_U</f>
        <v>3.75</v>
      </c>
      <c r="E26" s="32">
        <f t="shared" si="9"/>
        <v>3.75</v>
      </c>
      <c r="F26" s="32">
        <f t="shared" si="9"/>
        <v>3.75</v>
      </c>
      <c r="G26" s="32">
        <f t="shared" si="9"/>
        <v>3.75</v>
      </c>
      <c r="H26" s="32">
        <f t="shared" si="9"/>
        <v>3.75</v>
      </c>
      <c r="I26" s="32">
        <f t="shared" si="9"/>
        <v>3.75</v>
      </c>
      <c r="J26" s="32">
        <f t="shared" si="9"/>
        <v>3.75</v>
      </c>
      <c r="K26" s="32">
        <f t="shared" si="9"/>
        <v>3.75</v>
      </c>
      <c r="L26" s="32">
        <f t="shared" si="9"/>
        <v>3.75</v>
      </c>
      <c r="M26" s="32">
        <f t="shared" si="9"/>
        <v>3.75</v>
      </c>
      <c r="N26" s="32">
        <f t="shared" si="9"/>
        <v>3.75</v>
      </c>
      <c r="O26" s="32">
        <f t="shared" si="9"/>
        <v>3.75</v>
      </c>
      <c r="P26" s="32">
        <f t="shared" si="9"/>
        <v>3.75</v>
      </c>
      <c r="Q26" s="32">
        <f t="shared" si="9"/>
        <v>3.75</v>
      </c>
      <c r="R26" s="32">
        <f t="shared" si="9"/>
        <v>3.75</v>
      </c>
      <c r="T26" s="11" t="s">
        <v>223</v>
      </c>
      <c r="U26" s="34">
        <f>(SUMPRODUCT(C25:R25,C5:R5))/(SUMPRODUCT((C24:R24+C26:R26),C5:R5))</f>
        <v>0.26202749194032521</v>
      </c>
    </row>
    <row r="27" spans="1:21" x14ac:dyDescent="0.3">
      <c r="A27" s="27" t="s">
        <v>224</v>
      </c>
      <c r="C27" s="35">
        <f t="shared" ref="C27:R27" si="10">C25-C26-C24</f>
        <v>-720</v>
      </c>
      <c r="D27" s="35">
        <f t="shared" si="10"/>
        <v>-91.818627450980387</v>
      </c>
      <c r="E27" s="35">
        <f t="shared" si="10"/>
        <v>-128.56862745098039</v>
      </c>
      <c r="F27" s="35">
        <f t="shared" si="10"/>
        <v>-45.600140056022411</v>
      </c>
      <c r="G27" s="35">
        <f t="shared" si="10"/>
        <v>0.61834733893557825</v>
      </c>
      <c r="H27" s="35">
        <f t="shared" si="10"/>
        <v>46.836834733893568</v>
      </c>
      <c r="I27" s="35">
        <f t="shared" si="10"/>
        <v>97.46120448179272</v>
      </c>
      <c r="J27" s="35">
        <f t="shared" si="10"/>
        <v>-37.53879551820728</v>
      </c>
      <c r="K27" s="35">
        <f t="shared" si="10"/>
        <v>97.46120448179272</v>
      </c>
      <c r="L27" s="35">
        <f t="shared" si="10"/>
        <v>97.46120448179272</v>
      </c>
      <c r="M27" s="35">
        <f t="shared" si="10"/>
        <v>97.46120448179272</v>
      </c>
      <c r="N27" s="35">
        <f t="shared" si="10"/>
        <v>97.46120448179272</v>
      </c>
      <c r="O27" s="35">
        <f t="shared" si="10"/>
        <v>41.21120448179272</v>
      </c>
      <c r="P27" s="35">
        <f t="shared" si="10"/>
        <v>97.46120448179272</v>
      </c>
      <c r="Q27" s="35">
        <f t="shared" si="10"/>
        <v>-37.53879551820728</v>
      </c>
      <c r="R27" s="35">
        <f t="shared" si="10"/>
        <v>97.46120448179272</v>
      </c>
      <c r="T27" s="11" t="s">
        <v>225</v>
      </c>
      <c r="U27" s="36" t="str">
        <f>IF(SUMPRODUCT(--(C28:R28&lt;0))&gt;15,"&gt;15",SUMPRODUCT(--(C28:R28&lt;0)))</f>
        <v>&gt;15</v>
      </c>
    </row>
    <row r="28" spans="1:21" x14ac:dyDescent="0.3">
      <c r="A28" s="37" t="s">
        <v>226</v>
      </c>
      <c r="C28" s="38">
        <f>C27</f>
        <v>-720</v>
      </c>
      <c r="D28" s="38">
        <f t="shared" ref="D28:R28" si="11">C28+D27</f>
        <v>-811.81862745098033</v>
      </c>
      <c r="E28" s="38">
        <f t="shared" si="11"/>
        <v>-940.38725490196066</v>
      </c>
      <c r="F28" s="38">
        <f t="shared" si="11"/>
        <v>-985.98739495798304</v>
      </c>
      <c r="G28" s="38">
        <f t="shared" si="11"/>
        <v>-985.36904761904748</v>
      </c>
      <c r="H28" s="38">
        <f t="shared" si="11"/>
        <v>-938.53221288515397</v>
      </c>
      <c r="I28" s="38">
        <f t="shared" si="11"/>
        <v>-841.07100840336125</v>
      </c>
      <c r="J28" s="38">
        <f t="shared" si="11"/>
        <v>-878.60980392156853</v>
      </c>
      <c r="K28" s="38">
        <f t="shared" si="11"/>
        <v>-781.14859943977581</v>
      </c>
      <c r="L28" s="38">
        <f t="shared" si="11"/>
        <v>-683.68739495798309</v>
      </c>
      <c r="M28" s="38">
        <f t="shared" si="11"/>
        <v>-586.22619047619037</v>
      </c>
      <c r="N28" s="38">
        <f t="shared" si="11"/>
        <v>-488.76498599439765</v>
      </c>
      <c r="O28" s="38">
        <f t="shared" si="11"/>
        <v>-447.55378151260493</v>
      </c>
      <c r="P28" s="38">
        <f t="shared" si="11"/>
        <v>-350.09257703081221</v>
      </c>
      <c r="Q28" s="38">
        <f t="shared" si="11"/>
        <v>-387.63137254901949</v>
      </c>
      <c r="R28" s="38">
        <f t="shared" si="11"/>
        <v>-290.17016806722677</v>
      </c>
    </row>
    <row r="30" spans="1:21" x14ac:dyDescent="0.3">
      <c r="A30" s="57" t="s">
        <v>229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</row>
    <row r="31" spans="1:21" x14ac:dyDescent="0.3">
      <c r="A31" s="11" t="s">
        <v>218</v>
      </c>
      <c r="C31" s="32">
        <f>SOLSH_U+TANKSH_U+DRIP_GH+A_GH*GHC_U+AG_SEED+AG_PLANT+AG_FENCE+AG_ESTIRR</f>
        <v>6855</v>
      </c>
      <c r="D31" s="32">
        <v>0</v>
      </c>
      <c r="E31" s="32">
        <f>AGBEATFR*(AG_SEED+AG_PLANT)</f>
        <v>36.75</v>
      </c>
      <c r="F31" s="32">
        <v>0</v>
      </c>
      <c r="G31" s="32">
        <v>0</v>
      </c>
      <c r="H31" s="32">
        <v>0</v>
      </c>
      <c r="I31" s="32">
        <v>0</v>
      </c>
      <c r="J31" s="32">
        <f>DRIPFR*(DRIP_GH)</f>
        <v>216</v>
      </c>
      <c r="K31" s="32">
        <v>0</v>
      </c>
      <c r="L31" s="32">
        <v>0</v>
      </c>
      <c r="M31" s="32">
        <f>A_GH*GHG_U</f>
        <v>1800</v>
      </c>
      <c r="N31" s="32">
        <v>0</v>
      </c>
      <c r="O31" s="32">
        <f>PUMPFR*SOLSH_U</f>
        <v>56.25</v>
      </c>
      <c r="P31" s="32">
        <v>0</v>
      </c>
      <c r="Q31" s="32">
        <f>DRIPFR*(DRIP_GH)</f>
        <v>216</v>
      </c>
      <c r="R31" s="32">
        <v>0</v>
      </c>
      <c r="T31" s="27" t="s">
        <v>219</v>
      </c>
      <c r="U31" s="33">
        <f>C34+NPV(DR_FIN,D34:R34)</f>
        <v>15552.20002266618</v>
      </c>
    </row>
    <row r="32" spans="1:21" x14ac:dyDescent="0.3">
      <c r="A32" s="11" t="s">
        <v>220</v>
      </c>
      <c r="C32" s="32">
        <v>0</v>
      </c>
      <c r="D32" s="32">
        <f t="shared" ref="D32:R32" si="12">(NET_OFD_U-NET_OFB_U)+NET_GH_U+(REVGH_U+REVOFNOMD_U)*INSP*INSPAY+REVAG_U*D6-VCAG_U+NET_OFD_U*SHU_U*D7</f>
        <v>3608.3927170868346</v>
      </c>
      <c r="E32" s="32">
        <f t="shared" si="12"/>
        <v>3608.3927170868346</v>
      </c>
      <c r="F32" s="32">
        <f t="shared" si="12"/>
        <v>3654.6112044817928</v>
      </c>
      <c r="G32" s="32">
        <f t="shared" si="12"/>
        <v>3700.8296918767505</v>
      </c>
      <c r="H32" s="32">
        <f t="shared" si="12"/>
        <v>3747.0481792717087</v>
      </c>
      <c r="I32" s="32">
        <f t="shared" si="12"/>
        <v>3797.6725490196077</v>
      </c>
      <c r="J32" s="32">
        <f t="shared" si="12"/>
        <v>3797.6725490196077</v>
      </c>
      <c r="K32" s="32">
        <f t="shared" si="12"/>
        <v>3797.6725490196077</v>
      </c>
      <c r="L32" s="32">
        <f t="shared" si="12"/>
        <v>3797.6725490196077</v>
      </c>
      <c r="M32" s="32">
        <f t="shared" si="12"/>
        <v>3797.6725490196077</v>
      </c>
      <c r="N32" s="32">
        <f t="shared" si="12"/>
        <v>3797.6725490196077</v>
      </c>
      <c r="O32" s="32">
        <f t="shared" si="12"/>
        <v>3797.6725490196077</v>
      </c>
      <c r="P32" s="32">
        <f t="shared" si="12"/>
        <v>3797.6725490196077</v>
      </c>
      <c r="Q32" s="32">
        <f t="shared" si="12"/>
        <v>3797.6725490196077</v>
      </c>
      <c r="R32" s="32">
        <f t="shared" si="12"/>
        <v>3797.6725490196077</v>
      </c>
      <c r="T32" s="11" t="s">
        <v>221</v>
      </c>
      <c r="U32" s="26">
        <f>IFERROR(IRR(C34:R34),"n/a")</f>
        <v>0.43062001985428267</v>
      </c>
    </row>
    <row r="33" spans="1:21" x14ac:dyDescent="0.3">
      <c r="A33" s="11" t="s">
        <v>222</v>
      </c>
      <c r="C33" s="32">
        <v>0</v>
      </c>
      <c r="D33" s="32">
        <f t="shared" ref="D33:R33" si="13">SOLOM*SOLSH_U+A_GH*GHOM_U+(REVGH_U+REVOFNOMD_U)*INSP*(1-INSS)</f>
        <v>661.92310924369747</v>
      </c>
      <c r="E33" s="32">
        <f t="shared" si="13"/>
        <v>661.92310924369747</v>
      </c>
      <c r="F33" s="32">
        <f t="shared" si="13"/>
        <v>661.92310924369747</v>
      </c>
      <c r="G33" s="32">
        <f t="shared" si="13"/>
        <v>661.92310924369747</v>
      </c>
      <c r="H33" s="32">
        <f t="shared" si="13"/>
        <v>661.92310924369747</v>
      </c>
      <c r="I33" s="32">
        <f t="shared" si="13"/>
        <v>661.92310924369747</v>
      </c>
      <c r="J33" s="32">
        <f t="shared" si="13"/>
        <v>661.92310924369747</v>
      </c>
      <c r="K33" s="32">
        <f t="shared" si="13"/>
        <v>661.92310924369747</v>
      </c>
      <c r="L33" s="32">
        <f t="shared" si="13"/>
        <v>661.92310924369747</v>
      </c>
      <c r="M33" s="32">
        <f t="shared" si="13"/>
        <v>661.92310924369747</v>
      </c>
      <c r="N33" s="32">
        <f t="shared" si="13"/>
        <v>661.92310924369747</v>
      </c>
      <c r="O33" s="32">
        <f t="shared" si="13"/>
        <v>661.92310924369747</v>
      </c>
      <c r="P33" s="32">
        <f t="shared" si="13"/>
        <v>661.92310924369747</v>
      </c>
      <c r="Q33" s="32">
        <f t="shared" si="13"/>
        <v>661.92310924369747</v>
      </c>
      <c r="R33" s="32">
        <f t="shared" si="13"/>
        <v>661.92310924369747</v>
      </c>
      <c r="T33" s="11" t="s">
        <v>223</v>
      </c>
      <c r="U33" s="34">
        <f>(SUMPRODUCT(C32:R32,C5:R5))/(SUMPRODUCT((C31:R31+C33:R33),C5:R5))</f>
        <v>2.2150503405944102</v>
      </c>
    </row>
    <row r="34" spans="1:21" x14ac:dyDescent="0.3">
      <c r="A34" s="27" t="s">
        <v>224</v>
      </c>
      <c r="C34" s="35">
        <f t="shared" ref="C34:R34" si="14">C32-C33-C31</f>
        <v>-6855</v>
      </c>
      <c r="D34" s="35">
        <f t="shared" si="14"/>
        <v>2946.4696078431371</v>
      </c>
      <c r="E34" s="35">
        <f t="shared" si="14"/>
        <v>2909.7196078431371</v>
      </c>
      <c r="F34" s="35">
        <f t="shared" si="14"/>
        <v>2992.6880952380952</v>
      </c>
      <c r="G34" s="35">
        <f t="shared" si="14"/>
        <v>3038.9065826330529</v>
      </c>
      <c r="H34" s="35">
        <f t="shared" si="14"/>
        <v>3085.1250700280111</v>
      </c>
      <c r="I34" s="35">
        <f t="shared" si="14"/>
        <v>3135.7494397759101</v>
      </c>
      <c r="J34" s="35">
        <f t="shared" si="14"/>
        <v>2919.7494397759101</v>
      </c>
      <c r="K34" s="35">
        <f t="shared" si="14"/>
        <v>3135.7494397759101</v>
      </c>
      <c r="L34" s="35">
        <f t="shared" si="14"/>
        <v>3135.7494397759101</v>
      </c>
      <c r="M34" s="35">
        <f t="shared" si="14"/>
        <v>1335.7494397759101</v>
      </c>
      <c r="N34" s="35">
        <f t="shared" si="14"/>
        <v>3135.7494397759101</v>
      </c>
      <c r="O34" s="35">
        <f t="shared" si="14"/>
        <v>3079.4994397759101</v>
      </c>
      <c r="P34" s="35">
        <f t="shared" si="14"/>
        <v>3135.7494397759101</v>
      </c>
      <c r="Q34" s="35">
        <f t="shared" si="14"/>
        <v>2919.7494397759101</v>
      </c>
      <c r="R34" s="35">
        <f t="shared" si="14"/>
        <v>3135.7494397759101</v>
      </c>
      <c r="T34" s="11" t="s">
        <v>225</v>
      </c>
      <c r="U34" s="36">
        <f>IF(SUMPRODUCT(--(C35:R35&lt;0))&gt;15,"&gt;15",SUMPRODUCT(--(C35:R35&lt;0)))</f>
        <v>3</v>
      </c>
    </row>
    <row r="35" spans="1:21" x14ac:dyDescent="0.3">
      <c r="A35" s="37" t="s">
        <v>226</v>
      </c>
      <c r="C35" s="38">
        <f>C34</f>
        <v>-6855</v>
      </c>
      <c r="D35" s="38">
        <f t="shared" ref="D35:R35" si="15">C35+D34</f>
        <v>-3908.5303921568629</v>
      </c>
      <c r="E35" s="38">
        <f t="shared" si="15"/>
        <v>-998.81078431372589</v>
      </c>
      <c r="F35" s="38">
        <f t="shared" si="15"/>
        <v>1993.8773109243693</v>
      </c>
      <c r="G35" s="38">
        <f t="shared" si="15"/>
        <v>5032.7838935574218</v>
      </c>
      <c r="H35" s="38">
        <f t="shared" si="15"/>
        <v>8117.9089635854325</v>
      </c>
      <c r="I35" s="38">
        <f t="shared" si="15"/>
        <v>11253.658403361344</v>
      </c>
      <c r="J35" s="38">
        <f t="shared" si="15"/>
        <v>14173.407843137255</v>
      </c>
      <c r="K35" s="38">
        <f t="shared" si="15"/>
        <v>17309.157282913166</v>
      </c>
      <c r="L35" s="38">
        <f t="shared" si="15"/>
        <v>20444.906722689077</v>
      </c>
      <c r="M35" s="38">
        <f t="shared" si="15"/>
        <v>21780.656162464988</v>
      </c>
      <c r="N35" s="38">
        <f t="shared" si="15"/>
        <v>24916.405602240899</v>
      </c>
      <c r="O35" s="38">
        <f t="shared" si="15"/>
        <v>27995.90504201681</v>
      </c>
      <c r="P35" s="38">
        <f t="shared" si="15"/>
        <v>31131.654481792721</v>
      </c>
      <c r="Q35" s="38">
        <f t="shared" si="15"/>
        <v>34051.403921568628</v>
      </c>
      <c r="R35" s="38">
        <f t="shared" si="15"/>
        <v>37187.153361344535</v>
      </c>
    </row>
    <row r="37" spans="1:21" x14ac:dyDescent="0.3">
      <c r="A37" s="57" t="s">
        <v>230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</row>
    <row r="38" spans="1:21" x14ac:dyDescent="0.3">
      <c r="A38" s="11" t="s">
        <v>218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T38" s="27" t="s">
        <v>219</v>
      </c>
      <c r="U38" s="33">
        <f>C41+NPV(DR_FIN,D41:R41)</f>
        <v>20.133739869639776</v>
      </c>
    </row>
    <row r="39" spans="1:21" x14ac:dyDescent="0.3">
      <c r="A39" s="11" t="s">
        <v>220</v>
      </c>
      <c r="C39" s="32">
        <v>0</v>
      </c>
      <c r="D39" s="32">
        <f t="shared" ref="D39:R39" si="16">(REVOFNOMB_U)*INSP*INSPAY</f>
        <v>7.9411764705882355</v>
      </c>
      <c r="E39" s="32">
        <f t="shared" si="16"/>
        <v>7.9411764705882355</v>
      </c>
      <c r="F39" s="32">
        <f t="shared" si="16"/>
        <v>7.9411764705882355</v>
      </c>
      <c r="G39" s="32">
        <f t="shared" si="16"/>
        <v>7.9411764705882355</v>
      </c>
      <c r="H39" s="32">
        <f t="shared" si="16"/>
        <v>7.9411764705882355</v>
      </c>
      <c r="I39" s="32">
        <f t="shared" si="16"/>
        <v>7.9411764705882355</v>
      </c>
      <c r="J39" s="32">
        <f t="shared" si="16"/>
        <v>7.9411764705882355</v>
      </c>
      <c r="K39" s="32">
        <f t="shared" si="16"/>
        <v>7.9411764705882355</v>
      </c>
      <c r="L39" s="32">
        <f t="shared" si="16"/>
        <v>7.9411764705882355</v>
      </c>
      <c r="M39" s="32">
        <f t="shared" si="16"/>
        <v>7.9411764705882355</v>
      </c>
      <c r="N39" s="32">
        <f t="shared" si="16"/>
        <v>7.9411764705882355</v>
      </c>
      <c r="O39" s="32">
        <f t="shared" si="16"/>
        <v>7.9411764705882355</v>
      </c>
      <c r="P39" s="32">
        <f t="shared" si="16"/>
        <v>7.9411764705882355</v>
      </c>
      <c r="Q39" s="32">
        <f t="shared" si="16"/>
        <v>7.9411764705882355</v>
      </c>
      <c r="R39" s="32">
        <f t="shared" si="16"/>
        <v>7.9411764705882355</v>
      </c>
      <c r="T39" s="11" t="s">
        <v>221</v>
      </c>
      <c r="U39" s="26" t="str">
        <f>IFERROR(IRR(C41:R41),"n/a")</f>
        <v>n/a</v>
      </c>
    </row>
    <row r="40" spans="1:21" x14ac:dyDescent="0.3">
      <c r="A40" s="11" t="s">
        <v>222</v>
      </c>
      <c r="C40" s="32">
        <v>0</v>
      </c>
      <c r="D40" s="32">
        <f t="shared" ref="D40:R40" si="17">(REVOFNOMB_U)*INSP*(1-INSS)</f>
        <v>5.2941176470588234</v>
      </c>
      <c r="E40" s="32">
        <f t="shared" si="17"/>
        <v>5.2941176470588234</v>
      </c>
      <c r="F40" s="32">
        <f t="shared" si="17"/>
        <v>5.2941176470588234</v>
      </c>
      <c r="G40" s="32">
        <f t="shared" si="17"/>
        <v>5.2941176470588234</v>
      </c>
      <c r="H40" s="32">
        <f t="shared" si="17"/>
        <v>5.2941176470588234</v>
      </c>
      <c r="I40" s="32">
        <f t="shared" si="17"/>
        <v>5.2941176470588234</v>
      </c>
      <c r="J40" s="32">
        <f t="shared" si="17"/>
        <v>5.2941176470588234</v>
      </c>
      <c r="K40" s="32">
        <f t="shared" si="17"/>
        <v>5.2941176470588234</v>
      </c>
      <c r="L40" s="32">
        <f t="shared" si="17"/>
        <v>5.2941176470588234</v>
      </c>
      <c r="M40" s="32">
        <f t="shared" si="17"/>
        <v>5.2941176470588234</v>
      </c>
      <c r="N40" s="32">
        <f t="shared" si="17"/>
        <v>5.2941176470588234</v>
      </c>
      <c r="O40" s="32">
        <f t="shared" si="17"/>
        <v>5.2941176470588234</v>
      </c>
      <c r="P40" s="32">
        <f t="shared" si="17"/>
        <v>5.2941176470588234</v>
      </c>
      <c r="Q40" s="32">
        <f t="shared" si="17"/>
        <v>5.2941176470588234</v>
      </c>
      <c r="R40" s="32">
        <f t="shared" si="17"/>
        <v>5.2941176470588234</v>
      </c>
      <c r="T40" s="11" t="s">
        <v>223</v>
      </c>
      <c r="U40" s="34">
        <f>(SUMPRODUCT(C39:R39,C5:R5))/(SUMPRODUCT((C38:R38+C40:R40),C5:R5))</f>
        <v>1.5</v>
      </c>
    </row>
    <row r="41" spans="1:21" x14ac:dyDescent="0.3">
      <c r="A41" s="27" t="s">
        <v>224</v>
      </c>
      <c r="C41" s="35">
        <f t="shared" ref="C41:R41" si="18">C39-C40-C38</f>
        <v>0</v>
      </c>
      <c r="D41" s="35">
        <f t="shared" si="18"/>
        <v>2.6470588235294121</v>
      </c>
      <c r="E41" s="35">
        <f t="shared" si="18"/>
        <v>2.6470588235294121</v>
      </c>
      <c r="F41" s="35">
        <f t="shared" si="18"/>
        <v>2.6470588235294121</v>
      </c>
      <c r="G41" s="35">
        <f t="shared" si="18"/>
        <v>2.6470588235294121</v>
      </c>
      <c r="H41" s="35">
        <f t="shared" si="18"/>
        <v>2.6470588235294121</v>
      </c>
      <c r="I41" s="35">
        <f t="shared" si="18"/>
        <v>2.6470588235294121</v>
      </c>
      <c r="J41" s="35">
        <f t="shared" si="18"/>
        <v>2.6470588235294121</v>
      </c>
      <c r="K41" s="35">
        <f t="shared" si="18"/>
        <v>2.6470588235294121</v>
      </c>
      <c r="L41" s="35">
        <f t="shared" si="18"/>
        <v>2.6470588235294121</v>
      </c>
      <c r="M41" s="35">
        <f t="shared" si="18"/>
        <v>2.6470588235294121</v>
      </c>
      <c r="N41" s="35">
        <f t="shared" si="18"/>
        <v>2.6470588235294121</v>
      </c>
      <c r="O41" s="35">
        <f t="shared" si="18"/>
        <v>2.6470588235294121</v>
      </c>
      <c r="P41" s="35">
        <f t="shared" si="18"/>
        <v>2.6470588235294121</v>
      </c>
      <c r="Q41" s="35">
        <f t="shared" si="18"/>
        <v>2.6470588235294121</v>
      </c>
      <c r="R41" s="35">
        <f t="shared" si="18"/>
        <v>2.6470588235294121</v>
      </c>
      <c r="T41" s="11" t="s">
        <v>225</v>
      </c>
      <c r="U41" s="36">
        <f>IF(SUMPRODUCT(--(C42:R42&lt;0))&gt;15,"&gt;15",SUMPRODUCT(--(C42:R42&lt;0)))</f>
        <v>0</v>
      </c>
    </row>
    <row r="42" spans="1:21" x14ac:dyDescent="0.3">
      <c r="A42" s="37" t="s">
        <v>226</v>
      </c>
      <c r="C42" s="38">
        <f>C41</f>
        <v>0</v>
      </c>
      <c r="D42" s="38">
        <f t="shared" ref="D42:R42" si="19">C42+D41</f>
        <v>2.6470588235294121</v>
      </c>
      <c r="E42" s="38">
        <f t="shared" si="19"/>
        <v>5.2941176470588243</v>
      </c>
      <c r="F42" s="38">
        <f t="shared" si="19"/>
        <v>7.9411764705882364</v>
      </c>
      <c r="G42" s="38">
        <f t="shared" si="19"/>
        <v>10.588235294117649</v>
      </c>
      <c r="H42" s="38">
        <f t="shared" si="19"/>
        <v>13.235294117647062</v>
      </c>
      <c r="I42" s="38">
        <f t="shared" si="19"/>
        <v>15.882352941176475</v>
      </c>
      <c r="J42" s="38">
        <f t="shared" si="19"/>
        <v>18.529411764705888</v>
      </c>
      <c r="K42" s="38">
        <f t="shared" si="19"/>
        <v>21.176470588235301</v>
      </c>
      <c r="L42" s="38">
        <f t="shared" si="19"/>
        <v>23.823529411764714</v>
      </c>
      <c r="M42" s="38">
        <f t="shared" si="19"/>
        <v>26.470588235294127</v>
      </c>
      <c r="N42" s="38">
        <f t="shared" si="19"/>
        <v>29.11764705882354</v>
      </c>
      <c r="O42" s="38">
        <f t="shared" si="19"/>
        <v>31.764705882352953</v>
      </c>
      <c r="P42" s="38">
        <f t="shared" si="19"/>
        <v>34.411764705882362</v>
      </c>
      <c r="Q42" s="38">
        <f t="shared" si="19"/>
        <v>37.058823529411775</v>
      </c>
      <c r="R42" s="38">
        <f t="shared" si="19"/>
        <v>39.705882352941188</v>
      </c>
    </row>
  </sheetData>
  <mergeCells count="5">
    <mergeCell ref="A9:R9"/>
    <mergeCell ref="A16:R16"/>
    <mergeCell ref="A23:R23"/>
    <mergeCell ref="A30:R30"/>
    <mergeCell ref="A37:R37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6"/>
  <sheetViews>
    <sheetView showGridLines="0" zoomScale="55" zoomScaleNormal="55" workbookViewId="0">
      <pane xSplit="2" ySplit="4" topLeftCell="C38" activePane="bottomRight" state="frozen"/>
      <selection pane="topRight" activeCell="C1" sqref="C1"/>
      <selection pane="bottomLeft" activeCell="A38" sqref="A38"/>
      <selection pane="bottomRight"/>
    </sheetView>
  </sheetViews>
  <sheetFormatPr defaultColWidth="8.77734375" defaultRowHeight="14.4" x14ac:dyDescent="0.3"/>
  <cols>
    <col min="1" max="1" width="34" customWidth="1"/>
    <col min="3" max="18" width="9.5546875" customWidth="1"/>
    <col min="20" max="20" width="15" customWidth="1"/>
    <col min="21" max="21" width="12" customWidth="1"/>
  </cols>
  <sheetData>
    <row r="1" spans="1:21" ht="17.25" customHeight="1" x14ac:dyDescent="0.3">
      <c r="A1" s="10" t="s">
        <v>231</v>
      </c>
    </row>
    <row r="2" spans="1:21" x14ac:dyDescent="0.3">
      <c r="A2" s="11" t="s">
        <v>232</v>
      </c>
    </row>
    <row r="4" spans="1:21" x14ac:dyDescent="0.3">
      <c r="A4" s="27" t="s">
        <v>213</v>
      </c>
      <c r="C4" s="28">
        <v>0</v>
      </c>
      <c r="D4" s="28">
        <v>1</v>
      </c>
      <c r="E4" s="28">
        <v>2</v>
      </c>
      <c r="F4" s="28">
        <v>3</v>
      </c>
      <c r="G4" s="28">
        <v>4</v>
      </c>
      <c r="H4" s="28">
        <v>5</v>
      </c>
      <c r="I4" s="28">
        <v>6</v>
      </c>
      <c r="J4" s="28">
        <v>7</v>
      </c>
      <c r="K4" s="28">
        <v>8</v>
      </c>
      <c r="L4" s="28">
        <v>9</v>
      </c>
      <c r="M4" s="28">
        <v>10</v>
      </c>
      <c r="N4" s="28">
        <v>11</v>
      </c>
      <c r="O4" s="28">
        <v>12</v>
      </c>
      <c r="P4" s="28">
        <v>13</v>
      </c>
      <c r="Q4" s="28">
        <v>14</v>
      </c>
      <c r="R4" s="28">
        <v>15</v>
      </c>
    </row>
    <row r="5" spans="1:21" x14ac:dyDescent="0.3">
      <c r="A5" s="11" t="s">
        <v>214</v>
      </c>
      <c r="C5" s="29">
        <f>1/(1+DR_FIN)^0</f>
        <v>1</v>
      </c>
      <c r="D5" s="29">
        <f>1/(1+DR_FIN)^1</f>
        <v>0.90909090909090906</v>
      </c>
      <c r="E5" s="29">
        <f>1/(1+DR_FIN)^2</f>
        <v>0.82644628099173545</v>
      </c>
      <c r="F5" s="29">
        <f>1/(1+DR_FIN)^3</f>
        <v>0.75131480090157754</v>
      </c>
      <c r="G5" s="29">
        <f>1/(1+DR_FIN)^4</f>
        <v>0.68301345536507052</v>
      </c>
      <c r="H5" s="29">
        <f>1/(1+DR_FIN)^5</f>
        <v>0.62092132305915493</v>
      </c>
      <c r="I5" s="29">
        <f>1/(1+DR_FIN)^6</f>
        <v>0.56447393005377722</v>
      </c>
      <c r="J5" s="29">
        <f>1/(1+DR_FIN)^7</f>
        <v>0.51315811823070645</v>
      </c>
      <c r="K5" s="29">
        <f>1/(1+DR_FIN)^8</f>
        <v>0.46650738020973315</v>
      </c>
      <c r="L5" s="29">
        <f>1/(1+DR_FIN)^9</f>
        <v>0.42409761837248466</v>
      </c>
      <c r="M5" s="29">
        <f>1/(1+DR_FIN)^10</f>
        <v>0.38554328942953148</v>
      </c>
      <c r="N5" s="29">
        <f>1/(1+DR_FIN)^11</f>
        <v>0.3504938994813922</v>
      </c>
      <c r="O5" s="29">
        <f>1/(1+DR_FIN)^12</f>
        <v>0.31863081771035656</v>
      </c>
      <c r="P5" s="29">
        <f>1/(1+DR_FIN)^13</f>
        <v>0.28966437973668779</v>
      </c>
      <c r="Q5" s="29">
        <f>1/(1+DR_FIN)^14</f>
        <v>0.26333125430607973</v>
      </c>
      <c r="R5" s="29">
        <f>1/(1+DR_FIN)^15</f>
        <v>0.23939204936916339</v>
      </c>
    </row>
    <row r="6" spans="1:21" x14ac:dyDescent="0.3">
      <c r="A6" s="11" t="s">
        <v>215</v>
      </c>
      <c r="C6" s="30">
        <v>0</v>
      </c>
      <c r="D6" s="30">
        <v>0</v>
      </c>
      <c r="E6" s="30">
        <v>0</v>
      </c>
      <c r="F6" s="30">
        <v>0.25</v>
      </c>
      <c r="G6" s="30">
        <v>0.5</v>
      </c>
      <c r="H6" s="30">
        <v>0.75</v>
      </c>
      <c r="I6" s="30">
        <v>1</v>
      </c>
      <c r="J6" s="30">
        <v>1</v>
      </c>
      <c r="K6" s="30">
        <v>1</v>
      </c>
      <c r="L6" s="30">
        <v>1</v>
      </c>
      <c r="M6" s="30">
        <v>1</v>
      </c>
      <c r="N6" s="30">
        <v>1</v>
      </c>
      <c r="O6" s="30">
        <v>1</v>
      </c>
      <c r="P6" s="30">
        <v>1</v>
      </c>
      <c r="Q6" s="30">
        <v>1</v>
      </c>
      <c r="R6" s="30">
        <v>1</v>
      </c>
    </row>
    <row r="7" spans="1:21" x14ac:dyDescent="0.3">
      <c r="A7" s="11" t="s">
        <v>216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1</v>
      </c>
      <c r="J7" s="31">
        <v>1</v>
      </c>
      <c r="K7" s="31">
        <v>1</v>
      </c>
      <c r="L7" s="31">
        <v>1</v>
      </c>
      <c r="M7" s="31">
        <v>1</v>
      </c>
      <c r="N7" s="31">
        <v>1</v>
      </c>
      <c r="O7" s="31">
        <v>1</v>
      </c>
      <c r="P7" s="31">
        <v>1</v>
      </c>
      <c r="Q7" s="31">
        <v>1</v>
      </c>
      <c r="R7" s="31">
        <v>1</v>
      </c>
    </row>
    <row r="9" spans="1:21" x14ac:dyDescent="0.3">
      <c r="A9" s="57" t="s">
        <v>217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</row>
    <row r="10" spans="1:21" x14ac:dyDescent="0.3">
      <c r="A10" s="11" t="s">
        <v>218</v>
      </c>
      <c r="C10" s="32">
        <f>SOLSH_D+TANKSH_D+DRIP_OF</f>
        <v>788.88888888888891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f>DRIPFR*(DRIP_OF)</f>
        <v>135</v>
      </c>
      <c r="K10" s="32">
        <f>BATTFR*SOLSH_D</f>
        <v>170.13888888888886</v>
      </c>
      <c r="L10" s="32">
        <v>0</v>
      </c>
      <c r="M10" s="32">
        <v>0</v>
      </c>
      <c r="N10" s="32">
        <v>0</v>
      </c>
      <c r="O10" s="32">
        <f>PUMPFR*SOLSH_D</f>
        <v>218.75</v>
      </c>
      <c r="P10" s="32">
        <v>0</v>
      </c>
      <c r="Q10" s="32">
        <f>DRIPFR*(DRIP_OF)</f>
        <v>135</v>
      </c>
      <c r="R10" s="32">
        <v>0</v>
      </c>
      <c r="T10" s="27" t="s">
        <v>219</v>
      </c>
      <c r="U10" s="33">
        <f>C13+NPV(DR_FIN,D13:R13)</f>
        <v>-979.06693466578213</v>
      </c>
    </row>
    <row r="11" spans="1:21" x14ac:dyDescent="0.3">
      <c r="A11" s="11" t="s">
        <v>220</v>
      </c>
      <c r="C11" s="32">
        <v>0</v>
      </c>
      <c r="D11" s="32">
        <f t="shared" ref="D11:R11" si="0">(NET_OFD_D-NET_OFB_D)</f>
        <v>22.960784313725497</v>
      </c>
      <c r="E11" s="32">
        <f t="shared" si="0"/>
        <v>22.960784313725497</v>
      </c>
      <c r="F11" s="32">
        <f t="shared" si="0"/>
        <v>22.960784313725497</v>
      </c>
      <c r="G11" s="32">
        <f t="shared" si="0"/>
        <v>22.960784313725497</v>
      </c>
      <c r="H11" s="32">
        <f t="shared" si="0"/>
        <v>22.960784313725497</v>
      </c>
      <c r="I11" s="32">
        <f t="shared" si="0"/>
        <v>22.960784313725497</v>
      </c>
      <c r="J11" s="32">
        <f t="shared" si="0"/>
        <v>22.960784313725497</v>
      </c>
      <c r="K11" s="32">
        <f t="shared" si="0"/>
        <v>22.960784313725497</v>
      </c>
      <c r="L11" s="32">
        <f t="shared" si="0"/>
        <v>22.960784313725497</v>
      </c>
      <c r="M11" s="32">
        <f t="shared" si="0"/>
        <v>22.960784313725497</v>
      </c>
      <c r="N11" s="32">
        <f t="shared" si="0"/>
        <v>22.960784313725497</v>
      </c>
      <c r="O11" s="32">
        <f t="shared" si="0"/>
        <v>22.960784313725497</v>
      </c>
      <c r="P11" s="32">
        <f t="shared" si="0"/>
        <v>22.960784313725497</v>
      </c>
      <c r="Q11" s="32">
        <f t="shared" si="0"/>
        <v>22.960784313725497</v>
      </c>
      <c r="R11" s="32">
        <f t="shared" si="0"/>
        <v>22.960784313725497</v>
      </c>
      <c r="T11" s="11" t="s">
        <v>221</v>
      </c>
      <c r="U11" s="26" t="str">
        <f>IFERROR(IRR(C13:R13),"n/a")</f>
        <v>n/a</v>
      </c>
    </row>
    <row r="12" spans="1:21" x14ac:dyDescent="0.3">
      <c r="A12" s="11" t="s">
        <v>222</v>
      </c>
      <c r="C12" s="32">
        <v>0</v>
      </c>
      <c r="D12" s="32">
        <f t="shared" ref="D12:R12" si="1">SOLOM*SOLSH_D</f>
        <v>14.583333333333332</v>
      </c>
      <c r="E12" s="32">
        <f t="shared" si="1"/>
        <v>14.583333333333332</v>
      </c>
      <c r="F12" s="32">
        <f t="shared" si="1"/>
        <v>14.583333333333332</v>
      </c>
      <c r="G12" s="32">
        <f t="shared" si="1"/>
        <v>14.583333333333332</v>
      </c>
      <c r="H12" s="32">
        <f t="shared" si="1"/>
        <v>14.583333333333332</v>
      </c>
      <c r="I12" s="32">
        <f t="shared" si="1"/>
        <v>14.583333333333332</v>
      </c>
      <c r="J12" s="32">
        <f t="shared" si="1"/>
        <v>14.583333333333332</v>
      </c>
      <c r="K12" s="32">
        <f t="shared" si="1"/>
        <v>14.583333333333332</v>
      </c>
      <c r="L12" s="32">
        <f t="shared" si="1"/>
        <v>14.583333333333332</v>
      </c>
      <c r="M12" s="32">
        <f t="shared" si="1"/>
        <v>14.583333333333332</v>
      </c>
      <c r="N12" s="32">
        <f t="shared" si="1"/>
        <v>14.583333333333332</v>
      </c>
      <c r="O12" s="32">
        <f t="shared" si="1"/>
        <v>14.583333333333332</v>
      </c>
      <c r="P12" s="32">
        <f t="shared" si="1"/>
        <v>14.583333333333332</v>
      </c>
      <c r="Q12" s="32">
        <f t="shared" si="1"/>
        <v>14.583333333333332</v>
      </c>
      <c r="R12" s="32">
        <f t="shared" si="1"/>
        <v>14.583333333333332</v>
      </c>
      <c r="T12" s="11" t="s">
        <v>223</v>
      </c>
      <c r="U12" s="34">
        <f>(SUMPRODUCT(C11:R11,C5:R5))/(SUMPRODUCT((C10:R10+C12:R12),C5:R5))</f>
        <v>0.15137407168673012</v>
      </c>
    </row>
    <row r="13" spans="1:21" x14ac:dyDescent="0.3">
      <c r="A13" s="27" t="s">
        <v>224</v>
      </c>
      <c r="C13" s="35">
        <f t="shared" ref="C13:R13" si="2">C11-C12-C10</f>
        <v>-788.88888888888891</v>
      </c>
      <c r="D13" s="35">
        <f t="shared" si="2"/>
        <v>8.3774509803921653</v>
      </c>
      <c r="E13" s="35">
        <f t="shared" si="2"/>
        <v>8.3774509803921653</v>
      </c>
      <c r="F13" s="35">
        <f t="shared" si="2"/>
        <v>8.3774509803921653</v>
      </c>
      <c r="G13" s="35">
        <f t="shared" si="2"/>
        <v>8.3774509803921653</v>
      </c>
      <c r="H13" s="35">
        <f t="shared" si="2"/>
        <v>8.3774509803921653</v>
      </c>
      <c r="I13" s="35">
        <f t="shared" si="2"/>
        <v>8.3774509803921653</v>
      </c>
      <c r="J13" s="35">
        <f t="shared" si="2"/>
        <v>-126.62254901960783</v>
      </c>
      <c r="K13" s="35">
        <f t="shared" si="2"/>
        <v>-161.7614379084967</v>
      </c>
      <c r="L13" s="35">
        <f t="shared" si="2"/>
        <v>8.3774509803921653</v>
      </c>
      <c r="M13" s="35">
        <f t="shared" si="2"/>
        <v>8.3774509803921653</v>
      </c>
      <c r="N13" s="35">
        <f t="shared" si="2"/>
        <v>8.3774509803921653</v>
      </c>
      <c r="O13" s="35">
        <f t="shared" si="2"/>
        <v>-210.37254901960785</v>
      </c>
      <c r="P13" s="35">
        <f t="shared" si="2"/>
        <v>8.3774509803921653</v>
      </c>
      <c r="Q13" s="35">
        <f t="shared" si="2"/>
        <v>-126.62254901960783</v>
      </c>
      <c r="R13" s="35">
        <f t="shared" si="2"/>
        <v>8.3774509803921653</v>
      </c>
      <c r="T13" s="11" t="s">
        <v>225</v>
      </c>
      <c r="U13" s="36" t="str">
        <f>IF(SUMPRODUCT(--(C14:R14&lt;0))&gt;15,"&gt;15",SUMPRODUCT(--(C14:R14&lt;0)))</f>
        <v>&gt;15</v>
      </c>
    </row>
    <row r="14" spans="1:21" x14ac:dyDescent="0.3">
      <c r="A14" s="37" t="s">
        <v>226</v>
      </c>
      <c r="C14" s="38">
        <f>C13</f>
        <v>-788.88888888888891</v>
      </c>
      <c r="D14" s="38">
        <f t="shared" ref="D14:R14" si="3">C14+D13</f>
        <v>-780.51143790849676</v>
      </c>
      <c r="E14" s="38">
        <f t="shared" si="3"/>
        <v>-772.1339869281046</v>
      </c>
      <c r="F14" s="38">
        <f t="shared" si="3"/>
        <v>-763.75653594771245</v>
      </c>
      <c r="G14" s="38">
        <f t="shared" si="3"/>
        <v>-755.3790849673203</v>
      </c>
      <c r="H14" s="38">
        <f t="shared" si="3"/>
        <v>-747.00163398692814</v>
      </c>
      <c r="I14" s="38">
        <f t="shared" si="3"/>
        <v>-738.62418300653599</v>
      </c>
      <c r="J14" s="38">
        <f t="shared" si="3"/>
        <v>-865.24673202614383</v>
      </c>
      <c r="K14" s="38">
        <f t="shared" si="3"/>
        <v>-1027.0081699346406</v>
      </c>
      <c r="L14" s="38">
        <f t="shared" si="3"/>
        <v>-1018.6307189542484</v>
      </c>
      <c r="M14" s="38">
        <f t="shared" si="3"/>
        <v>-1010.2532679738563</v>
      </c>
      <c r="N14" s="38">
        <f t="shared" si="3"/>
        <v>-1001.8758169934641</v>
      </c>
      <c r="O14" s="38">
        <f t="shared" si="3"/>
        <v>-1212.248366013072</v>
      </c>
      <c r="P14" s="38">
        <f t="shared" si="3"/>
        <v>-1203.8709150326797</v>
      </c>
      <c r="Q14" s="38">
        <f t="shared" si="3"/>
        <v>-1330.4934640522874</v>
      </c>
      <c r="R14" s="38">
        <f t="shared" si="3"/>
        <v>-1322.1160130718952</v>
      </c>
    </row>
    <row r="16" spans="1:21" x14ac:dyDescent="0.3">
      <c r="A16" s="57" t="s">
        <v>233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</row>
    <row r="17" spans="1:21" x14ac:dyDescent="0.3">
      <c r="A17" s="11" t="s">
        <v>218</v>
      </c>
      <c r="C17" s="32">
        <f>SOLSH_D+TANKSH_D+DRIP_GH+A_GH*GHC_D</f>
        <v>14423.888888888889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f>DRIPFR*(DRIP_GH)</f>
        <v>216</v>
      </c>
      <c r="K17" s="32">
        <f>BATTFR*SOLSH_D</f>
        <v>170.13888888888886</v>
      </c>
      <c r="L17" s="32">
        <v>0</v>
      </c>
      <c r="M17" s="32">
        <v>0</v>
      </c>
      <c r="N17" s="32">
        <v>0</v>
      </c>
      <c r="O17" s="32">
        <f>PUMPFR*SOLSH_D+A_GH*GHG_D</f>
        <v>2618.75</v>
      </c>
      <c r="P17" s="32">
        <v>0</v>
      </c>
      <c r="Q17" s="32">
        <f>DRIPFR*(DRIP_GH)</f>
        <v>216</v>
      </c>
      <c r="R17" s="32">
        <v>0</v>
      </c>
      <c r="T17" s="27" t="s">
        <v>219</v>
      </c>
      <c r="U17" s="33">
        <f>C20+NPV(DR_FIN,D20:R20)</f>
        <v>-4289.0227728420887</v>
      </c>
    </row>
    <row r="18" spans="1:21" x14ac:dyDescent="0.3">
      <c r="A18" s="11" t="s">
        <v>220</v>
      </c>
      <c r="C18" s="32">
        <v>0</v>
      </c>
      <c r="D18" s="32">
        <f t="shared" ref="D18:R18" si="4">(NET_OFD_D-NET_OFB_D)+NET_GH_D</f>
        <v>2239.2422969187674</v>
      </c>
      <c r="E18" s="32">
        <f t="shared" si="4"/>
        <v>2239.2422969187674</v>
      </c>
      <c r="F18" s="32">
        <f t="shared" si="4"/>
        <v>2239.2422969187674</v>
      </c>
      <c r="G18" s="32">
        <f t="shared" si="4"/>
        <v>2239.2422969187674</v>
      </c>
      <c r="H18" s="32">
        <f t="shared" si="4"/>
        <v>2239.2422969187674</v>
      </c>
      <c r="I18" s="32">
        <f t="shared" si="4"/>
        <v>2239.2422969187674</v>
      </c>
      <c r="J18" s="32">
        <f t="shared" si="4"/>
        <v>2239.2422969187674</v>
      </c>
      <c r="K18" s="32">
        <f t="shared" si="4"/>
        <v>2239.2422969187674</v>
      </c>
      <c r="L18" s="32">
        <f t="shared" si="4"/>
        <v>2239.2422969187674</v>
      </c>
      <c r="M18" s="32">
        <f t="shared" si="4"/>
        <v>2239.2422969187674</v>
      </c>
      <c r="N18" s="32">
        <f t="shared" si="4"/>
        <v>2239.2422969187674</v>
      </c>
      <c r="O18" s="32">
        <f t="shared" si="4"/>
        <v>2239.2422969187674</v>
      </c>
      <c r="P18" s="32">
        <f t="shared" si="4"/>
        <v>2239.2422969187674</v>
      </c>
      <c r="Q18" s="32">
        <f t="shared" si="4"/>
        <v>2239.2422969187674</v>
      </c>
      <c r="R18" s="32">
        <f t="shared" si="4"/>
        <v>2239.2422969187674</v>
      </c>
      <c r="T18" s="11" t="s">
        <v>221</v>
      </c>
      <c r="U18" s="26">
        <f>IFERROR(IRR(C20:R20),"n/a")</f>
        <v>3.9167676722809519E-2</v>
      </c>
    </row>
    <row r="19" spans="1:21" x14ac:dyDescent="0.3">
      <c r="A19" s="11" t="s">
        <v>222</v>
      </c>
      <c r="C19" s="32">
        <v>0</v>
      </c>
      <c r="D19" s="32">
        <f t="shared" ref="D19:R19" si="5">SOLOM*SOLSH_D+A_GH*GHOM_D</f>
        <v>764.58333333333337</v>
      </c>
      <c r="E19" s="32">
        <f t="shared" si="5"/>
        <v>764.58333333333337</v>
      </c>
      <c r="F19" s="32">
        <f t="shared" si="5"/>
        <v>764.58333333333337</v>
      </c>
      <c r="G19" s="32">
        <f t="shared" si="5"/>
        <v>764.58333333333337</v>
      </c>
      <c r="H19" s="32">
        <f t="shared" si="5"/>
        <v>764.58333333333337</v>
      </c>
      <c r="I19" s="32">
        <f t="shared" si="5"/>
        <v>764.58333333333337</v>
      </c>
      <c r="J19" s="32">
        <f t="shared" si="5"/>
        <v>764.58333333333337</v>
      </c>
      <c r="K19" s="32">
        <f t="shared" si="5"/>
        <v>764.58333333333337</v>
      </c>
      <c r="L19" s="32">
        <f t="shared" si="5"/>
        <v>764.58333333333337</v>
      </c>
      <c r="M19" s="32">
        <f t="shared" si="5"/>
        <v>764.58333333333337</v>
      </c>
      <c r="N19" s="32">
        <f t="shared" si="5"/>
        <v>764.58333333333337</v>
      </c>
      <c r="O19" s="32">
        <f t="shared" si="5"/>
        <v>764.58333333333337</v>
      </c>
      <c r="P19" s="32">
        <f t="shared" si="5"/>
        <v>764.58333333333337</v>
      </c>
      <c r="Q19" s="32">
        <f t="shared" si="5"/>
        <v>764.58333333333337</v>
      </c>
      <c r="R19" s="32">
        <f t="shared" si="5"/>
        <v>764.58333333333337</v>
      </c>
      <c r="T19" s="11" t="s">
        <v>223</v>
      </c>
      <c r="U19" s="34">
        <f>(SUMPRODUCT(C18:R18,C5:R5))/(SUMPRODUCT((C17:R17+C19:R19),C5:R5))</f>
        <v>0.79883460569715659</v>
      </c>
    </row>
    <row r="20" spans="1:21" x14ac:dyDescent="0.3">
      <c r="A20" s="27" t="s">
        <v>224</v>
      </c>
      <c r="C20" s="35">
        <f t="shared" ref="C20:R20" si="6">C18-C19-C17</f>
        <v>-14423.888888888889</v>
      </c>
      <c r="D20" s="35">
        <f t="shared" si="6"/>
        <v>1474.6589635854339</v>
      </c>
      <c r="E20" s="35">
        <f t="shared" si="6"/>
        <v>1474.6589635854339</v>
      </c>
      <c r="F20" s="35">
        <f t="shared" si="6"/>
        <v>1474.6589635854339</v>
      </c>
      <c r="G20" s="35">
        <f t="shared" si="6"/>
        <v>1474.6589635854339</v>
      </c>
      <c r="H20" s="35">
        <f t="shared" si="6"/>
        <v>1474.6589635854339</v>
      </c>
      <c r="I20" s="35">
        <f t="shared" si="6"/>
        <v>1474.6589635854339</v>
      </c>
      <c r="J20" s="35">
        <f t="shared" si="6"/>
        <v>1258.6589635854339</v>
      </c>
      <c r="K20" s="35">
        <f t="shared" si="6"/>
        <v>1304.520074696545</v>
      </c>
      <c r="L20" s="35">
        <f t="shared" si="6"/>
        <v>1474.6589635854339</v>
      </c>
      <c r="M20" s="35">
        <f t="shared" si="6"/>
        <v>1474.6589635854339</v>
      </c>
      <c r="N20" s="35">
        <f t="shared" si="6"/>
        <v>1474.6589635854339</v>
      </c>
      <c r="O20" s="35">
        <f t="shared" si="6"/>
        <v>-1144.0910364145661</v>
      </c>
      <c r="P20" s="35">
        <f t="shared" si="6"/>
        <v>1474.6589635854339</v>
      </c>
      <c r="Q20" s="35">
        <f t="shared" si="6"/>
        <v>1258.6589635854339</v>
      </c>
      <c r="R20" s="35">
        <f t="shared" si="6"/>
        <v>1474.6589635854339</v>
      </c>
      <c r="T20" s="11" t="s">
        <v>225</v>
      </c>
      <c r="U20" s="36">
        <f>IF(SUMPRODUCT(--(C21:R21&lt;0))&gt;15,"&gt;15",SUMPRODUCT(--(C21:R21&lt;0)))</f>
        <v>11</v>
      </c>
    </row>
    <row r="21" spans="1:21" x14ac:dyDescent="0.3">
      <c r="A21" s="37" t="s">
        <v>226</v>
      </c>
      <c r="C21" s="38">
        <f>C20</f>
        <v>-14423.888888888889</v>
      </c>
      <c r="D21" s="38">
        <f t="shared" ref="D21:R21" si="7">C21+D20</f>
        <v>-12949.229925303454</v>
      </c>
      <c r="E21" s="38">
        <f t="shared" si="7"/>
        <v>-11474.57096171802</v>
      </c>
      <c r="F21" s="38">
        <f t="shared" si="7"/>
        <v>-9999.9119981325857</v>
      </c>
      <c r="G21" s="38">
        <f t="shared" si="7"/>
        <v>-8525.2530345471514</v>
      </c>
      <c r="H21" s="38">
        <f t="shared" si="7"/>
        <v>-7050.5940709617171</v>
      </c>
      <c r="I21" s="38">
        <f t="shared" si="7"/>
        <v>-5575.9351073762828</v>
      </c>
      <c r="J21" s="38">
        <f t="shared" si="7"/>
        <v>-4317.2761437908484</v>
      </c>
      <c r="K21" s="38">
        <f t="shared" si="7"/>
        <v>-3012.7560690943037</v>
      </c>
      <c r="L21" s="38">
        <f t="shared" si="7"/>
        <v>-1538.0971055088698</v>
      </c>
      <c r="M21" s="38">
        <f t="shared" si="7"/>
        <v>-63.438141923435978</v>
      </c>
      <c r="N21" s="38">
        <f t="shared" si="7"/>
        <v>1411.2208216619979</v>
      </c>
      <c r="O21" s="38">
        <f t="shared" si="7"/>
        <v>267.12978524743176</v>
      </c>
      <c r="P21" s="38">
        <f t="shared" si="7"/>
        <v>1741.7887488328656</v>
      </c>
      <c r="Q21" s="38">
        <f t="shared" si="7"/>
        <v>3000.4477124182995</v>
      </c>
      <c r="R21" s="38">
        <f t="shared" si="7"/>
        <v>4475.1066760037338</v>
      </c>
    </row>
    <row r="23" spans="1:21" x14ac:dyDescent="0.3">
      <c r="A23" s="57" t="s">
        <v>234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</row>
    <row r="24" spans="1:21" x14ac:dyDescent="0.3">
      <c r="A24" s="11" t="s">
        <v>218</v>
      </c>
      <c r="C24" s="32">
        <f>SOLSH_D+TANKSH_D+DRIP_GH+A_GH*GHC_DPS</f>
        <v>6923.8888888888887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f>DRIPFR*(DRIP_GH)</f>
        <v>216</v>
      </c>
      <c r="K24" s="32">
        <f>BATTFR*SOLSH_D</f>
        <v>170.13888888888886</v>
      </c>
      <c r="L24" s="32">
        <v>0</v>
      </c>
      <c r="M24" s="32">
        <v>0</v>
      </c>
      <c r="N24" s="32">
        <v>0</v>
      </c>
      <c r="O24" s="32">
        <f>PUMPFR*SOLSH_D+A_GH*GHG_D</f>
        <v>2618.75</v>
      </c>
      <c r="P24" s="32">
        <v>0</v>
      </c>
      <c r="Q24" s="32">
        <f>DRIPFR*(DRIP_GH)</f>
        <v>216</v>
      </c>
      <c r="R24" s="32">
        <v>0</v>
      </c>
      <c r="T24" s="27" t="s">
        <v>219</v>
      </c>
      <c r="U24" s="33">
        <f>C27+NPV(DR_FIN,D27:R27)</f>
        <v>3210.9772271579113</v>
      </c>
    </row>
    <row r="25" spans="1:21" x14ac:dyDescent="0.3">
      <c r="A25" s="11" t="s">
        <v>220</v>
      </c>
      <c r="C25" s="32">
        <v>0</v>
      </c>
      <c r="D25" s="32">
        <f t="shared" ref="D25:R25" si="8">(NET_OFD_D-NET_OFB_D)+NET_GH_D</f>
        <v>2239.2422969187674</v>
      </c>
      <c r="E25" s="32">
        <f t="shared" si="8"/>
        <v>2239.2422969187674</v>
      </c>
      <c r="F25" s="32">
        <f t="shared" si="8"/>
        <v>2239.2422969187674</v>
      </c>
      <c r="G25" s="32">
        <f t="shared" si="8"/>
        <v>2239.2422969187674</v>
      </c>
      <c r="H25" s="32">
        <f t="shared" si="8"/>
        <v>2239.2422969187674</v>
      </c>
      <c r="I25" s="32">
        <f t="shared" si="8"/>
        <v>2239.2422969187674</v>
      </c>
      <c r="J25" s="32">
        <f t="shared" si="8"/>
        <v>2239.2422969187674</v>
      </c>
      <c r="K25" s="32">
        <f t="shared" si="8"/>
        <v>2239.2422969187674</v>
      </c>
      <c r="L25" s="32">
        <f t="shared" si="8"/>
        <v>2239.2422969187674</v>
      </c>
      <c r="M25" s="32">
        <f t="shared" si="8"/>
        <v>2239.2422969187674</v>
      </c>
      <c r="N25" s="32">
        <f t="shared" si="8"/>
        <v>2239.2422969187674</v>
      </c>
      <c r="O25" s="32">
        <f t="shared" si="8"/>
        <v>2239.2422969187674</v>
      </c>
      <c r="P25" s="32">
        <f t="shared" si="8"/>
        <v>2239.2422969187674</v>
      </c>
      <c r="Q25" s="32">
        <f t="shared" si="8"/>
        <v>2239.2422969187674</v>
      </c>
      <c r="R25" s="32">
        <f t="shared" si="8"/>
        <v>2239.2422969187674</v>
      </c>
      <c r="T25" s="11" t="s">
        <v>221</v>
      </c>
      <c r="U25" s="26">
        <f>IFERROR(IRR(C27:R27),"n/a")</f>
        <v>0.18323197224362708</v>
      </c>
    </row>
    <row r="26" spans="1:21" x14ac:dyDescent="0.3">
      <c r="A26" s="11" t="s">
        <v>222</v>
      </c>
      <c r="C26" s="32">
        <v>0</v>
      </c>
      <c r="D26" s="32">
        <f t="shared" ref="D26:R26" si="9">SOLOM*SOLSH_D+A_GH*GHOM_D</f>
        <v>764.58333333333337</v>
      </c>
      <c r="E26" s="32">
        <f t="shared" si="9"/>
        <v>764.58333333333337</v>
      </c>
      <c r="F26" s="32">
        <f t="shared" si="9"/>
        <v>764.58333333333337</v>
      </c>
      <c r="G26" s="32">
        <f t="shared" si="9"/>
        <v>764.58333333333337</v>
      </c>
      <c r="H26" s="32">
        <f t="shared" si="9"/>
        <v>764.58333333333337</v>
      </c>
      <c r="I26" s="32">
        <f t="shared" si="9"/>
        <v>764.58333333333337</v>
      </c>
      <c r="J26" s="32">
        <f t="shared" si="9"/>
        <v>764.58333333333337</v>
      </c>
      <c r="K26" s="32">
        <f t="shared" si="9"/>
        <v>764.58333333333337</v>
      </c>
      <c r="L26" s="32">
        <f t="shared" si="9"/>
        <v>764.58333333333337</v>
      </c>
      <c r="M26" s="32">
        <f t="shared" si="9"/>
        <v>764.58333333333337</v>
      </c>
      <c r="N26" s="32">
        <f t="shared" si="9"/>
        <v>764.58333333333337</v>
      </c>
      <c r="O26" s="32">
        <f t="shared" si="9"/>
        <v>764.58333333333337</v>
      </c>
      <c r="P26" s="32">
        <f t="shared" si="9"/>
        <v>764.58333333333337</v>
      </c>
      <c r="Q26" s="32">
        <f t="shared" si="9"/>
        <v>764.58333333333337</v>
      </c>
      <c r="R26" s="32">
        <f t="shared" si="9"/>
        <v>764.58333333333337</v>
      </c>
      <c r="T26" s="11" t="s">
        <v>223</v>
      </c>
      <c r="U26" s="34">
        <f>(SUMPRODUCT(C25:R25,C5:R5))/(SUMPRODUCT((C24:R24+C26:R26),C5:R5))</f>
        <v>1.232328025244469</v>
      </c>
    </row>
    <row r="27" spans="1:21" x14ac:dyDescent="0.3">
      <c r="A27" s="27" t="s">
        <v>224</v>
      </c>
      <c r="C27" s="35">
        <f t="shared" ref="C27:R27" si="10">C25-C26-C24</f>
        <v>-6923.8888888888887</v>
      </c>
      <c r="D27" s="35">
        <f t="shared" si="10"/>
        <v>1474.6589635854339</v>
      </c>
      <c r="E27" s="35">
        <f t="shared" si="10"/>
        <v>1474.6589635854339</v>
      </c>
      <c r="F27" s="35">
        <f t="shared" si="10"/>
        <v>1474.6589635854339</v>
      </c>
      <c r="G27" s="35">
        <f t="shared" si="10"/>
        <v>1474.6589635854339</v>
      </c>
      <c r="H27" s="35">
        <f t="shared" si="10"/>
        <v>1474.6589635854339</v>
      </c>
      <c r="I27" s="35">
        <f t="shared" si="10"/>
        <v>1474.6589635854339</v>
      </c>
      <c r="J27" s="35">
        <f t="shared" si="10"/>
        <v>1258.6589635854339</v>
      </c>
      <c r="K27" s="35">
        <f t="shared" si="10"/>
        <v>1304.520074696545</v>
      </c>
      <c r="L27" s="35">
        <f t="shared" si="10"/>
        <v>1474.6589635854339</v>
      </c>
      <c r="M27" s="35">
        <f t="shared" si="10"/>
        <v>1474.6589635854339</v>
      </c>
      <c r="N27" s="35">
        <f t="shared" si="10"/>
        <v>1474.6589635854339</v>
      </c>
      <c r="O27" s="35">
        <f t="shared" si="10"/>
        <v>-1144.0910364145661</v>
      </c>
      <c r="P27" s="35">
        <f t="shared" si="10"/>
        <v>1474.6589635854339</v>
      </c>
      <c r="Q27" s="35">
        <f t="shared" si="10"/>
        <v>1258.6589635854339</v>
      </c>
      <c r="R27" s="35">
        <f t="shared" si="10"/>
        <v>1474.6589635854339</v>
      </c>
      <c r="T27" s="11" t="s">
        <v>225</v>
      </c>
      <c r="U27" s="36">
        <f>IF(SUMPRODUCT(--(C28:R28&lt;0))&gt;15,"&gt;15",SUMPRODUCT(--(C28:R28&lt;0)))</f>
        <v>5</v>
      </c>
    </row>
    <row r="28" spans="1:21" x14ac:dyDescent="0.3">
      <c r="A28" s="37" t="s">
        <v>226</v>
      </c>
      <c r="C28" s="38">
        <f>C27</f>
        <v>-6923.8888888888887</v>
      </c>
      <c r="D28" s="38">
        <f t="shared" ref="D28:R28" si="11">C28+D27</f>
        <v>-5449.2299253034544</v>
      </c>
      <c r="E28" s="38">
        <f t="shared" si="11"/>
        <v>-3974.5709617180205</v>
      </c>
      <c r="F28" s="38">
        <f t="shared" si="11"/>
        <v>-2499.9119981325866</v>
      </c>
      <c r="G28" s="38">
        <f t="shared" si="11"/>
        <v>-1025.2530345471528</v>
      </c>
      <c r="H28" s="38">
        <f t="shared" si="11"/>
        <v>449.4059290382811</v>
      </c>
      <c r="I28" s="38">
        <f t="shared" si="11"/>
        <v>1924.064892623715</v>
      </c>
      <c r="J28" s="38">
        <f t="shared" si="11"/>
        <v>3182.7238562091488</v>
      </c>
      <c r="K28" s="38">
        <f t="shared" si="11"/>
        <v>4487.2439309056936</v>
      </c>
      <c r="L28" s="38">
        <f t="shared" si="11"/>
        <v>5961.9028944911279</v>
      </c>
      <c r="M28" s="38">
        <f t="shared" si="11"/>
        <v>7436.5618580765622</v>
      </c>
      <c r="N28" s="38">
        <f t="shared" si="11"/>
        <v>8911.2208216619965</v>
      </c>
      <c r="O28" s="38">
        <f t="shared" si="11"/>
        <v>7767.1297852474308</v>
      </c>
      <c r="P28" s="38">
        <f t="shared" si="11"/>
        <v>9241.7887488328652</v>
      </c>
      <c r="Q28" s="38">
        <f t="shared" si="11"/>
        <v>10500.447712418299</v>
      </c>
      <c r="R28" s="38">
        <f t="shared" si="11"/>
        <v>11975.106676003734</v>
      </c>
    </row>
    <row r="30" spans="1:21" x14ac:dyDescent="0.3">
      <c r="A30" s="57" t="s">
        <v>228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</row>
    <row r="31" spans="1:21" x14ac:dyDescent="0.3">
      <c r="A31" s="11" t="s">
        <v>218</v>
      </c>
      <c r="C31" s="32">
        <f>SOLSH_D+TANKSH_D+DRIP_OF+AG_SEED+AG_PLANT+AG_FENCE+AG_ESTIRR</f>
        <v>1108.8888888888889</v>
      </c>
      <c r="D31" s="32">
        <v>0</v>
      </c>
      <c r="E31" s="32">
        <f>AGBEATFR*(AG_SEED+AG_PLANT)</f>
        <v>36.75</v>
      </c>
      <c r="F31" s="32">
        <v>0</v>
      </c>
      <c r="G31" s="32">
        <v>0</v>
      </c>
      <c r="H31" s="32">
        <v>0</v>
      </c>
      <c r="I31" s="32">
        <v>0</v>
      </c>
      <c r="J31" s="32">
        <f>DRIPFR*(DRIP_OF)</f>
        <v>135</v>
      </c>
      <c r="K31" s="32">
        <f>BATTFR*SOLSH_D</f>
        <v>170.13888888888886</v>
      </c>
      <c r="L31" s="32">
        <v>0</v>
      </c>
      <c r="M31" s="32">
        <v>0</v>
      </c>
      <c r="N31" s="32">
        <v>0</v>
      </c>
      <c r="O31" s="32">
        <f>PUMPFR*SOLSH_D</f>
        <v>218.75</v>
      </c>
      <c r="P31" s="32">
        <v>0</v>
      </c>
      <c r="Q31" s="32">
        <f>DRIPFR*(DRIP_OF)</f>
        <v>135</v>
      </c>
      <c r="R31" s="32">
        <v>0</v>
      </c>
      <c r="T31" s="27" t="s">
        <v>219</v>
      </c>
      <c r="U31" s="33">
        <f>C34+NPV(DR_FIN,D34:R34)</f>
        <v>-1589.2320020849934</v>
      </c>
    </row>
    <row r="32" spans="1:21" x14ac:dyDescent="0.3">
      <c r="A32" s="11" t="s">
        <v>220</v>
      </c>
      <c r="C32" s="32">
        <v>0</v>
      </c>
      <c r="D32" s="32">
        <f t="shared" ref="D32:R32" si="12">(NET_OFD_D-NET_OFB_D)+REVAG_D*D6-VCAG_D+NET_OFD_D*SHU_D*D7</f>
        <v>-89.539215686274503</v>
      </c>
      <c r="E32" s="32">
        <f t="shared" si="12"/>
        <v>-89.539215686274503</v>
      </c>
      <c r="F32" s="32">
        <f t="shared" si="12"/>
        <v>-58.72689075630251</v>
      </c>
      <c r="G32" s="32">
        <f t="shared" si="12"/>
        <v>-27.914565826330517</v>
      </c>
      <c r="H32" s="32">
        <f t="shared" si="12"/>
        <v>2.8977591036414623</v>
      </c>
      <c r="I32" s="32">
        <f t="shared" si="12"/>
        <v>34.502240896358536</v>
      </c>
      <c r="J32" s="32">
        <f t="shared" si="12"/>
        <v>34.502240896358536</v>
      </c>
      <c r="K32" s="32">
        <f t="shared" si="12"/>
        <v>34.502240896358536</v>
      </c>
      <c r="L32" s="32">
        <f t="shared" si="12"/>
        <v>34.502240896358536</v>
      </c>
      <c r="M32" s="32">
        <f t="shared" si="12"/>
        <v>34.502240896358536</v>
      </c>
      <c r="N32" s="32">
        <f t="shared" si="12"/>
        <v>34.502240896358536</v>
      </c>
      <c r="O32" s="32">
        <f t="shared" si="12"/>
        <v>34.502240896358536</v>
      </c>
      <c r="P32" s="32">
        <f t="shared" si="12"/>
        <v>34.502240896358536</v>
      </c>
      <c r="Q32" s="32">
        <f t="shared" si="12"/>
        <v>34.502240896358536</v>
      </c>
      <c r="R32" s="32">
        <f t="shared" si="12"/>
        <v>34.502240896358536</v>
      </c>
      <c r="T32" s="11" t="s">
        <v>221</v>
      </c>
      <c r="U32" s="26" t="str">
        <f>IFERROR(IRR(C34:R34),"n/a")</f>
        <v>n/a</v>
      </c>
    </row>
    <row r="33" spans="1:21" x14ac:dyDescent="0.3">
      <c r="A33" s="11" t="s">
        <v>222</v>
      </c>
      <c r="C33" s="32">
        <v>0</v>
      </c>
      <c r="D33" s="32">
        <f t="shared" ref="D33:R33" si="13">SOLOM*SOLSH_D</f>
        <v>14.583333333333332</v>
      </c>
      <c r="E33" s="32">
        <f t="shared" si="13"/>
        <v>14.583333333333332</v>
      </c>
      <c r="F33" s="32">
        <f t="shared" si="13"/>
        <v>14.583333333333332</v>
      </c>
      <c r="G33" s="32">
        <f t="shared" si="13"/>
        <v>14.583333333333332</v>
      </c>
      <c r="H33" s="32">
        <f t="shared" si="13"/>
        <v>14.583333333333332</v>
      </c>
      <c r="I33" s="32">
        <f t="shared" si="13"/>
        <v>14.583333333333332</v>
      </c>
      <c r="J33" s="32">
        <f t="shared" si="13"/>
        <v>14.583333333333332</v>
      </c>
      <c r="K33" s="32">
        <f t="shared" si="13"/>
        <v>14.583333333333332</v>
      </c>
      <c r="L33" s="32">
        <f t="shared" si="13"/>
        <v>14.583333333333332</v>
      </c>
      <c r="M33" s="32">
        <f t="shared" si="13"/>
        <v>14.583333333333332</v>
      </c>
      <c r="N33" s="32">
        <f t="shared" si="13"/>
        <v>14.583333333333332</v>
      </c>
      <c r="O33" s="32">
        <f t="shared" si="13"/>
        <v>14.583333333333332</v>
      </c>
      <c r="P33" s="32">
        <f t="shared" si="13"/>
        <v>14.583333333333332</v>
      </c>
      <c r="Q33" s="32">
        <f t="shared" si="13"/>
        <v>14.583333333333332</v>
      </c>
      <c r="R33" s="32">
        <f t="shared" si="13"/>
        <v>14.583333333333332</v>
      </c>
      <c r="T33" s="11" t="s">
        <v>223</v>
      </c>
      <c r="U33" s="34">
        <f>(SUMPRODUCT(C32:R32,C5:R5))/(SUMPRODUCT((C31:R31+C33:R33),C5:R5))</f>
        <v>-5.6613739756938279E-2</v>
      </c>
    </row>
    <row r="34" spans="1:21" x14ac:dyDescent="0.3">
      <c r="A34" s="27" t="s">
        <v>224</v>
      </c>
      <c r="C34" s="35">
        <f t="shared" ref="C34:R34" si="14">C32-C33-C31</f>
        <v>-1108.8888888888889</v>
      </c>
      <c r="D34" s="35">
        <f t="shared" si="14"/>
        <v>-104.12254901960783</v>
      </c>
      <c r="E34" s="35">
        <f t="shared" si="14"/>
        <v>-140.87254901960785</v>
      </c>
      <c r="F34" s="35">
        <f t="shared" si="14"/>
        <v>-73.310224089635838</v>
      </c>
      <c r="G34" s="35">
        <f t="shared" si="14"/>
        <v>-42.497899159663845</v>
      </c>
      <c r="H34" s="35">
        <f t="shared" si="14"/>
        <v>-11.68557422969187</v>
      </c>
      <c r="I34" s="35">
        <f t="shared" si="14"/>
        <v>19.918907563025204</v>
      </c>
      <c r="J34" s="35">
        <f t="shared" si="14"/>
        <v>-115.0810924369748</v>
      </c>
      <c r="K34" s="35">
        <f t="shared" si="14"/>
        <v>-150.21998132586364</v>
      </c>
      <c r="L34" s="35">
        <f t="shared" si="14"/>
        <v>19.918907563025204</v>
      </c>
      <c r="M34" s="35">
        <f t="shared" si="14"/>
        <v>19.918907563025204</v>
      </c>
      <c r="N34" s="35">
        <f t="shared" si="14"/>
        <v>19.918907563025204</v>
      </c>
      <c r="O34" s="35">
        <f t="shared" si="14"/>
        <v>-198.83109243697479</v>
      </c>
      <c r="P34" s="35">
        <f t="shared" si="14"/>
        <v>19.918907563025204</v>
      </c>
      <c r="Q34" s="35">
        <f t="shared" si="14"/>
        <v>-115.0810924369748</v>
      </c>
      <c r="R34" s="35">
        <f t="shared" si="14"/>
        <v>19.918907563025204</v>
      </c>
      <c r="T34" s="11" t="s">
        <v>225</v>
      </c>
      <c r="U34" s="36" t="str">
        <f>IF(SUMPRODUCT(--(C35:R35&lt;0))&gt;15,"&gt;15",SUMPRODUCT(--(C35:R35&lt;0)))</f>
        <v>&gt;15</v>
      </c>
    </row>
    <row r="35" spans="1:21" x14ac:dyDescent="0.3">
      <c r="A35" s="37" t="s">
        <v>226</v>
      </c>
      <c r="C35" s="38">
        <f>C34</f>
        <v>-1108.8888888888889</v>
      </c>
      <c r="D35" s="38">
        <f t="shared" ref="D35:R35" si="15">C35+D34</f>
        <v>-1213.0114379084966</v>
      </c>
      <c r="E35" s="38">
        <f t="shared" si="15"/>
        <v>-1353.8839869281046</v>
      </c>
      <c r="F35" s="38">
        <f t="shared" si="15"/>
        <v>-1427.1942110177404</v>
      </c>
      <c r="G35" s="38">
        <f t="shared" si="15"/>
        <v>-1469.6921101774042</v>
      </c>
      <c r="H35" s="38">
        <f t="shared" si="15"/>
        <v>-1481.377684407096</v>
      </c>
      <c r="I35" s="38">
        <f t="shared" si="15"/>
        <v>-1461.4587768440708</v>
      </c>
      <c r="J35" s="38">
        <f t="shared" si="15"/>
        <v>-1576.5398692810456</v>
      </c>
      <c r="K35" s="38">
        <f t="shared" si="15"/>
        <v>-1726.7598506069094</v>
      </c>
      <c r="L35" s="38">
        <f t="shared" si="15"/>
        <v>-1706.8409430438842</v>
      </c>
      <c r="M35" s="38">
        <f t="shared" si="15"/>
        <v>-1686.922035480859</v>
      </c>
      <c r="N35" s="38">
        <f t="shared" si="15"/>
        <v>-1667.0031279178338</v>
      </c>
      <c r="O35" s="38">
        <f t="shared" si="15"/>
        <v>-1865.8342203548086</v>
      </c>
      <c r="P35" s="38">
        <f t="shared" si="15"/>
        <v>-1845.9153127917834</v>
      </c>
      <c r="Q35" s="38">
        <f t="shared" si="15"/>
        <v>-1960.9964052287582</v>
      </c>
      <c r="R35" s="38">
        <f t="shared" si="15"/>
        <v>-1941.0774976657331</v>
      </c>
    </row>
    <row r="37" spans="1:21" x14ac:dyDescent="0.3">
      <c r="A37" s="57" t="s">
        <v>235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</row>
    <row r="38" spans="1:21" x14ac:dyDescent="0.3">
      <c r="A38" s="11" t="s">
        <v>218</v>
      </c>
      <c r="C38" s="32">
        <f>SOLSH_D+TANKSH_D+DRIP_GH+A_GH*GHC_D+AG_SEED+AG_PLANT+AG_FENCE+AG_ESTIRR</f>
        <v>14743.888888888889</v>
      </c>
      <c r="D38" s="32">
        <v>0</v>
      </c>
      <c r="E38" s="32">
        <f>AGBEATFR*(AG_SEED+AG_PLANT)</f>
        <v>36.75</v>
      </c>
      <c r="F38" s="32">
        <v>0</v>
      </c>
      <c r="G38" s="32">
        <v>0</v>
      </c>
      <c r="H38" s="32">
        <v>0</v>
      </c>
      <c r="I38" s="32">
        <v>0</v>
      </c>
      <c r="J38" s="32">
        <f>DRIPFR*(DRIP_GH)</f>
        <v>216</v>
      </c>
      <c r="K38" s="32">
        <f>BATTFR*SOLSH_D</f>
        <v>170.13888888888886</v>
      </c>
      <c r="L38" s="32">
        <v>0</v>
      </c>
      <c r="M38" s="32">
        <v>0</v>
      </c>
      <c r="N38" s="32">
        <v>0</v>
      </c>
      <c r="O38" s="32">
        <f>PUMPFR*SOLSH_D+A_GH*GHG_D</f>
        <v>2618.75</v>
      </c>
      <c r="P38" s="32">
        <v>0</v>
      </c>
      <c r="Q38" s="32">
        <f>DRIPFR*(DRIP_GH)</f>
        <v>216</v>
      </c>
      <c r="R38" s="32">
        <v>0</v>
      </c>
      <c r="T38" s="27" t="s">
        <v>219</v>
      </c>
      <c r="U38" s="33">
        <f>C41+NPV(DR_FIN,D41:R41)</f>
        <v>-4247.4578817231268</v>
      </c>
    </row>
    <row r="39" spans="1:21" x14ac:dyDescent="0.3">
      <c r="A39" s="11" t="s">
        <v>220</v>
      </c>
      <c r="C39" s="32">
        <v>0</v>
      </c>
      <c r="D39" s="32">
        <f t="shared" ref="D39:R39" si="16">(NET_OFD_D-NET_OFB_D)+NET_GH_D+(REVGH_D+REVOFNOMD_D)*INSP*INSPAY+REVAG_D*D6-VCAG_D+NET_OFD_D*SHU_D*D7</f>
        <v>2383.798494397759</v>
      </c>
      <c r="E39" s="32">
        <f t="shared" si="16"/>
        <v>2383.798494397759</v>
      </c>
      <c r="F39" s="32">
        <f t="shared" si="16"/>
        <v>2414.610819327731</v>
      </c>
      <c r="G39" s="32">
        <f t="shared" si="16"/>
        <v>2445.4231442577029</v>
      </c>
      <c r="H39" s="32">
        <f t="shared" si="16"/>
        <v>2476.2354691876749</v>
      </c>
      <c r="I39" s="32">
        <f t="shared" si="16"/>
        <v>2507.8399509803921</v>
      </c>
      <c r="J39" s="32">
        <f t="shared" si="16"/>
        <v>2507.8399509803921</v>
      </c>
      <c r="K39" s="32">
        <f t="shared" si="16"/>
        <v>2507.8399509803921</v>
      </c>
      <c r="L39" s="32">
        <f t="shared" si="16"/>
        <v>2507.8399509803921</v>
      </c>
      <c r="M39" s="32">
        <f t="shared" si="16"/>
        <v>2507.8399509803921</v>
      </c>
      <c r="N39" s="32">
        <f t="shared" si="16"/>
        <v>2507.8399509803921</v>
      </c>
      <c r="O39" s="32">
        <f t="shared" si="16"/>
        <v>2507.8399509803921</v>
      </c>
      <c r="P39" s="32">
        <f t="shared" si="16"/>
        <v>2507.8399509803921</v>
      </c>
      <c r="Q39" s="32">
        <f t="shared" si="16"/>
        <v>2507.8399509803921</v>
      </c>
      <c r="R39" s="32">
        <f t="shared" si="16"/>
        <v>2507.8399509803921</v>
      </c>
      <c r="T39" s="11" t="s">
        <v>221</v>
      </c>
      <c r="U39" s="26">
        <f>IFERROR(IRR(C41:R41),"n/a")</f>
        <v>4.2608653760534798E-2</v>
      </c>
    </row>
    <row r="40" spans="1:21" x14ac:dyDescent="0.3">
      <c r="A40" s="11" t="s">
        <v>222</v>
      </c>
      <c r="C40" s="32">
        <v>0</v>
      </c>
      <c r="D40" s="32">
        <f t="shared" ref="D40:R40" si="17">SOLOM*SOLSH_D+A_GH*GHOM_D+(REVGH_D+REVOFNOMD_D)*INSP*(1-INSS)</f>
        <v>935.95413165266109</v>
      </c>
      <c r="E40" s="32">
        <f t="shared" si="17"/>
        <v>935.95413165266109</v>
      </c>
      <c r="F40" s="32">
        <f t="shared" si="17"/>
        <v>935.95413165266109</v>
      </c>
      <c r="G40" s="32">
        <f t="shared" si="17"/>
        <v>935.95413165266109</v>
      </c>
      <c r="H40" s="32">
        <f t="shared" si="17"/>
        <v>935.95413165266109</v>
      </c>
      <c r="I40" s="32">
        <f t="shared" si="17"/>
        <v>935.95413165266109</v>
      </c>
      <c r="J40" s="32">
        <f t="shared" si="17"/>
        <v>935.95413165266109</v>
      </c>
      <c r="K40" s="32">
        <f t="shared" si="17"/>
        <v>935.95413165266109</v>
      </c>
      <c r="L40" s="32">
        <f t="shared" si="17"/>
        <v>935.95413165266109</v>
      </c>
      <c r="M40" s="32">
        <f t="shared" si="17"/>
        <v>935.95413165266109</v>
      </c>
      <c r="N40" s="32">
        <f t="shared" si="17"/>
        <v>935.95413165266109</v>
      </c>
      <c r="O40" s="32">
        <f t="shared" si="17"/>
        <v>935.95413165266109</v>
      </c>
      <c r="P40" s="32">
        <f t="shared" si="17"/>
        <v>935.95413165266109</v>
      </c>
      <c r="Q40" s="32">
        <f t="shared" si="17"/>
        <v>935.95413165266109</v>
      </c>
      <c r="R40" s="32">
        <f t="shared" si="17"/>
        <v>935.95413165266109</v>
      </c>
      <c r="T40" s="11" t="s">
        <v>223</v>
      </c>
      <c r="U40" s="34">
        <f>(SUMPRODUCT(C39:R39,C5:R5))/(SUMPRODUCT((C38:R38+C40:R40),C5:R5))</f>
        <v>0.81512463192394502</v>
      </c>
    </row>
    <row r="41" spans="1:21" x14ac:dyDescent="0.3">
      <c r="A41" s="27" t="s">
        <v>224</v>
      </c>
      <c r="C41" s="35">
        <f t="shared" ref="C41:R41" si="18">C39-C40-C38</f>
        <v>-14743.888888888889</v>
      </c>
      <c r="D41" s="35">
        <f t="shared" si="18"/>
        <v>1447.8443627450979</v>
      </c>
      <c r="E41" s="35">
        <f t="shared" si="18"/>
        <v>1411.0943627450979</v>
      </c>
      <c r="F41" s="35">
        <f t="shared" si="18"/>
        <v>1478.6566876750699</v>
      </c>
      <c r="G41" s="35">
        <f t="shared" si="18"/>
        <v>1509.4690126050418</v>
      </c>
      <c r="H41" s="35">
        <f t="shared" si="18"/>
        <v>1540.2813375350138</v>
      </c>
      <c r="I41" s="35">
        <f t="shared" si="18"/>
        <v>1571.885819327731</v>
      </c>
      <c r="J41" s="35">
        <f t="shared" si="18"/>
        <v>1355.885819327731</v>
      </c>
      <c r="K41" s="35">
        <f t="shared" si="18"/>
        <v>1401.7469304388421</v>
      </c>
      <c r="L41" s="35">
        <f t="shared" si="18"/>
        <v>1571.885819327731</v>
      </c>
      <c r="M41" s="35">
        <f t="shared" si="18"/>
        <v>1571.885819327731</v>
      </c>
      <c r="N41" s="35">
        <f t="shared" si="18"/>
        <v>1571.885819327731</v>
      </c>
      <c r="O41" s="35">
        <f t="shared" si="18"/>
        <v>-1046.864180672269</v>
      </c>
      <c r="P41" s="35">
        <f t="shared" si="18"/>
        <v>1571.885819327731</v>
      </c>
      <c r="Q41" s="35">
        <f t="shared" si="18"/>
        <v>1355.885819327731</v>
      </c>
      <c r="R41" s="35">
        <f t="shared" si="18"/>
        <v>1571.885819327731</v>
      </c>
      <c r="T41" s="11" t="s">
        <v>225</v>
      </c>
      <c r="U41" s="36">
        <f>IF(SUMPRODUCT(--(C42:R42&lt;0))&gt;15,"&gt;15",SUMPRODUCT(--(C42:R42&lt;0)))</f>
        <v>10</v>
      </c>
    </row>
    <row r="42" spans="1:21" x14ac:dyDescent="0.3">
      <c r="A42" s="37" t="s">
        <v>226</v>
      </c>
      <c r="C42" s="38">
        <f>C41</f>
        <v>-14743.888888888889</v>
      </c>
      <c r="D42" s="38">
        <f t="shared" ref="D42:R42" si="19">C42+D41</f>
        <v>-13296.044526143791</v>
      </c>
      <c r="E42" s="38">
        <f t="shared" si="19"/>
        <v>-11884.950163398693</v>
      </c>
      <c r="F42" s="38">
        <f t="shared" si="19"/>
        <v>-10406.293475723623</v>
      </c>
      <c r="G42" s="38">
        <f t="shared" si="19"/>
        <v>-8896.8244631185808</v>
      </c>
      <c r="H42" s="38">
        <f t="shared" si="19"/>
        <v>-7356.5431255835665</v>
      </c>
      <c r="I42" s="38">
        <f t="shared" si="19"/>
        <v>-5784.6573062558355</v>
      </c>
      <c r="J42" s="38">
        <f t="shared" si="19"/>
        <v>-4428.7714869281044</v>
      </c>
      <c r="K42" s="38">
        <f t="shared" si="19"/>
        <v>-3027.0245564892621</v>
      </c>
      <c r="L42" s="38">
        <f t="shared" si="19"/>
        <v>-1455.138737161531</v>
      </c>
      <c r="M42" s="38">
        <f t="shared" si="19"/>
        <v>116.74708216620002</v>
      </c>
      <c r="N42" s="38">
        <f t="shared" si="19"/>
        <v>1688.6329014939311</v>
      </c>
      <c r="O42" s="38">
        <f t="shared" si="19"/>
        <v>641.7687208216621</v>
      </c>
      <c r="P42" s="38">
        <f t="shared" si="19"/>
        <v>2213.6545401493931</v>
      </c>
      <c r="Q42" s="38">
        <f t="shared" si="19"/>
        <v>3569.5403594771242</v>
      </c>
      <c r="R42" s="38">
        <f t="shared" si="19"/>
        <v>5141.4261788048552</v>
      </c>
    </row>
    <row r="44" spans="1:21" x14ac:dyDescent="0.3">
      <c r="A44" s="57" t="s">
        <v>236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</row>
    <row r="45" spans="1:21" x14ac:dyDescent="0.3">
      <c r="A45" s="11" t="s">
        <v>218</v>
      </c>
      <c r="C45" s="32">
        <f>SOLSH_D+TANKSH_D+DRIP_GH+A_GH*GHC_DPS+AG_SEED+AG_PLANT+AG_FENCE+AG_ESTIRR</f>
        <v>7243.8888888888887</v>
      </c>
      <c r="D45" s="32">
        <v>0</v>
      </c>
      <c r="E45" s="32">
        <f>AGBEATFR*(AG_SEED+AG_PLANT)</f>
        <v>36.75</v>
      </c>
      <c r="F45" s="32">
        <v>0</v>
      </c>
      <c r="G45" s="32">
        <v>0</v>
      </c>
      <c r="H45" s="32">
        <v>0</v>
      </c>
      <c r="I45" s="32">
        <v>0</v>
      </c>
      <c r="J45" s="32">
        <f>DRIPFR*(DRIP_GH)</f>
        <v>216</v>
      </c>
      <c r="K45" s="32">
        <f>BATTFR*SOLSH_D</f>
        <v>170.13888888888886</v>
      </c>
      <c r="L45" s="32">
        <v>0</v>
      </c>
      <c r="M45" s="32">
        <v>0</v>
      </c>
      <c r="N45" s="32">
        <v>0</v>
      </c>
      <c r="O45" s="32">
        <f>PUMPFR*SOLSH_D+A_GH*GHG_D</f>
        <v>2618.75</v>
      </c>
      <c r="P45" s="32">
        <v>0</v>
      </c>
      <c r="Q45" s="32">
        <f>DRIPFR*(DRIP_GH)</f>
        <v>216</v>
      </c>
      <c r="R45" s="32">
        <v>0</v>
      </c>
      <c r="T45" s="27" t="s">
        <v>219</v>
      </c>
      <c r="U45" s="33">
        <f>C48+NPV(DR_FIN,D48:R48)</f>
        <v>3252.5421182768732</v>
      </c>
    </row>
    <row r="46" spans="1:21" x14ac:dyDescent="0.3">
      <c r="A46" s="11" t="s">
        <v>220</v>
      </c>
      <c r="C46" s="32">
        <v>0</v>
      </c>
      <c r="D46" s="32">
        <f t="shared" ref="D46:R46" si="20">(NET_OFD_D-NET_OFB_D)+NET_GH_D+(REVGH_D+REVOFNOMD_D)*INSP*INSPAY+REVAG_D*D6-VCAG_D+NET_OFD_D*SHU_D*D7</f>
        <v>2383.798494397759</v>
      </c>
      <c r="E46" s="32">
        <f t="shared" si="20"/>
        <v>2383.798494397759</v>
      </c>
      <c r="F46" s="32">
        <f t="shared" si="20"/>
        <v>2414.610819327731</v>
      </c>
      <c r="G46" s="32">
        <f t="shared" si="20"/>
        <v>2445.4231442577029</v>
      </c>
      <c r="H46" s="32">
        <f t="shared" si="20"/>
        <v>2476.2354691876749</v>
      </c>
      <c r="I46" s="32">
        <f t="shared" si="20"/>
        <v>2507.8399509803921</v>
      </c>
      <c r="J46" s="32">
        <f t="shared" si="20"/>
        <v>2507.8399509803921</v>
      </c>
      <c r="K46" s="32">
        <f t="shared" si="20"/>
        <v>2507.8399509803921</v>
      </c>
      <c r="L46" s="32">
        <f t="shared" si="20"/>
        <v>2507.8399509803921</v>
      </c>
      <c r="M46" s="32">
        <f t="shared" si="20"/>
        <v>2507.8399509803921</v>
      </c>
      <c r="N46" s="32">
        <f t="shared" si="20"/>
        <v>2507.8399509803921</v>
      </c>
      <c r="O46" s="32">
        <f t="shared" si="20"/>
        <v>2507.8399509803921</v>
      </c>
      <c r="P46" s="32">
        <f t="shared" si="20"/>
        <v>2507.8399509803921</v>
      </c>
      <c r="Q46" s="32">
        <f t="shared" si="20"/>
        <v>2507.8399509803921</v>
      </c>
      <c r="R46" s="32">
        <f t="shared" si="20"/>
        <v>2507.8399509803921</v>
      </c>
      <c r="T46" s="11" t="s">
        <v>221</v>
      </c>
      <c r="U46" s="26">
        <f>IFERROR(IRR(C48:R48),"n/a")</f>
        <v>0.17809312112928621</v>
      </c>
    </row>
    <row r="47" spans="1:21" x14ac:dyDescent="0.3">
      <c r="A47" s="11" t="s">
        <v>222</v>
      </c>
      <c r="C47" s="32">
        <v>0</v>
      </c>
      <c r="D47" s="32">
        <f t="shared" ref="D47:R47" si="21">SOLOM*SOLSH_D+A_GH*GHOM_D+(REVGH_D+REVOFNOMD_D)*INSP*(1-INSS)</f>
        <v>935.95413165266109</v>
      </c>
      <c r="E47" s="32">
        <f t="shared" si="21"/>
        <v>935.95413165266109</v>
      </c>
      <c r="F47" s="32">
        <f t="shared" si="21"/>
        <v>935.95413165266109</v>
      </c>
      <c r="G47" s="32">
        <f t="shared" si="21"/>
        <v>935.95413165266109</v>
      </c>
      <c r="H47" s="32">
        <f t="shared" si="21"/>
        <v>935.95413165266109</v>
      </c>
      <c r="I47" s="32">
        <f t="shared" si="21"/>
        <v>935.95413165266109</v>
      </c>
      <c r="J47" s="32">
        <f t="shared" si="21"/>
        <v>935.95413165266109</v>
      </c>
      <c r="K47" s="32">
        <f t="shared" si="21"/>
        <v>935.95413165266109</v>
      </c>
      <c r="L47" s="32">
        <f t="shared" si="21"/>
        <v>935.95413165266109</v>
      </c>
      <c r="M47" s="32">
        <f t="shared" si="21"/>
        <v>935.95413165266109</v>
      </c>
      <c r="N47" s="32">
        <f t="shared" si="21"/>
        <v>935.95413165266109</v>
      </c>
      <c r="O47" s="32">
        <f t="shared" si="21"/>
        <v>935.95413165266109</v>
      </c>
      <c r="P47" s="32">
        <f t="shared" si="21"/>
        <v>935.95413165266109</v>
      </c>
      <c r="Q47" s="32">
        <f t="shared" si="21"/>
        <v>935.95413165266109</v>
      </c>
      <c r="R47" s="32">
        <f t="shared" si="21"/>
        <v>935.95413165266109</v>
      </c>
      <c r="T47" s="11" t="s">
        <v>223</v>
      </c>
      <c r="U47" s="34">
        <f>(SUMPRODUCT(C46:R46,C5:R5))/(SUMPRODUCT((C45:R45+C47:R47),C5:R5))</f>
        <v>1.2101843728259281</v>
      </c>
    </row>
    <row r="48" spans="1:21" x14ac:dyDescent="0.3">
      <c r="A48" s="27" t="s">
        <v>224</v>
      </c>
      <c r="C48" s="35">
        <f t="shared" ref="C48:R48" si="22">C46-C47-C45</f>
        <v>-7243.8888888888887</v>
      </c>
      <c r="D48" s="35">
        <f t="shared" si="22"/>
        <v>1447.8443627450979</v>
      </c>
      <c r="E48" s="35">
        <f t="shared" si="22"/>
        <v>1411.0943627450979</v>
      </c>
      <c r="F48" s="35">
        <f t="shared" si="22"/>
        <v>1478.6566876750699</v>
      </c>
      <c r="G48" s="35">
        <f t="shared" si="22"/>
        <v>1509.4690126050418</v>
      </c>
      <c r="H48" s="35">
        <f t="shared" si="22"/>
        <v>1540.2813375350138</v>
      </c>
      <c r="I48" s="35">
        <f t="shared" si="22"/>
        <v>1571.885819327731</v>
      </c>
      <c r="J48" s="35">
        <f t="shared" si="22"/>
        <v>1355.885819327731</v>
      </c>
      <c r="K48" s="35">
        <f t="shared" si="22"/>
        <v>1401.7469304388421</v>
      </c>
      <c r="L48" s="35">
        <f t="shared" si="22"/>
        <v>1571.885819327731</v>
      </c>
      <c r="M48" s="35">
        <f t="shared" si="22"/>
        <v>1571.885819327731</v>
      </c>
      <c r="N48" s="35">
        <f t="shared" si="22"/>
        <v>1571.885819327731</v>
      </c>
      <c r="O48" s="35">
        <f t="shared" si="22"/>
        <v>-1046.864180672269</v>
      </c>
      <c r="P48" s="35">
        <f t="shared" si="22"/>
        <v>1571.885819327731</v>
      </c>
      <c r="Q48" s="35">
        <f t="shared" si="22"/>
        <v>1355.885819327731</v>
      </c>
      <c r="R48" s="35">
        <f t="shared" si="22"/>
        <v>1571.885819327731</v>
      </c>
      <c r="T48" s="11" t="s">
        <v>225</v>
      </c>
      <c r="U48" s="36">
        <f>IF(SUMPRODUCT(--(C49:R49&lt;0))&gt;15,"&gt;15",SUMPRODUCT(--(C49:R49&lt;0)))</f>
        <v>5</v>
      </c>
    </row>
    <row r="49" spans="1:21" x14ac:dyDescent="0.3">
      <c r="A49" s="37" t="s">
        <v>226</v>
      </c>
      <c r="C49" s="38">
        <f>C48</f>
        <v>-7243.8888888888887</v>
      </c>
      <c r="D49" s="38">
        <f t="shared" ref="D49:R49" si="23">C49+D48</f>
        <v>-5796.0445261437908</v>
      </c>
      <c r="E49" s="38">
        <f t="shared" si="23"/>
        <v>-4384.9501633986929</v>
      </c>
      <c r="F49" s="38">
        <f t="shared" si="23"/>
        <v>-2906.293475723623</v>
      </c>
      <c r="G49" s="38">
        <f t="shared" si="23"/>
        <v>-1396.8244631185812</v>
      </c>
      <c r="H49" s="38">
        <f t="shared" si="23"/>
        <v>143.45687441643258</v>
      </c>
      <c r="I49" s="38">
        <f t="shared" si="23"/>
        <v>1715.3426937441636</v>
      </c>
      <c r="J49" s="38">
        <f t="shared" si="23"/>
        <v>3071.2285130718947</v>
      </c>
      <c r="K49" s="38">
        <f t="shared" si="23"/>
        <v>4472.975443510737</v>
      </c>
      <c r="L49" s="38">
        <f t="shared" si="23"/>
        <v>6044.8612628384681</v>
      </c>
      <c r="M49" s="38">
        <f t="shared" si="23"/>
        <v>7616.7470821661991</v>
      </c>
      <c r="N49" s="38">
        <f t="shared" si="23"/>
        <v>9188.6329014939292</v>
      </c>
      <c r="O49" s="38">
        <f t="shared" si="23"/>
        <v>8141.7687208216603</v>
      </c>
      <c r="P49" s="38">
        <f t="shared" si="23"/>
        <v>9713.6545401493913</v>
      </c>
      <c r="Q49" s="38">
        <f t="shared" si="23"/>
        <v>11069.540359477123</v>
      </c>
      <c r="R49" s="38">
        <f t="shared" si="23"/>
        <v>12641.426178804853</v>
      </c>
    </row>
    <row r="51" spans="1:21" x14ac:dyDescent="0.3">
      <c r="A51" s="57" t="s">
        <v>230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</row>
    <row r="52" spans="1:21" x14ac:dyDescent="0.3">
      <c r="A52" s="11" t="s">
        <v>218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T52" s="27" t="s">
        <v>219</v>
      </c>
      <c r="U52" s="33">
        <f>C55+NPV(DR_FIN,D55:R55)</f>
        <v>13.422493246426516</v>
      </c>
    </row>
    <row r="53" spans="1:21" x14ac:dyDescent="0.3">
      <c r="A53" s="11" t="s">
        <v>220</v>
      </c>
      <c r="C53" s="32">
        <v>0</v>
      </c>
      <c r="D53" s="32">
        <f t="shared" ref="D53:R53" si="24">(REVOFNOMB_D)*INSP*INSPAY</f>
        <v>5.2941176470588234</v>
      </c>
      <c r="E53" s="32">
        <f t="shared" si="24"/>
        <v>5.2941176470588234</v>
      </c>
      <c r="F53" s="32">
        <f t="shared" si="24"/>
        <v>5.2941176470588234</v>
      </c>
      <c r="G53" s="32">
        <f t="shared" si="24"/>
        <v>5.2941176470588234</v>
      </c>
      <c r="H53" s="32">
        <f t="shared" si="24"/>
        <v>5.2941176470588234</v>
      </c>
      <c r="I53" s="32">
        <f t="shared" si="24"/>
        <v>5.2941176470588234</v>
      </c>
      <c r="J53" s="32">
        <f t="shared" si="24"/>
        <v>5.2941176470588234</v>
      </c>
      <c r="K53" s="32">
        <f t="shared" si="24"/>
        <v>5.2941176470588234</v>
      </c>
      <c r="L53" s="32">
        <f t="shared" si="24"/>
        <v>5.2941176470588234</v>
      </c>
      <c r="M53" s="32">
        <f t="shared" si="24"/>
        <v>5.2941176470588234</v>
      </c>
      <c r="N53" s="32">
        <f t="shared" si="24"/>
        <v>5.2941176470588234</v>
      </c>
      <c r="O53" s="32">
        <f t="shared" si="24"/>
        <v>5.2941176470588234</v>
      </c>
      <c r="P53" s="32">
        <f t="shared" si="24"/>
        <v>5.2941176470588234</v>
      </c>
      <c r="Q53" s="32">
        <f t="shared" si="24"/>
        <v>5.2941176470588234</v>
      </c>
      <c r="R53" s="32">
        <f t="shared" si="24"/>
        <v>5.2941176470588234</v>
      </c>
      <c r="T53" s="11" t="s">
        <v>221</v>
      </c>
      <c r="U53" s="26" t="str">
        <f>IFERROR(IRR(C55:R55),"n/a")</f>
        <v>n/a</v>
      </c>
    </row>
    <row r="54" spans="1:21" x14ac:dyDescent="0.3">
      <c r="A54" s="11" t="s">
        <v>222</v>
      </c>
      <c r="C54" s="32">
        <v>0</v>
      </c>
      <c r="D54" s="32">
        <f t="shared" ref="D54:R54" si="25">(REVOFNOMB_D)*INSP*(1-INSS)</f>
        <v>3.5294117647058822</v>
      </c>
      <c r="E54" s="32">
        <f t="shared" si="25"/>
        <v>3.5294117647058822</v>
      </c>
      <c r="F54" s="32">
        <f t="shared" si="25"/>
        <v>3.5294117647058822</v>
      </c>
      <c r="G54" s="32">
        <f t="shared" si="25"/>
        <v>3.5294117647058822</v>
      </c>
      <c r="H54" s="32">
        <f t="shared" si="25"/>
        <v>3.5294117647058822</v>
      </c>
      <c r="I54" s="32">
        <f t="shared" si="25"/>
        <v>3.5294117647058822</v>
      </c>
      <c r="J54" s="32">
        <f t="shared" si="25"/>
        <v>3.5294117647058822</v>
      </c>
      <c r="K54" s="32">
        <f t="shared" si="25"/>
        <v>3.5294117647058822</v>
      </c>
      <c r="L54" s="32">
        <f t="shared" si="25"/>
        <v>3.5294117647058822</v>
      </c>
      <c r="M54" s="32">
        <f t="shared" si="25"/>
        <v>3.5294117647058822</v>
      </c>
      <c r="N54" s="32">
        <f t="shared" si="25"/>
        <v>3.5294117647058822</v>
      </c>
      <c r="O54" s="32">
        <f t="shared" si="25"/>
        <v>3.5294117647058822</v>
      </c>
      <c r="P54" s="32">
        <f t="shared" si="25"/>
        <v>3.5294117647058822</v>
      </c>
      <c r="Q54" s="32">
        <f t="shared" si="25"/>
        <v>3.5294117647058822</v>
      </c>
      <c r="R54" s="32">
        <f t="shared" si="25"/>
        <v>3.5294117647058822</v>
      </c>
      <c r="T54" s="11" t="s">
        <v>223</v>
      </c>
      <c r="U54" s="34">
        <f>(SUMPRODUCT(C53:R53,C5:R5))/(SUMPRODUCT((C52:R52+C54:R54),C5:R5))</f>
        <v>1.5</v>
      </c>
    </row>
    <row r="55" spans="1:21" x14ac:dyDescent="0.3">
      <c r="A55" s="27" t="s">
        <v>224</v>
      </c>
      <c r="C55" s="35">
        <f t="shared" ref="C55:R55" si="26">C53-C54-C52</f>
        <v>0</v>
      </c>
      <c r="D55" s="35">
        <f t="shared" si="26"/>
        <v>1.7647058823529411</v>
      </c>
      <c r="E55" s="35">
        <f t="shared" si="26"/>
        <v>1.7647058823529411</v>
      </c>
      <c r="F55" s="35">
        <f t="shared" si="26"/>
        <v>1.7647058823529411</v>
      </c>
      <c r="G55" s="35">
        <f t="shared" si="26"/>
        <v>1.7647058823529411</v>
      </c>
      <c r="H55" s="35">
        <f t="shared" si="26"/>
        <v>1.7647058823529411</v>
      </c>
      <c r="I55" s="35">
        <f t="shared" si="26"/>
        <v>1.7647058823529411</v>
      </c>
      <c r="J55" s="35">
        <f t="shared" si="26"/>
        <v>1.7647058823529411</v>
      </c>
      <c r="K55" s="35">
        <f t="shared" si="26"/>
        <v>1.7647058823529411</v>
      </c>
      <c r="L55" s="35">
        <f t="shared" si="26"/>
        <v>1.7647058823529411</v>
      </c>
      <c r="M55" s="35">
        <f t="shared" si="26"/>
        <v>1.7647058823529411</v>
      </c>
      <c r="N55" s="35">
        <f t="shared" si="26"/>
        <v>1.7647058823529411</v>
      </c>
      <c r="O55" s="35">
        <f t="shared" si="26"/>
        <v>1.7647058823529411</v>
      </c>
      <c r="P55" s="35">
        <f t="shared" si="26"/>
        <v>1.7647058823529411</v>
      </c>
      <c r="Q55" s="35">
        <f t="shared" si="26"/>
        <v>1.7647058823529411</v>
      </c>
      <c r="R55" s="35">
        <f t="shared" si="26"/>
        <v>1.7647058823529411</v>
      </c>
      <c r="T55" s="11" t="s">
        <v>225</v>
      </c>
      <c r="U55" s="36">
        <f>IF(SUMPRODUCT(--(C56:R56&lt;0))&gt;15,"&gt;15",SUMPRODUCT(--(C56:R56&lt;0)))</f>
        <v>0</v>
      </c>
    </row>
    <row r="56" spans="1:21" x14ac:dyDescent="0.3">
      <c r="A56" s="37" t="s">
        <v>226</v>
      </c>
      <c r="C56" s="38">
        <f>C55</f>
        <v>0</v>
      </c>
      <c r="D56" s="38">
        <f t="shared" ref="D56:R56" si="27">C56+D55</f>
        <v>1.7647058823529411</v>
      </c>
      <c r="E56" s="38">
        <f t="shared" si="27"/>
        <v>3.5294117647058822</v>
      </c>
      <c r="F56" s="38">
        <f t="shared" si="27"/>
        <v>5.2941176470588234</v>
      </c>
      <c r="G56" s="38">
        <f t="shared" si="27"/>
        <v>7.0588235294117645</v>
      </c>
      <c r="H56" s="38">
        <f t="shared" si="27"/>
        <v>8.8235294117647065</v>
      </c>
      <c r="I56" s="38">
        <f t="shared" si="27"/>
        <v>10.588235294117649</v>
      </c>
      <c r="J56" s="38">
        <f t="shared" si="27"/>
        <v>12.352941176470591</v>
      </c>
      <c r="K56" s="38">
        <f t="shared" si="27"/>
        <v>14.117647058823533</v>
      </c>
      <c r="L56" s="38">
        <f t="shared" si="27"/>
        <v>15.882352941176475</v>
      </c>
      <c r="M56" s="38">
        <f t="shared" si="27"/>
        <v>17.647058823529417</v>
      </c>
      <c r="N56" s="38">
        <f t="shared" si="27"/>
        <v>19.411764705882359</v>
      </c>
      <c r="O56" s="38">
        <f t="shared" si="27"/>
        <v>21.176470588235301</v>
      </c>
      <c r="P56" s="38">
        <f t="shared" si="27"/>
        <v>22.941176470588243</v>
      </c>
      <c r="Q56" s="38">
        <f t="shared" si="27"/>
        <v>24.705882352941185</v>
      </c>
      <c r="R56" s="38">
        <f t="shared" si="27"/>
        <v>26.470588235294127</v>
      </c>
    </row>
  </sheetData>
  <mergeCells count="7">
    <mergeCell ref="A44:R44"/>
    <mergeCell ref="A51:R51"/>
    <mergeCell ref="A9:R9"/>
    <mergeCell ref="A16:R16"/>
    <mergeCell ref="A23:R23"/>
    <mergeCell ref="A30:R30"/>
    <mergeCell ref="A37:R37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76"/>
  <sheetViews>
    <sheetView showGridLines="0" zoomScale="104" zoomScaleNormal="70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ColWidth="8.77734375" defaultRowHeight="14.4" x14ac:dyDescent="0.3"/>
  <cols>
    <col min="1" max="1" width="34" customWidth="1"/>
    <col min="3" max="18" width="9.5546875" customWidth="1"/>
    <col min="20" max="20" width="15" customWidth="1"/>
    <col min="21" max="21" width="12" customWidth="1"/>
  </cols>
  <sheetData>
    <row r="1" spans="1:21" ht="17.25" customHeight="1" x14ac:dyDescent="0.3">
      <c r="A1" s="10" t="s">
        <v>237</v>
      </c>
    </row>
    <row r="2" spans="1:21" x14ac:dyDescent="0.3">
      <c r="A2" s="11" t="s">
        <v>238</v>
      </c>
    </row>
    <row r="4" spans="1:21" x14ac:dyDescent="0.3">
      <c r="A4" s="27" t="s">
        <v>213</v>
      </c>
      <c r="C4" s="28">
        <v>0</v>
      </c>
      <c r="D4" s="28">
        <v>1</v>
      </c>
      <c r="E4" s="28">
        <v>2</v>
      </c>
      <c r="F4" s="28">
        <v>3</v>
      </c>
      <c r="G4" s="28">
        <v>4</v>
      </c>
      <c r="H4" s="28">
        <v>5</v>
      </c>
      <c r="I4" s="28">
        <v>6</v>
      </c>
      <c r="J4" s="28">
        <v>7</v>
      </c>
      <c r="K4" s="28">
        <v>8</v>
      </c>
      <c r="L4" s="28">
        <v>9</v>
      </c>
      <c r="M4" s="28">
        <v>10</v>
      </c>
      <c r="N4" s="28">
        <v>11</v>
      </c>
      <c r="O4" s="28">
        <v>12</v>
      </c>
      <c r="P4" s="28">
        <v>13</v>
      </c>
      <c r="Q4" s="28">
        <v>14</v>
      </c>
      <c r="R4" s="28">
        <v>15</v>
      </c>
    </row>
    <row r="5" spans="1:21" x14ac:dyDescent="0.3">
      <c r="A5" s="11" t="s">
        <v>239</v>
      </c>
      <c r="C5" s="29">
        <f>1/(1+DR_ECON)^0</f>
        <v>1</v>
      </c>
      <c r="D5" s="29">
        <f>1/(1+DR_ECON)^1</f>
        <v>0.92592592592592582</v>
      </c>
      <c r="E5" s="29">
        <f>1/(1+DR_ECON)^2</f>
        <v>0.85733882030178321</v>
      </c>
      <c r="F5" s="29">
        <f>1/(1+DR_ECON)^3</f>
        <v>0.79383224102016958</v>
      </c>
      <c r="G5" s="29">
        <f>1/(1+DR_ECON)^4</f>
        <v>0.73502985279645328</v>
      </c>
      <c r="H5" s="29">
        <f>1/(1+DR_ECON)^5</f>
        <v>0.68058319703375303</v>
      </c>
      <c r="I5" s="29">
        <f>1/(1+DR_ECON)^6</f>
        <v>0.63016962688310452</v>
      </c>
      <c r="J5" s="29">
        <f>1/(1+DR_ECON)^7</f>
        <v>0.58349039526213387</v>
      </c>
      <c r="K5" s="29">
        <f>1/(1+DR_ECON)^8</f>
        <v>0.54026888450197574</v>
      </c>
      <c r="L5" s="29">
        <f>1/(1+DR_ECON)^9</f>
        <v>0.50024896713145905</v>
      </c>
      <c r="M5" s="29">
        <f>1/(1+DR_ECON)^10</f>
        <v>0.46319348808468425</v>
      </c>
      <c r="N5" s="29">
        <f>1/(1+DR_ECON)^11</f>
        <v>0.42888285933767062</v>
      </c>
      <c r="O5" s="29">
        <f>1/(1+DR_ECON)^12</f>
        <v>0.39711375864599124</v>
      </c>
      <c r="P5" s="29">
        <f>1/(1+DR_ECON)^13</f>
        <v>0.36769792467221413</v>
      </c>
      <c r="Q5" s="29">
        <f>1/(1+DR_ECON)^14</f>
        <v>0.34046104136316119</v>
      </c>
      <c r="R5" s="29">
        <f>1/(1+DR_ECON)^15</f>
        <v>0.31524170496588994</v>
      </c>
    </row>
    <row r="6" spans="1:21" x14ac:dyDescent="0.3">
      <c r="A6" s="11" t="s">
        <v>215</v>
      </c>
      <c r="C6" s="30">
        <v>0</v>
      </c>
      <c r="D6" s="30">
        <v>0</v>
      </c>
      <c r="E6" s="30">
        <v>0</v>
      </c>
      <c r="F6" s="30">
        <v>0.25</v>
      </c>
      <c r="G6" s="30">
        <v>0.5</v>
      </c>
      <c r="H6" s="30">
        <v>0.75</v>
      </c>
      <c r="I6" s="30">
        <v>1</v>
      </c>
      <c r="J6" s="30">
        <v>1</v>
      </c>
      <c r="K6" s="30">
        <v>1</v>
      </c>
      <c r="L6" s="30">
        <v>1</v>
      </c>
      <c r="M6" s="30">
        <v>1</v>
      </c>
      <c r="N6" s="30">
        <v>1</v>
      </c>
      <c r="O6" s="30">
        <v>1</v>
      </c>
      <c r="P6" s="30">
        <v>1</v>
      </c>
      <c r="Q6" s="30">
        <v>1</v>
      </c>
      <c r="R6" s="30">
        <v>1</v>
      </c>
    </row>
    <row r="8" spans="1:21" x14ac:dyDescent="0.3">
      <c r="A8" s="57" t="s">
        <v>327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1:21" x14ac:dyDescent="0.3">
      <c r="A9" s="11" t="s">
        <v>240</v>
      </c>
      <c r="C9" s="39">
        <f>'Financial CBA – Uvurkhangai'!C11*IMP*SCF</f>
        <v>0</v>
      </c>
      <c r="D9" s="39">
        <f>'Financial CBA – Uvurkhangai'!D11*IMP*SCF+(CARB_SOL)*CARBP</f>
        <v>31.2864705882353</v>
      </c>
      <c r="E9" s="39">
        <f>'Financial CBA – Uvurkhangai'!E11*IMP*SCF+(CARB_SOL)*CARBP</f>
        <v>31.2864705882353</v>
      </c>
      <c r="F9" s="39">
        <f>'Financial CBA – Uvurkhangai'!F11*IMP*SCF+(CARB_SOL)*CARBP</f>
        <v>31.2864705882353</v>
      </c>
      <c r="G9" s="39">
        <f>'Financial CBA – Uvurkhangai'!G11*IMP*SCF+(CARB_SOL)*CARBP</f>
        <v>31.2864705882353</v>
      </c>
      <c r="H9" s="39">
        <f>'Financial CBA – Uvurkhangai'!H11*IMP*SCF+(CARB_SOL)*CARBP</f>
        <v>31.2864705882353</v>
      </c>
      <c r="I9" s="39">
        <f>'Financial CBA – Uvurkhangai'!I11*IMP*SCF+(CARB_SOL)*CARBP</f>
        <v>31.2864705882353</v>
      </c>
      <c r="J9" s="39">
        <f>'Financial CBA – Uvurkhangai'!J11*IMP*SCF+(CARB_SOL)*CARBP</f>
        <v>31.2864705882353</v>
      </c>
      <c r="K9" s="39">
        <f>'Financial CBA – Uvurkhangai'!K11*IMP*SCF+(CARB_SOL)*CARBP</f>
        <v>31.2864705882353</v>
      </c>
      <c r="L9" s="39">
        <f>'Financial CBA – Uvurkhangai'!L11*IMP*SCF+(CARB_SOL)*CARBP</f>
        <v>31.2864705882353</v>
      </c>
      <c r="M9" s="39">
        <f>'Financial CBA – Uvurkhangai'!M11*IMP*SCF+(CARB_SOL)*CARBP</f>
        <v>31.2864705882353</v>
      </c>
      <c r="N9" s="39">
        <f>'Financial CBA – Uvurkhangai'!N11*IMP*SCF+(CARB_SOL)*CARBP</f>
        <v>31.2864705882353</v>
      </c>
      <c r="O9" s="39">
        <f>'Financial CBA – Uvurkhangai'!O11*IMP*SCF+(CARB_SOL)*CARBP</f>
        <v>31.2864705882353</v>
      </c>
      <c r="P9" s="39">
        <f>'Financial CBA – Uvurkhangai'!P11*IMP*SCF+(CARB_SOL)*CARBP</f>
        <v>31.2864705882353</v>
      </c>
      <c r="Q9" s="39">
        <f>'Financial CBA – Uvurkhangai'!Q11*IMP*SCF+(CARB_SOL)*CARBP</f>
        <v>31.2864705882353</v>
      </c>
      <c r="R9" s="39">
        <f>'Financial CBA – Uvurkhangai'!R11*IMP*SCF+(CARB_SOL)*CARBP</f>
        <v>31.2864705882353</v>
      </c>
      <c r="T9" s="11" t="s">
        <v>241</v>
      </c>
      <c r="U9" s="26" t="str">
        <f>IFERROR(IRR(C12:R12),"n/a")</f>
        <v>n/a</v>
      </c>
    </row>
    <row r="10" spans="1:21" x14ac:dyDescent="0.3">
      <c r="A10" s="11" t="s">
        <v>242</v>
      </c>
      <c r="C10" s="39">
        <f>'Financial CBA – Uvurkhangai'!C10*SCF</f>
        <v>360</v>
      </c>
      <c r="D10" s="39">
        <f>'Financial CBA – Uvurkhangai'!D10*SCF</f>
        <v>0</v>
      </c>
      <c r="E10" s="39">
        <f>'Financial CBA – Uvurkhangai'!E10*SCF</f>
        <v>0</v>
      </c>
      <c r="F10" s="39">
        <f>'Financial CBA – Uvurkhangai'!F10*SCF</f>
        <v>0</v>
      </c>
      <c r="G10" s="39">
        <f>'Financial CBA – Uvurkhangai'!G10*SCF</f>
        <v>0</v>
      </c>
      <c r="H10" s="39">
        <f>'Financial CBA – Uvurkhangai'!H10*SCF</f>
        <v>0</v>
      </c>
      <c r="I10" s="39">
        <f>'Financial CBA – Uvurkhangai'!I10*SCF</f>
        <v>0</v>
      </c>
      <c r="J10" s="39">
        <f>'Financial CBA – Uvurkhangai'!J10*SCF</f>
        <v>121.5</v>
      </c>
      <c r="K10" s="39">
        <f>'Financial CBA – Uvurkhangai'!K10*SCF</f>
        <v>0</v>
      </c>
      <c r="L10" s="39">
        <f>'Financial CBA – Uvurkhangai'!L10*SCF</f>
        <v>0</v>
      </c>
      <c r="M10" s="39">
        <f>'Financial CBA – Uvurkhangai'!M10*SCF</f>
        <v>0</v>
      </c>
      <c r="N10" s="39">
        <f>'Financial CBA – Uvurkhangai'!N10*SCF</f>
        <v>0</v>
      </c>
      <c r="O10" s="39">
        <f>'Financial CBA – Uvurkhangai'!O10*SCF</f>
        <v>50.625</v>
      </c>
      <c r="P10" s="39">
        <f>'Financial CBA – Uvurkhangai'!P10*SCF</f>
        <v>0</v>
      </c>
      <c r="Q10" s="39">
        <f>'Financial CBA – Uvurkhangai'!Q10*SCF</f>
        <v>121.5</v>
      </c>
      <c r="R10" s="39">
        <f>'Financial CBA – Uvurkhangai'!R10*SCF</f>
        <v>0</v>
      </c>
      <c r="T10" s="27" t="s">
        <v>243</v>
      </c>
      <c r="U10" s="33">
        <f>C12+NPV(DR_ECON,D12:R12)</f>
        <v>-253.45634593274289</v>
      </c>
    </row>
    <row r="11" spans="1:21" x14ac:dyDescent="0.3">
      <c r="A11" s="11" t="s">
        <v>244</v>
      </c>
      <c r="C11" s="39">
        <f>'Financial CBA – Uvurkhangai'!C12*SCF</f>
        <v>0</v>
      </c>
      <c r="D11" s="39">
        <f>'Financial CBA – Uvurkhangai'!D12*SCF</f>
        <v>3.375</v>
      </c>
      <c r="E11" s="39">
        <f>'Financial CBA – Uvurkhangai'!E12*SCF</f>
        <v>3.375</v>
      </c>
      <c r="F11" s="39">
        <f>'Financial CBA – Uvurkhangai'!F12*SCF</f>
        <v>3.375</v>
      </c>
      <c r="G11" s="39">
        <f>'Financial CBA – Uvurkhangai'!G12*SCF</f>
        <v>3.375</v>
      </c>
      <c r="H11" s="39">
        <f>'Financial CBA – Uvurkhangai'!H12*SCF</f>
        <v>3.375</v>
      </c>
      <c r="I11" s="39">
        <f>'Financial CBA – Uvurkhangai'!I12*SCF</f>
        <v>3.375</v>
      </c>
      <c r="J11" s="39">
        <f>'Financial CBA – Uvurkhangai'!J12*SCF</f>
        <v>3.375</v>
      </c>
      <c r="K11" s="39">
        <f>'Financial CBA – Uvurkhangai'!K12*SCF</f>
        <v>3.375</v>
      </c>
      <c r="L11" s="39">
        <f>'Financial CBA – Uvurkhangai'!L12*SCF</f>
        <v>3.375</v>
      </c>
      <c r="M11" s="39">
        <f>'Financial CBA – Uvurkhangai'!M12*SCF</f>
        <v>3.375</v>
      </c>
      <c r="N11" s="39">
        <f>'Financial CBA – Uvurkhangai'!N12*SCF</f>
        <v>3.375</v>
      </c>
      <c r="O11" s="39">
        <f>'Financial CBA – Uvurkhangai'!O12*SCF</f>
        <v>3.375</v>
      </c>
      <c r="P11" s="39">
        <f>'Financial CBA – Uvurkhangai'!P12*SCF</f>
        <v>3.375</v>
      </c>
      <c r="Q11" s="39">
        <f>'Financial CBA – Uvurkhangai'!Q12*SCF</f>
        <v>3.375</v>
      </c>
      <c r="R11" s="39">
        <f>'Financial CBA – Uvurkhangai'!R12*SCF</f>
        <v>3.375</v>
      </c>
      <c r="T11" s="11" t="s">
        <v>245</v>
      </c>
      <c r="U11" s="34">
        <f>(SUMPRODUCT(C9:R9,C5:R5))/(SUMPRODUCT((C10:R10+C11:R11),C5:R5))</f>
        <v>0.51375488834698801</v>
      </c>
    </row>
    <row r="12" spans="1:21" x14ac:dyDescent="0.3">
      <c r="A12" s="27" t="s">
        <v>246</v>
      </c>
      <c r="C12" s="35">
        <f t="shared" ref="C12:R12" si="0">C9-C11-C10</f>
        <v>-360</v>
      </c>
      <c r="D12" s="35">
        <f t="shared" si="0"/>
        <v>27.9114705882353</v>
      </c>
      <c r="E12" s="35">
        <f t="shared" si="0"/>
        <v>27.9114705882353</v>
      </c>
      <c r="F12" s="35">
        <f t="shared" si="0"/>
        <v>27.9114705882353</v>
      </c>
      <c r="G12" s="35">
        <f t="shared" si="0"/>
        <v>27.9114705882353</v>
      </c>
      <c r="H12" s="35">
        <f t="shared" si="0"/>
        <v>27.9114705882353</v>
      </c>
      <c r="I12" s="35">
        <f t="shared" si="0"/>
        <v>27.9114705882353</v>
      </c>
      <c r="J12" s="35">
        <f t="shared" si="0"/>
        <v>-93.588529411764696</v>
      </c>
      <c r="K12" s="35">
        <f t="shared" si="0"/>
        <v>27.9114705882353</v>
      </c>
      <c r="L12" s="35">
        <f t="shared" si="0"/>
        <v>27.9114705882353</v>
      </c>
      <c r="M12" s="35">
        <f t="shared" si="0"/>
        <v>27.9114705882353</v>
      </c>
      <c r="N12" s="35">
        <f t="shared" si="0"/>
        <v>27.9114705882353</v>
      </c>
      <c r="O12" s="35">
        <f t="shared" si="0"/>
        <v>-22.7135294117647</v>
      </c>
      <c r="P12" s="35">
        <f t="shared" si="0"/>
        <v>27.9114705882353</v>
      </c>
      <c r="Q12" s="35">
        <f t="shared" si="0"/>
        <v>-93.588529411764696</v>
      </c>
      <c r="R12" s="35">
        <f t="shared" si="0"/>
        <v>27.9114705882353</v>
      </c>
      <c r="T12" s="11" t="s">
        <v>225</v>
      </c>
      <c r="U12" s="36" t="str">
        <f>IF(SUMPRODUCT(--(C13:R13&lt;0))&gt;15,"&gt;15",SUMPRODUCT(--(C13:R13&lt;0)))</f>
        <v>&gt;15</v>
      </c>
    </row>
    <row r="13" spans="1:21" x14ac:dyDescent="0.3">
      <c r="A13" s="37" t="s">
        <v>247</v>
      </c>
      <c r="C13" s="38">
        <f>C12</f>
        <v>-360</v>
      </c>
      <c r="D13" s="38">
        <f>C13+D12</f>
        <v>-332.08852941176468</v>
      </c>
      <c r="E13" s="38">
        <f t="shared" ref="D13:R13" si="1">D13+E12</f>
        <v>-304.17705882352936</v>
      </c>
      <c r="F13" s="38">
        <f t="shared" si="1"/>
        <v>-276.26558823529405</v>
      </c>
      <c r="G13" s="38">
        <f t="shared" si="1"/>
        <v>-248.35411764705876</v>
      </c>
      <c r="H13" s="38">
        <f t="shared" si="1"/>
        <v>-220.44264705882347</v>
      </c>
      <c r="I13" s="38">
        <f t="shared" si="1"/>
        <v>-192.53117647058818</v>
      </c>
      <c r="J13" s="38">
        <f t="shared" si="1"/>
        <v>-286.11970588235289</v>
      </c>
      <c r="K13" s="38">
        <f t="shared" si="1"/>
        <v>-258.20823529411757</v>
      </c>
      <c r="L13" s="38">
        <f t="shared" si="1"/>
        <v>-230.29676470588228</v>
      </c>
      <c r="M13" s="38">
        <f t="shared" si="1"/>
        <v>-202.38529411764699</v>
      </c>
      <c r="N13" s="38">
        <f t="shared" si="1"/>
        <v>-174.4738235294117</v>
      </c>
      <c r="O13" s="38">
        <f t="shared" si="1"/>
        <v>-197.18735294117641</v>
      </c>
      <c r="P13" s="38">
        <f t="shared" si="1"/>
        <v>-169.27588235294112</v>
      </c>
      <c r="Q13" s="38">
        <f t="shared" si="1"/>
        <v>-262.86441176470584</v>
      </c>
      <c r="R13" s="38">
        <f t="shared" si="1"/>
        <v>-234.95294117647055</v>
      </c>
    </row>
    <row r="15" spans="1:21" x14ac:dyDescent="0.3">
      <c r="A15" s="57" t="s">
        <v>328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</row>
    <row r="16" spans="1:21" x14ac:dyDescent="0.3">
      <c r="A16" s="11" t="s">
        <v>240</v>
      </c>
      <c r="C16" s="39">
        <f>'Financial CBA – Uvurkhangai'!C18*IMP*SCF</f>
        <v>0</v>
      </c>
      <c r="D16" s="39">
        <f>'Financial CBA – Uvurkhangai'!D18*IMP*SCF+(CARB_SOL)*CARBP</f>
        <v>3533.9352100840333</v>
      </c>
      <c r="E16" s="39">
        <f>'Financial CBA – Uvurkhangai'!E18*IMP*SCF+(CARB_SOL)*CARBP</f>
        <v>3533.9352100840333</v>
      </c>
      <c r="F16" s="39">
        <f>'Financial CBA – Uvurkhangai'!F18*IMP*SCF+(CARB_SOL)*CARBP</f>
        <v>3533.9352100840333</v>
      </c>
      <c r="G16" s="39">
        <f>'Financial CBA – Uvurkhangai'!G18*IMP*SCF+(CARB_SOL)*CARBP</f>
        <v>3533.9352100840333</v>
      </c>
      <c r="H16" s="39">
        <f>'Financial CBA – Uvurkhangai'!H18*IMP*SCF+(CARB_SOL)*CARBP</f>
        <v>3533.9352100840333</v>
      </c>
      <c r="I16" s="39">
        <f>'Financial CBA – Uvurkhangai'!I18*IMP*SCF+(CARB_SOL)*CARBP</f>
        <v>3533.9352100840333</v>
      </c>
      <c r="J16" s="39">
        <f>'Financial CBA – Uvurkhangai'!J18*IMP*SCF+(CARB_SOL)*CARBP</f>
        <v>3533.9352100840333</v>
      </c>
      <c r="K16" s="39">
        <f>'Financial CBA – Uvurkhangai'!K18*IMP*SCF+(CARB_SOL)*CARBP</f>
        <v>3533.9352100840333</v>
      </c>
      <c r="L16" s="39">
        <f>'Financial CBA – Uvurkhangai'!L18*IMP*SCF+(CARB_SOL)*CARBP</f>
        <v>3533.9352100840333</v>
      </c>
      <c r="M16" s="39">
        <f>'Financial CBA – Uvurkhangai'!M18*IMP*SCF+(CARB_SOL)*CARBP</f>
        <v>3533.9352100840333</v>
      </c>
      <c r="N16" s="39">
        <f>'Financial CBA – Uvurkhangai'!N18*IMP*SCF+(CARB_SOL)*CARBP</f>
        <v>3533.9352100840333</v>
      </c>
      <c r="O16" s="39">
        <f>'Financial CBA – Uvurkhangai'!O18*IMP*SCF+(CARB_SOL)*CARBP</f>
        <v>3533.9352100840333</v>
      </c>
      <c r="P16" s="39">
        <f>'Financial CBA – Uvurkhangai'!P18*IMP*SCF+(CARB_SOL)*CARBP</f>
        <v>3533.9352100840333</v>
      </c>
      <c r="Q16" s="39">
        <f>'Financial CBA – Uvurkhangai'!Q18*IMP*SCF+(CARB_SOL)*CARBP</f>
        <v>3533.9352100840333</v>
      </c>
      <c r="R16" s="39">
        <f>'Financial CBA – Uvurkhangai'!R18*IMP*SCF+(CARB_SOL)*CARBP</f>
        <v>3533.9352100840333</v>
      </c>
      <c r="T16" s="11" t="s">
        <v>241</v>
      </c>
      <c r="U16" s="26">
        <f>IFERROR(IRR(C19:R19),"n/a")</f>
        <v>0.52742240018098796</v>
      </c>
    </row>
    <row r="17" spans="1:21" x14ac:dyDescent="0.3">
      <c r="A17" s="11" t="s">
        <v>242</v>
      </c>
      <c r="C17" s="39">
        <f>'Financial CBA – Uvurkhangai'!C17*SCF</f>
        <v>5881.5</v>
      </c>
      <c r="D17" s="39">
        <f>'Financial CBA – Uvurkhangai'!D17*SCF</f>
        <v>0</v>
      </c>
      <c r="E17" s="39">
        <f>'Financial CBA – Uvurkhangai'!E17*SCF</f>
        <v>0</v>
      </c>
      <c r="F17" s="39">
        <f>'Financial CBA – Uvurkhangai'!F17*SCF</f>
        <v>0</v>
      </c>
      <c r="G17" s="39">
        <f>'Financial CBA – Uvurkhangai'!G17*SCF</f>
        <v>0</v>
      </c>
      <c r="H17" s="39">
        <f>'Financial CBA – Uvurkhangai'!H17*SCF</f>
        <v>0</v>
      </c>
      <c r="I17" s="39">
        <f>'Financial CBA – Uvurkhangai'!I17*SCF</f>
        <v>0</v>
      </c>
      <c r="J17" s="39">
        <f>'Financial CBA – Uvurkhangai'!J17*SCF</f>
        <v>194.4</v>
      </c>
      <c r="K17" s="39">
        <f>'Financial CBA – Uvurkhangai'!K17*SCF</f>
        <v>0</v>
      </c>
      <c r="L17" s="39">
        <f>'Financial CBA – Uvurkhangai'!L17*SCF</f>
        <v>0</v>
      </c>
      <c r="M17" s="39">
        <f>'Financial CBA – Uvurkhangai'!M17*SCF</f>
        <v>1620</v>
      </c>
      <c r="N17" s="39">
        <f>'Financial CBA – Uvurkhangai'!N17*SCF</f>
        <v>0</v>
      </c>
      <c r="O17" s="39">
        <f>'Financial CBA – Uvurkhangai'!O17*SCF</f>
        <v>50.625</v>
      </c>
      <c r="P17" s="39">
        <f>'Financial CBA – Uvurkhangai'!P17*SCF</f>
        <v>0</v>
      </c>
      <c r="Q17" s="39">
        <f>'Financial CBA – Uvurkhangai'!Q17*SCF</f>
        <v>194.4</v>
      </c>
      <c r="R17" s="39">
        <f>'Financial CBA – Uvurkhangai'!R17*SCF</f>
        <v>0</v>
      </c>
      <c r="T17" s="27" t="s">
        <v>243</v>
      </c>
      <c r="U17" s="33">
        <f>C19+NPV(DR_ECON,D19:R19)</f>
        <v>19921.57251203635</v>
      </c>
    </row>
    <row r="18" spans="1:21" x14ac:dyDescent="0.3">
      <c r="A18" s="11" t="s">
        <v>244</v>
      </c>
      <c r="C18" s="39">
        <f>'Financial CBA – Uvurkhangai'!C19*SCF</f>
        <v>0</v>
      </c>
      <c r="D18" s="39">
        <f>'Financial CBA – Uvurkhangai'!D19*SCF</f>
        <v>408.375</v>
      </c>
      <c r="E18" s="39">
        <f>'Financial CBA – Uvurkhangai'!E19*SCF</f>
        <v>408.375</v>
      </c>
      <c r="F18" s="39">
        <f>'Financial CBA – Uvurkhangai'!F19*SCF</f>
        <v>408.375</v>
      </c>
      <c r="G18" s="39">
        <f>'Financial CBA – Uvurkhangai'!G19*SCF</f>
        <v>408.375</v>
      </c>
      <c r="H18" s="39">
        <f>'Financial CBA – Uvurkhangai'!H19*SCF</f>
        <v>408.375</v>
      </c>
      <c r="I18" s="39">
        <f>'Financial CBA – Uvurkhangai'!I19*SCF</f>
        <v>408.375</v>
      </c>
      <c r="J18" s="39">
        <f>'Financial CBA – Uvurkhangai'!J19*SCF</f>
        <v>408.375</v>
      </c>
      <c r="K18" s="39">
        <f>'Financial CBA – Uvurkhangai'!K19*SCF</f>
        <v>408.375</v>
      </c>
      <c r="L18" s="39">
        <f>'Financial CBA – Uvurkhangai'!L19*SCF</f>
        <v>408.375</v>
      </c>
      <c r="M18" s="39">
        <f>'Financial CBA – Uvurkhangai'!M19*SCF</f>
        <v>408.375</v>
      </c>
      <c r="N18" s="39">
        <f>'Financial CBA – Uvurkhangai'!N19*SCF</f>
        <v>408.375</v>
      </c>
      <c r="O18" s="39">
        <f>'Financial CBA – Uvurkhangai'!O19*SCF</f>
        <v>408.375</v>
      </c>
      <c r="P18" s="39">
        <f>'Financial CBA – Uvurkhangai'!P19*SCF</f>
        <v>408.375</v>
      </c>
      <c r="Q18" s="39">
        <f>'Financial CBA – Uvurkhangai'!Q19*SCF</f>
        <v>408.375</v>
      </c>
      <c r="R18" s="39">
        <f>'Financial CBA – Uvurkhangai'!R19*SCF</f>
        <v>408.375</v>
      </c>
      <c r="T18" s="11" t="s">
        <v>245</v>
      </c>
      <c r="U18" s="34">
        <f>(SUMPRODUCT(C16:R16,C5:R5))/(SUMPRODUCT((C17:R17+C18:R18),C5:R5))</f>
        <v>2.9290632627108808</v>
      </c>
    </row>
    <row r="19" spans="1:21" x14ac:dyDescent="0.3">
      <c r="A19" s="27" t="s">
        <v>246</v>
      </c>
      <c r="C19" s="35">
        <f t="shared" ref="C19:R19" si="2">C16-C18-C17</f>
        <v>-5881.5</v>
      </c>
      <c r="D19" s="35">
        <f t="shared" si="2"/>
        <v>3125.5602100840333</v>
      </c>
      <c r="E19" s="35">
        <f t="shared" si="2"/>
        <v>3125.5602100840333</v>
      </c>
      <c r="F19" s="35">
        <f t="shared" si="2"/>
        <v>3125.5602100840333</v>
      </c>
      <c r="G19" s="35">
        <f t="shared" si="2"/>
        <v>3125.5602100840333</v>
      </c>
      <c r="H19" s="35">
        <f t="shared" si="2"/>
        <v>3125.5602100840333</v>
      </c>
      <c r="I19" s="35">
        <f t="shared" si="2"/>
        <v>3125.5602100840333</v>
      </c>
      <c r="J19" s="35">
        <f t="shared" si="2"/>
        <v>2931.1602100840332</v>
      </c>
      <c r="K19" s="35">
        <f t="shared" si="2"/>
        <v>3125.5602100840333</v>
      </c>
      <c r="L19" s="35">
        <f t="shared" si="2"/>
        <v>3125.5602100840333</v>
      </c>
      <c r="M19" s="35">
        <f t="shared" si="2"/>
        <v>1505.5602100840333</v>
      </c>
      <c r="N19" s="35">
        <f t="shared" si="2"/>
        <v>3125.5602100840333</v>
      </c>
      <c r="O19" s="35">
        <f t="shared" si="2"/>
        <v>3074.9352100840333</v>
      </c>
      <c r="P19" s="35">
        <f t="shared" si="2"/>
        <v>3125.5602100840333</v>
      </c>
      <c r="Q19" s="35">
        <f t="shared" si="2"/>
        <v>2931.1602100840332</v>
      </c>
      <c r="R19" s="35">
        <f t="shared" si="2"/>
        <v>3125.5602100840333</v>
      </c>
      <c r="T19" s="11" t="s">
        <v>225</v>
      </c>
      <c r="U19" s="36">
        <f>IF(SUMPRODUCT(--(C20:R20&lt;0))&gt;15,"&gt;15",SUMPRODUCT(--(C20:R20&lt;0)))</f>
        <v>2</v>
      </c>
    </row>
    <row r="20" spans="1:21" x14ac:dyDescent="0.3">
      <c r="A20" s="37" t="s">
        <v>247</v>
      </c>
      <c r="C20" s="38">
        <f>C19</f>
        <v>-5881.5</v>
      </c>
      <c r="D20" s="38">
        <f t="shared" ref="D20:R20" si="3">C20+D19</f>
        <v>-2755.9397899159667</v>
      </c>
      <c r="E20" s="38">
        <f t="shared" si="3"/>
        <v>369.62042016806663</v>
      </c>
      <c r="F20" s="38">
        <f t="shared" si="3"/>
        <v>3495.1806302520999</v>
      </c>
      <c r="G20" s="38">
        <f t="shared" si="3"/>
        <v>6620.7408403361333</v>
      </c>
      <c r="H20" s="38">
        <f t="shared" si="3"/>
        <v>9746.3010504201666</v>
      </c>
      <c r="I20" s="38">
        <f t="shared" si="3"/>
        <v>12871.8612605042</v>
      </c>
      <c r="J20" s="38">
        <f t="shared" si="3"/>
        <v>15803.021470588234</v>
      </c>
      <c r="K20" s="38">
        <f t="shared" si="3"/>
        <v>18928.581680672265</v>
      </c>
      <c r="L20" s="38">
        <f t="shared" si="3"/>
        <v>22054.141890756298</v>
      </c>
      <c r="M20" s="38">
        <f t="shared" si="3"/>
        <v>23559.702100840332</v>
      </c>
      <c r="N20" s="38">
        <f t="shared" si="3"/>
        <v>26685.262310924365</v>
      </c>
      <c r="O20" s="38">
        <f t="shared" si="3"/>
        <v>29760.197521008398</v>
      </c>
      <c r="P20" s="38">
        <f t="shared" si="3"/>
        <v>32885.757731092432</v>
      </c>
      <c r="Q20" s="38">
        <f t="shared" si="3"/>
        <v>35816.917941176464</v>
      </c>
      <c r="R20" s="38">
        <f t="shared" si="3"/>
        <v>38942.478151260497</v>
      </c>
    </row>
    <row r="22" spans="1:21" x14ac:dyDescent="0.3">
      <c r="A22" s="57" t="s">
        <v>329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</row>
    <row r="23" spans="1:21" x14ac:dyDescent="0.3">
      <c r="A23" s="11" t="s">
        <v>240</v>
      </c>
      <c r="C23" s="39">
        <f>'Financial CBA – Uvurkhangai'!C25*IMP*SCF</f>
        <v>0</v>
      </c>
      <c r="D23" s="39">
        <f>'Financial CBA – Uvurkhangai'!D25*IMP*SCF+(CARB_SOL+CARB_AG*D6)*CARBP</f>
        <v>-85.151029411764696</v>
      </c>
      <c r="E23" s="39">
        <f>'Financial CBA – Uvurkhangai'!E25*IMP*SCF+(CARB_SOL+CARB_AG*E6)*CARBP</f>
        <v>-85.151029411764696</v>
      </c>
      <c r="F23" s="39">
        <f>'Financial CBA – Uvurkhangai'!F25*IMP*SCF+(CARB_SOL+CARB_AG*F6)*CARBP</f>
        <v>-36.064894957983192</v>
      </c>
      <c r="G23" s="39">
        <f>'Financial CBA – Uvurkhangai'!G25*IMP*SCF+(CARB_SOL+CARB_AG*G6)*CARBP</f>
        <v>13.021239495798323</v>
      </c>
      <c r="H23" s="39">
        <f>'Financial CBA – Uvurkhangai'!H25*IMP*SCF+(CARB_SOL+CARB_AG*H6)*CARBP</f>
        <v>62.107373949579845</v>
      </c>
      <c r="I23" s="39">
        <f>'Financial CBA – Uvurkhangai'!I25*IMP*SCF+(CARB_SOL+CARB_AG*I6)*CARBP</f>
        <v>115.75359663865545</v>
      </c>
      <c r="J23" s="39">
        <f>'Financial CBA – Uvurkhangai'!J25*IMP*SCF+(CARB_SOL+CARB_AG*J6)*CARBP</f>
        <v>115.75359663865545</v>
      </c>
      <c r="K23" s="39">
        <f>'Financial CBA – Uvurkhangai'!K25*IMP*SCF+(CARB_SOL+CARB_AG*K6)*CARBP</f>
        <v>115.75359663865545</v>
      </c>
      <c r="L23" s="39">
        <f>'Financial CBA – Uvurkhangai'!L25*IMP*SCF+(CARB_SOL+CARB_AG*L6)*CARBP</f>
        <v>115.75359663865545</v>
      </c>
      <c r="M23" s="39">
        <f>'Financial CBA – Uvurkhangai'!M25*IMP*SCF+(CARB_SOL+CARB_AG*M6)*CARBP</f>
        <v>115.75359663865545</v>
      </c>
      <c r="N23" s="39">
        <f>'Financial CBA – Uvurkhangai'!N25*IMP*SCF+(CARB_SOL+CARB_AG*N6)*CARBP</f>
        <v>115.75359663865545</v>
      </c>
      <c r="O23" s="39">
        <f>'Financial CBA – Uvurkhangai'!O25*IMP*SCF+(CARB_SOL+CARB_AG*O6)*CARBP</f>
        <v>115.75359663865545</v>
      </c>
      <c r="P23" s="39">
        <f>'Financial CBA – Uvurkhangai'!P25*IMP*SCF+(CARB_SOL+CARB_AG*P6)*CARBP</f>
        <v>115.75359663865545</v>
      </c>
      <c r="Q23" s="39">
        <f>'Financial CBA – Uvurkhangai'!Q25*IMP*SCF+(CARB_SOL+CARB_AG*Q6)*CARBP</f>
        <v>115.75359663865545</v>
      </c>
      <c r="R23" s="39">
        <f>'Financial CBA – Uvurkhangai'!R25*IMP*SCF+(CARB_SOL+CARB_AG*R6)*CARBP</f>
        <v>115.75359663865545</v>
      </c>
      <c r="T23" s="11" t="s">
        <v>241</v>
      </c>
      <c r="U23" s="26">
        <f>IFERROR(IRR(C26:R26),"n/a")</f>
        <v>1.1419899250841858E-4</v>
      </c>
    </row>
    <row r="24" spans="1:21" x14ac:dyDescent="0.3">
      <c r="A24" s="11" t="s">
        <v>242</v>
      </c>
      <c r="C24" s="39">
        <f>'Financial CBA – Uvurkhangai'!C24*SCF</f>
        <v>648</v>
      </c>
      <c r="D24" s="39">
        <f>'Financial CBA – Uvurkhangai'!D24*SCF</f>
        <v>0</v>
      </c>
      <c r="E24" s="39">
        <f>'Financial CBA – Uvurkhangai'!E24*SCF</f>
        <v>33.075000000000003</v>
      </c>
      <c r="F24" s="39">
        <f>'Financial CBA – Uvurkhangai'!F24*SCF</f>
        <v>0</v>
      </c>
      <c r="G24" s="39">
        <f>'Financial CBA – Uvurkhangai'!G24*SCF</f>
        <v>0</v>
      </c>
      <c r="H24" s="39">
        <f>'Financial CBA – Uvurkhangai'!H24*SCF</f>
        <v>0</v>
      </c>
      <c r="I24" s="39">
        <f>'Financial CBA – Uvurkhangai'!I24*SCF</f>
        <v>0</v>
      </c>
      <c r="J24" s="39">
        <f>'Financial CBA – Uvurkhangai'!J24*SCF</f>
        <v>121.5</v>
      </c>
      <c r="K24" s="39">
        <f>'Financial CBA – Uvurkhangai'!K24*SCF</f>
        <v>0</v>
      </c>
      <c r="L24" s="39">
        <f>'Financial CBA – Uvurkhangai'!L24*SCF</f>
        <v>0</v>
      </c>
      <c r="M24" s="39">
        <f>'Financial CBA – Uvurkhangai'!M24*SCF</f>
        <v>0</v>
      </c>
      <c r="N24" s="39">
        <f>'Financial CBA – Uvurkhangai'!N24*SCF</f>
        <v>0</v>
      </c>
      <c r="O24" s="39">
        <f>'Financial CBA – Uvurkhangai'!O24*SCF</f>
        <v>50.625</v>
      </c>
      <c r="P24" s="39">
        <f>'Financial CBA – Uvurkhangai'!P24*SCF</f>
        <v>0</v>
      </c>
      <c r="Q24" s="39">
        <f>'Financial CBA – Uvurkhangai'!Q24*SCF</f>
        <v>121.5</v>
      </c>
      <c r="R24" s="39">
        <f>'Financial CBA – Uvurkhangai'!R24*SCF</f>
        <v>0</v>
      </c>
      <c r="T24" s="27" t="s">
        <v>243</v>
      </c>
      <c r="U24" s="33">
        <f>C26+NPV(DR_ECON,D26:R26)</f>
        <v>-437.62487965216229</v>
      </c>
    </row>
    <row r="25" spans="1:21" x14ac:dyDescent="0.3">
      <c r="A25" s="11" t="s">
        <v>244</v>
      </c>
      <c r="C25" s="39">
        <f>'Financial CBA – Uvurkhangai'!C26*SCF</f>
        <v>0</v>
      </c>
      <c r="D25" s="39">
        <f>'Financial CBA – Uvurkhangai'!D26*SCF</f>
        <v>3.375</v>
      </c>
      <c r="E25" s="39">
        <f>'Financial CBA – Uvurkhangai'!E26*SCF</f>
        <v>3.375</v>
      </c>
      <c r="F25" s="39">
        <f>'Financial CBA – Uvurkhangai'!F26*SCF</f>
        <v>3.375</v>
      </c>
      <c r="G25" s="39">
        <f>'Financial CBA – Uvurkhangai'!G26*SCF</f>
        <v>3.375</v>
      </c>
      <c r="H25" s="39">
        <f>'Financial CBA – Uvurkhangai'!H26*SCF</f>
        <v>3.375</v>
      </c>
      <c r="I25" s="39">
        <f>'Financial CBA – Uvurkhangai'!I26*SCF</f>
        <v>3.375</v>
      </c>
      <c r="J25" s="39">
        <f>'Financial CBA – Uvurkhangai'!J26*SCF</f>
        <v>3.375</v>
      </c>
      <c r="K25" s="39">
        <f>'Financial CBA – Uvurkhangai'!K26*SCF</f>
        <v>3.375</v>
      </c>
      <c r="L25" s="39">
        <f>'Financial CBA – Uvurkhangai'!L26*SCF</f>
        <v>3.375</v>
      </c>
      <c r="M25" s="39">
        <f>'Financial CBA – Uvurkhangai'!M26*SCF</f>
        <v>3.375</v>
      </c>
      <c r="N25" s="39">
        <f>'Financial CBA – Uvurkhangai'!N26*SCF</f>
        <v>3.375</v>
      </c>
      <c r="O25" s="39">
        <f>'Financial CBA – Uvurkhangai'!O26*SCF</f>
        <v>3.375</v>
      </c>
      <c r="P25" s="39">
        <f>'Financial CBA – Uvurkhangai'!P26*SCF</f>
        <v>3.375</v>
      </c>
      <c r="Q25" s="39">
        <f>'Financial CBA – Uvurkhangai'!Q26*SCF</f>
        <v>3.375</v>
      </c>
      <c r="R25" s="39">
        <f>'Financial CBA – Uvurkhangai'!R26*SCF</f>
        <v>3.375</v>
      </c>
      <c r="T25" s="11" t="s">
        <v>245</v>
      </c>
      <c r="U25" s="34">
        <f>(SUMPRODUCT(C23:R23,C5:R5))/(SUMPRODUCT((C24:R24+C25:R25),C5:R5))</f>
        <v>0.47753064562459152</v>
      </c>
    </row>
    <row r="26" spans="1:21" x14ac:dyDescent="0.3">
      <c r="A26" s="27" t="s">
        <v>246</v>
      </c>
      <c r="C26" s="35">
        <f t="shared" ref="C26:R26" si="4">C23-C25-C24</f>
        <v>-648</v>
      </c>
      <c r="D26" s="35">
        <f t="shared" si="4"/>
        <v>-88.526029411764696</v>
      </c>
      <c r="E26" s="35">
        <f t="shared" si="4"/>
        <v>-121.6010294117647</v>
      </c>
      <c r="F26" s="35">
        <f t="shared" si="4"/>
        <v>-39.439894957983192</v>
      </c>
      <c r="G26" s="35">
        <f t="shared" si="4"/>
        <v>9.6462394957983228</v>
      </c>
      <c r="H26" s="35">
        <f t="shared" si="4"/>
        <v>58.732373949579845</v>
      </c>
      <c r="I26" s="35">
        <f t="shared" si="4"/>
        <v>112.37859663865545</v>
      </c>
      <c r="J26" s="35">
        <f t="shared" si="4"/>
        <v>-9.121403361344548</v>
      </c>
      <c r="K26" s="35">
        <f t="shared" si="4"/>
        <v>112.37859663865545</v>
      </c>
      <c r="L26" s="35">
        <f t="shared" si="4"/>
        <v>112.37859663865545</v>
      </c>
      <c r="M26" s="35">
        <f t="shared" si="4"/>
        <v>112.37859663865545</v>
      </c>
      <c r="N26" s="35">
        <f t="shared" si="4"/>
        <v>112.37859663865545</v>
      </c>
      <c r="O26" s="35">
        <f t="shared" si="4"/>
        <v>61.753596638655452</v>
      </c>
      <c r="P26" s="35">
        <f t="shared" si="4"/>
        <v>112.37859663865545</v>
      </c>
      <c r="Q26" s="35">
        <f t="shared" si="4"/>
        <v>-9.121403361344548</v>
      </c>
      <c r="R26" s="35">
        <f t="shared" si="4"/>
        <v>112.37859663865545</v>
      </c>
      <c r="T26" s="11" t="s">
        <v>225</v>
      </c>
      <c r="U26" s="36">
        <f>IF(SUMPRODUCT(--(C27:R27&lt;0))&gt;15,"&gt;15",SUMPRODUCT(--(C27:R27&lt;0)))</f>
        <v>15</v>
      </c>
    </row>
    <row r="27" spans="1:21" x14ac:dyDescent="0.3">
      <c r="A27" s="37" t="s">
        <v>247</v>
      </c>
      <c r="C27" s="38">
        <f>C26</f>
        <v>-648</v>
      </c>
      <c r="D27" s="38">
        <f t="shared" ref="D27:R27" si="5">C27+D26</f>
        <v>-736.52602941176474</v>
      </c>
      <c r="E27" s="38">
        <f t="shared" si="5"/>
        <v>-858.12705882352941</v>
      </c>
      <c r="F27" s="38">
        <f t="shared" si="5"/>
        <v>-897.56695378151255</v>
      </c>
      <c r="G27" s="38">
        <f t="shared" si="5"/>
        <v>-887.92071428571421</v>
      </c>
      <c r="H27" s="38">
        <f t="shared" si="5"/>
        <v>-829.18834033613439</v>
      </c>
      <c r="I27" s="38">
        <f t="shared" si="5"/>
        <v>-716.80974369747889</v>
      </c>
      <c r="J27" s="38">
        <f t="shared" si="5"/>
        <v>-725.9311470588234</v>
      </c>
      <c r="K27" s="38">
        <f t="shared" si="5"/>
        <v>-613.5525504201679</v>
      </c>
      <c r="L27" s="38">
        <f t="shared" si="5"/>
        <v>-501.17395378151247</v>
      </c>
      <c r="M27" s="38">
        <f t="shared" si="5"/>
        <v>-388.79535714285703</v>
      </c>
      <c r="N27" s="38">
        <f t="shared" si="5"/>
        <v>-276.41676050420159</v>
      </c>
      <c r="O27" s="38">
        <f t="shared" si="5"/>
        <v>-214.66316386554615</v>
      </c>
      <c r="P27" s="38">
        <f t="shared" si="5"/>
        <v>-102.2845672268907</v>
      </c>
      <c r="Q27" s="38">
        <f t="shared" si="5"/>
        <v>-111.40597058823525</v>
      </c>
      <c r="R27" s="38">
        <f t="shared" si="5"/>
        <v>0.97262605042020311</v>
      </c>
    </row>
    <row r="29" spans="1:21" x14ac:dyDescent="0.3">
      <c r="A29" s="57" t="s">
        <v>330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</row>
    <row r="30" spans="1:21" x14ac:dyDescent="0.3">
      <c r="A30" s="11" t="s">
        <v>240</v>
      </c>
      <c r="C30" s="39">
        <f>'Financial CBA – Uvurkhangai'!C32*IMP*SCF</f>
        <v>0</v>
      </c>
      <c r="D30" s="39">
        <f>'Financial CBA – Uvurkhangai'!D32*IMP*SCF+(CARB_SOL+CARB_AG*D6)*CARBP</f>
        <v>3740.6864621848736</v>
      </c>
      <c r="E30" s="39">
        <f>'Financial CBA – Uvurkhangai'!E32*IMP*SCF+(CARB_SOL+CARB_AG*E6)*CARBP</f>
        <v>3740.6864621848736</v>
      </c>
      <c r="F30" s="39">
        <f>'Financial CBA – Uvurkhangai'!F32*IMP*SCF+(CARB_SOL+CARB_AG*F6)*CARBP</f>
        <v>3789.7725966386552</v>
      </c>
      <c r="G30" s="39">
        <f>'Financial CBA – Uvurkhangai'!G32*IMP*SCF+(CARB_SOL+CARB_AG*G6)*CARBP</f>
        <v>3838.8587310924368</v>
      </c>
      <c r="H30" s="39">
        <f>'Financial CBA – Uvurkhangai'!H32*IMP*SCF+(CARB_SOL+CARB_AG*H6)*CARBP</f>
        <v>3887.9448655462184</v>
      </c>
      <c r="I30" s="39">
        <f>'Financial CBA – Uvurkhangai'!I32*IMP*SCF+(CARB_SOL+CARB_AG*I6)*CARBP</f>
        <v>3941.5910882352941</v>
      </c>
      <c r="J30" s="39">
        <f>'Financial CBA – Uvurkhangai'!J32*IMP*SCF+(CARB_SOL+CARB_AG*J6)*CARBP</f>
        <v>3941.5910882352941</v>
      </c>
      <c r="K30" s="39">
        <f>'Financial CBA – Uvurkhangai'!K32*IMP*SCF+(CARB_SOL+CARB_AG*K6)*CARBP</f>
        <v>3941.5910882352941</v>
      </c>
      <c r="L30" s="39">
        <f>'Financial CBA – Uvurkhangai'!L32*IMP*SCF+(CARB_SOL+CARB_AG*L6)*CARBP</f>
        <v>3941.5910882352941</v>
      </c>
      <c r="M30" s="39">
        <f>'Financial CBA – Uvurkhangai'!M32*IMP*SCF+(CARB_SOL+CARB_AG*M6)*CARBP</f>
        <v>3941.5910882352941</v>
      </c>
      <c r="N30" s="39">
        <f>'Financial CBA – Uvurkhangai'!N32*IMP*SCF+(CARB_SOL+CARB_AG*N6)*CARBP</f>
        <v>3941.5910882352941</v>
      </c>
      <c r="O30" s="39">
        <f>'Financial CBA – Uvurkhangai'!O32*IMP*SCF+(CARB_SOL+CARB_AG*O6)*CARBP</f>
        <v>3941.5910882352941</v>
      </c>
      <c r="P30" s="39">
        <f>'Financial CBA – Uvurkhangai'!P32*IMP*SCF+(CARB_SOL+CARB_AG*P6)*CARBP</f>
        <v>3941.5910882352941</v>
      </c>
      <c r="Q30" s="39">
        <f>'Financial CBA – Uvurkhangai'!Q32*IMP*SCF+(CARB_SOL+CARB_AG*Q6)*CARBP</f>
        <v>3941.5910882352941</v>
      </c>
      <c r="R30" s="39">
        <f>'Financial CBA – Uvurkhangai'!R32*IMP*SCF+(CARB_SOL+CARB_AG*R6)*CARBP</f>
        <v>3941.5910882352941</v>
      </c>
      <c r="T30" s="11" t="s">
        <v>241</v>
      </c>
      <c r="U30" s="26">
        <f>IFERROR(IRR(C33:R33),"n/a")</f>
        <v>0.51274347624634653</v>
      </c>
    </row>
    <row r="31" spans="1:21" x14ac:dyDescent="0.3">
      <c r="A31" s="11" t="s">
        <v>242</v>
      </c>
      <c r="C31" s="39">
        <f>'Financial CBA – Uvurkhangai'!C31*SCF</f>
        <v>6169.5</v>
      </c>
      <c r="D31" s="39">
        <f>'Financial CBA – Uvurkhangai'!D31*SCF</f>
        <v>0</v>
      </c>
      <c r="E31" s="39">
        <f>'Financial CBA – Uvurkhangai'!E31*SCF</f>
        <v>33.075000000000003</v>
      </c>
      <c r="F31" s="39">
        <f>'Financial CBA – Uvurkhangai'!F31*SCF</f>
        <v>0</v>
      </c>
      <c r="G31" s="39">
        <f>'Financial CBA – Uvurkhangai'!G31*SCF</f>
        <v>0</v>
      </c>
      <c r="H31" s="39">
        <f>'Financial CBA – Uvurkhangai'!H31*SCF</f>
        <v>0</v>
      </c>
      <c r="I31" s="39">
        <f>'Financial CBA – Uvurkhangai'!I31*SCF</f>
        <v>0</v>
      </c>
      <c r="J31" s="39">
        <f>'Financial CBA – Uvurkhangai'!J31*SCF</f>
        <v>194.4</v>
      </c>
      <c r="K31" s="39">
        <f>'Financial CBA – Uvurkhangai'!K31*SCF</f>
        <v>0</v>
      </c>
      <c r="L31" s="39">
        <f>'Financial CBA – Uvurkhangai'!L31*SCF</f>
        <v>0</v>
      </c>
      <c r="M31" s="39">
        <f>'Financial CBA – Uvurkhangai'!M31*SCF</f>
        <v>1620</v>
      </c>
      <c r="N31" s="39">
        <f>'Financial CBA – Uvurkhangai'!N31*SCF</f>
        <v>0</v>
      </c>
      <c r="O31" s="39">
        <f>'Financial CBA – Uvurkhangai'!O31*SCF</f>
        <v>50.625</v>
      </c>
      <c r="P31" s="39">
        <f>'Financial CBA – Uvurkhangai'!P31*SCF</f>
        <v>0</v>
      </c>
      <c r="Q31" s="39">
        <f>'Financial CBA – Uvurkhangai'!Q31*SCF</f>
        <v>194.4</v>
      </c>
      <c r="R31" s="39">
        <f>'Financial CBA – Uvurkhangai'!R31*SCF</f>
        <v>0</v>
      </c>
      <c r="T31" s="27" t="s">
        <v>243</v>
      </c>
      <c r="U31" s="33">
        <f>C33+NPV(DR_ECON,D33:R33)</f>
        <v>20900.063251327876</v>
      </c>
    </row>
    <row r="32" spans="1:21" x14ac:dyDescent="0.3">
      <c r="A32" s="11" t="s">
        <v>244</v>
      </c>
      <c r="C32" s="39">
        <f>'Financial CBA – Uvurkhangai'!C33*SCF</f>
        <v>0</v>
      </c>
      <c r="D32" s="39">
        <f>'Financial CBA – Uvurkhangai'!D33*SCF</f>
        <v>595.73079831932773</v>
      </c>
      <c r="E32" s="39">
        <f>'Financial CBA – Uvurkhangai'!E33*SCF</f>
        <v>595.73079831932773</v>
      </c>
      <c r="F32" s="39">
        <f>'Financial CBA – Uvurkhangai'!F33*SCF</f>
        <v>595.73079831932773</v>
      </c>
      <c r="G32" s="39">
        <f>'Financial CBA – Uvurkhangai'!G33*SCF</f>
        <v>595.73079831932773</v>
      </c>
      <c r="H32" s="39">
        <f>'Financial CBA – Uvurkhangai'!H33*SCF</f>
        <v>595.73079831932773</v>
      </c>
      <c r="I32" s="39">
        <f>'Financial CBA – Uvurkhangai'!I33*SCF</f>
        <v>595.73079831932773</v>
      </c>
      <c r="J32" s="39">
        <f>'Financial CBA – Uvurkhangai'!J33*SCF</f>
        <v>595.73079831932773</v>
      </c>
      <c r="K32" s="39">
        <f>'Financial CBA – Uvurkhangai'!K33*SCF</f>
        <v>595.73079831932773</v>
      </c>
      <c r="L32" s="39">
        <f>'Financial CBA – Uvurkhangai'!L33*SCF</f>
        <v>595.73079831932773</v>
      </c>
      <c r="M32" s="39">
        <f>'Financial CBA – Uvurkhangai'!M33*SCF</f>
        <v>595.73079831932773</v>
      </c>
      <c r="N32" s="39">
        <f>'Financial CBA – Uvurkhangai'!N33*SCF</f>
        <v>595.73079831932773</v>
      </c>
      <c r="O32" s="39">
        <f>'Financial CBA – Uvurkhangai'!O33*SCF</f>
        <v>595.73079831932773</v>
      </c>
      <c r="P32" s="39">
        <f>'Financial CBA – Uvurkhangai'!P33*SCF</f>
        <v>595.73079831932773</v>
      </c>
      <c r="Q32" s="39">
        <f>'Financial CBA – Uvurkhangai'!Q33*SCF</f>
        <v>595.73079831932773</v>
      </c>
      <c r="R32" s="39">
        <f>'Financial CBA – Uvurkhangai'!R33*SCF</f>
        <v>595.73079831932773</v>
      </c>
      <c r="T32" s="11" t="s">
        <v>245</v>
      </c>
      <c r="U32" s="34">
        <f>(SUMPRODUCT(C30:R30,C5:R5))/(SUMPRODUCT((C31:R31+C32:R32),C5:R5))</f>
        <v>2.7065322976885722</v>
      </c>
    </row>
    <row r="33" spans="1:21" x14ac:dyDescent="0.3">
      <c r="A33" s="27" t="s">
        <v>246</v>
      </c>
      <c r="C33" s="35">
        <f t="shared" ref="C33:R33" si="6">C30-C32-C31</f>
        <v>-6169.5</v>
      </c>
      <c r="D33" s="35">
        <f t="shared" si="6"/>
        <v>3144.9556638655458</v>
      </c>
      <c r="E33" s="35">
        <f t="shared" si="6"/>
        <v>3111.880663865546</v>
      </c>
      <c r="F33" s="35">
        <f t="shared" si="6"/>
        <v>3194.0417983193274</v>
      </c>
      <c r="G33" s="35">
        <f t="shared" si="6"/>
        <v>3243.127932773109</v>
      </c>
      <c r="H33" s="35">
        <f t="shared" si="6"/>
        <v>3292.2140672268906</v>
      </c>
      <c r="I33" s="35">
        <f t="shared" si="6"/>
        <v>3345.8602899159664</v>
      </c>
      <c r="J33" s="35">
        <f t="shared" si="6"/>
        <v>3151.4602899159663</v>
      </c>
      <c r="K33" s="35">
        <f t="shared" si="6"/>
        <v>3345.8602899159664</v>
      </c>
      <c r="L33" s="35">
        <f t="shared" si="6"/>
        <v>3345.8602899159664</v>
      </c>
      <c r="M33" s="35">
        <f t="shared" si="6"/>
        <v>1725.8602899159664</v>
      </c>
      <c r="N33" s="35">
        <f t="shared" si="6"/>
        <v>3345.8602899159664</v>
      </c>
      <c r="O33" s="35">
        <f t="shared" si="6"/>
        <v>3295.2352899159664</v>
      </c>
      <c r="P33" s="35">
        <f t="shared" si="6"/>
        <v>3345.8602899159664</v>
      </c>
      <c r="Q33" s="35">
        <f t="shared" si="6"/>
        <v>3151.4602899159663</v>
      </c>
      <c r="R33" s="35">
        <f t="shared" si="6"/>
        <v>3345.8602899159664</v>
      </c>
      <c r="T33" s="11" t="s">
        <v>225</v>
      </c>
      <c r="U33" s="36">
        <f>IF(SUMPRODUCT(--(C34:R34&lt;0))&gt;15,"&gt;15",SUMPRODUCT(--(C34:R34&lt;0)))</f>
        <v>2</v>
      </c>
    </row>
    <row r="34" spans="1:21" x14ac:dyDescent="0.3">
      <c r="A34" s="37" t="s">
        <v>247</v>
      </c>
      <c r="C34" s="38">
        <f>C33</f>
        <v>-6169.5</v>
      </c>
      <c r="D34" s="38">
        <f t="shared" ref="D34:R34" si="7">C34+D33</f>
        <v>-3024.5443361344542</v>
      </c>
      <c r="E34" s="38">
        <f t="shared" si="7"/>
        <v>87.336327731091842</v>
      </c>
      <c r="F34" s="38">
        <f t="shared" si="7"/>
        <v>3281.3781260504193</v>
      </c>
      <c r="G34" s="38">
        <f t="shared" si="7"/>
        <v>6524.5060588235283</v>
      </c>
      <c r="H34" s="38">
        <f t="shared" si="7"/>
        <v>9816.7201260504189</v>
      </c>
      <c r="I34" s="38">
        <f t="shared" si="7"/>
        <v>13162.580415966386</v>
      </c>
      <c r="J34" s="38">
        <f t="shared" si="7"/>
        <v>16314.040705882351</v>
      </c>
      <c r="K34" s="38">
        <f t="shared" si="7"/>
        <v>19659.900995798318</v>
      </c>
      <c r="L34" s="38">
        <f t="shared" si="7"/>
        <v>23005.761285714285</v>
      </c>
      <c r="M34" s="38">
        <f t="shared" si="7"/>
        <v>24731.621575630252</v>
      </c>
      <c r="N34" s="38">
        <f t="shared" si="7"/>
        <v>28077.481865546219</v>
      </c>
      <c r="O34" s="38">
        <f t="shared" si="7"/>
        <v>31372.717155462185</v>
      </c>
      <c r="P34" s="38">
        <f t="shared" si="7"/>
        <v>34718.577445378149</v>
      </c>
      <c r="Q34" s="38">
        <f t="shared" si="7"/>
        <v>37870.037735294114</v>
      </c>
      <c r="R34" s="38">
        <f t="shared" si="7"/>
        <v>41215.898025210081</v>
      </c>
    </row>
    <row r="36" spans="1:21" x14ac:dyDescent="0.3">
      <c r="A36" s="57" t="s">
        <v>331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</row>
    <row r="37" spans="1:21" x14ac:dyDescent="0.3">
      <c r="A37" s="11" t="s">
        <v>240</v>
      </c>
      <c r="C37" s="39">
        <f>'Financial CBA – Uvurkhangai'!C39*IMP*SCF</f>
        <v>0</v>
      </c>
      <c r="D37" s="39">
        <f>'Financial CBA – Uvurkhangai'!D39*IMP*SCF</f>
        <v>8.219117647058825</v>
      </c>
      <c r="E37" s="39">
        <f>'Financial CBA – Uvurkhangai'!E39*IMP*SCF</f>
        <v>8.219117647058825</v>
      </c>
      <c r="F37" s="39">
        <f>'Financial CBA – Uvurkhangai'!F39*IMP*SCF</f>
        <v>8.219117647058825</v>
      </c>
      <c r="G37" s="39">
        <f>'Financial CBA – Uvurkhangai'!G39*IMP*SCF</f>
        <v>8.219117647058825</v>
      </c>
      <c r="H37" s="39">
        <f>'Financial CBA – Uvurkhangai'!H39*IMP*SCF</f>
        <v>8.219117647058825</v>
      </c>
      <c r="I37" s="39">
        <f>'Financial CBA – Uvurkhangai'!I39*IMP*SCF</f>
        <v>8.219117647058825</v>
      </c>
      <c r="J37" s="39">
        <f>'Financial CBA – Uvurkhangai'!J39*IMP*SCF</f>
        <v>8.219117647058825</v>
      </c>
      <c r="K37" s="39">
        <f>'Financial CBA – Uvurkhangai'!K39*IMP*SCF</f>
        <v>8.219117647058825</v>
      </c>
      <c r="L37" s="39">
        <f>'Financial CBA – Uvurkhangai'!L39*IMP*SCF</f>
        <v>8.219117647058825</v>
      </c>
      <c r="M37" s="39">
        <f>'Financial CBA – Uvurkhangai'!M39*IMP*SCF</f>
        <v>8.219117647058825</v>
      </c>
      <c r="N37" s="39">
        <f>'Financial CBA – Uvurkhangai'!N39*IMP*SCF</f>
        <v>8.219117647058825</v>
      </c>
      <c r="O37" s="39">
        <f>'Financial CBA – Uvurkhangai'!O39*IMP*SCF</f>
        <v>8.219117647058825</v>
      </c>
      <c r="P37" s="39">
        <f>'Financial CBA – Uvurkhangai'!P39*IMP*SCF</f>
        <v>8.219117647058825</v>
      </c>
      <c r="Q37" s="39">
        <f>'Financial CBA – Uvurkhangai'!Q39*IMP*SCF</f>
        <v>8.219117647058825</v>
      </c>
      <c r="R37" s="39">
        <f>'Financial CBA – Uvurkhangai'!R39*IMP*SCF</f>
        <v>8.219117647058825</v>
      </c>
      <c r="T37" s="11" t="s">
        <v>241</v>
      </c>
      <c r="U37" s="26" t="str">
        <f>IFERROR(IRR(C40:R40),"n/a")</f>
        <v>n/a</v>
      </c>
    </row>
    <row r="38" spans="1:21" x14ac:dyDescent="0.3">
      <c r="A38" s="11" t="s">
        <v>242</v>
      </c>
      <c r="C38" s="39">
        <f>'Financial CBA – Uvurkhangai'!C38*SCF</f>
        <v>0</v>
      </c>
      <c r="D38" s="39">
        <f>'Financial CBA – Uvurkhangai'!D38*SCF</f>
        <v>0</v>
      </c>
      <c r="E38" s="39">
        <f>'Financial CBA – Uvurkhangai'!E38*SCF</f>
        <v>0</v>
      </c>
      <c r="F38" s="39">
        <f>'Financial CBA – Uvurkhangai'!F38*SCF</f>
        <v>0</v>
      </c>
      <c r="G38" s="39">
        <f>'Financial CBA – Uvurkhangai'!G38*SCF</f>
        <v>0</v>
      </c>
      <c r="H38" s="39">
        <f>'Financial CBA – Uvurkhangai'!H38*SCF</f>
        <v>0</v>
      </c>
      <c r="I38" s="39">
        <f>'Financial CBA – Uvurkhangai'!I38*SCF</f>
        <v>0</v>
      </c>
      <c r="J38" s="39">
        <f>'Financial CBA – Uvurkhangai'!J38*SCF</f>
        <v>0</v>
      </c>
      <c r="K38" s="39">
        <f>'Financial CBA – Uvurkhangai'!K38*SCF</f>
        <v>0</v>
      </c>
      <c r="L38" s="39">
        <f>'Financial CBA – Uvurkhangai'!L38*SCF</f>
        <v>0</v>
      </c>
      <c r="M38" s="39">
        <f>'Financial CBA – Uvurkhangai'!M38*SCF</f>
        <v>0</v>
      </c>
      <c r="N38" s="39">
        <f>'Financial CBA – Uvurkhangai'!N38*SCF</f>
        <v>0</v>
      </c>
      <c r="O38" s="39">
        <f>'Financial CBA – Uvurkhangai'!O38*SCF</f>
        <v>0</v>
      </c>
      <c r="P38" s="39">
        <f>'Financial CBA – Uvurkhangai'!P38*SCF</f>
        <v>0</v>
      </c>
      <c r="Q38" s="39">
        <f>'Financial CBA – Uvurkhangai'!Q38*SCF</f>
        <v>0</v>
      </c>
      <c r="R38" s="39">
        <f>'Financial CBA – Uvurkhangai'!R38*SCF</f>
        <v>0</v>
      </c>
      <c r="T38" s="27" t="s">
        <v>243</v>
      </c>
      <c r="U38" s="33">
        <f>C40+NPV(DR_ECON,D40:R40)</f>
        <v>29.567963879322129</v>
      </c>
    </row>
    <row r="39" spans="1:21" x14ac:dyDescent="0.3">
      <c r="A39" s="11" t="s">
        <v>244</v>
      </c>
      <c r="C39" s="39">
        <f>'Financial CBA – Uvurkhangai'!C40*SCF</f>
        <v>0</v>
      </c>
      <c r="D39" s="39">
        <f>'Financial CBA – Uvurkhangai'!D40*SCF</f>
        <v>4.7647058823529411</v>
      </c>
      <c r="E39" s="39">
        <f>'Financial CBA – Uvurkhangai'!E40*SCF</f>
        <v>4.7647058823529411</v>
      </c>
      <c r="F39" s="39">
        <f>'Financial CBA – Uvurkhangai'!F40*SCF</f>
        <v>4.7647058823529411</v>
      </c>
      <c r="G39" s="39">
        <f>'Financial CBA – Uvurkhangai'!G40*SCF</f>
        <v>4.7647058823529411</v>
      </c>
      <c r="H39" s="39">
        <f>'Financial CBA – Uvurkhangai'!H40*SCF</f>
        <v>4.7647058823529411</v>
      </c>
      <c r="I39" s="39">
        <f>'Financial CBA – Uvurkhangai'!I40*SCF</f>
        <v>4.7647058823529411</v>
      </c>
      <c r="J39" s="39">
        <f>'Financial CBA – Uvurkhangai'!J40*SCF</f>
        <v>4.7647058823529411</v>
      </c>
      <c r="K39" s="39">
        <f>'Financial CBA – Uvurkhangai'!K40*SCF</f>
        <v>4.7647058823529411</v>
      </c>
      <c r="L39" s="39">
        <f>'Financial CBA – Uvurkhangai'!L40*SCF</f>
        <v>4.7647058823529411</v>
      </c>
      <c r="M39" s="39">
        <f>'Financial CBA – Uvurkhangai'!M40*SCF</f>
        <v>4.7647058823529411</v>
      </c>
      <c r="N39" s="39">
        <f>'Financial CBA – Uvurkhangai'!N40*SCF</f>
        <v>4.7647058823529411</v>
      </c>
      <c r="O39" s="39">
        <f>'Financial CBA – Uvurkhangai'!O40*SCF</f>
        <v>4.7647058823529411</v>
      </c>
      <c r="P39" s="39">
        <f>'Financial CBA – Uvurkhangai'!P40*SCF</f>
        <v>4.7647058823529411</v>
      </c>
      <c r="Q39" s="39">
        <f>'Financial CBA – Uvurkhangai'!Q40*SCF</f>
        <v>4.7647058823529411</v>
      </c>
      <c r="R39" s="39">
        <f>'Financial CBA – Uvurkhangai'!R40*SCF</f>
        <v>4.7647058823529411</v>
      </c>
      <c r="T39" s="11" t="s">
        <v>245</v>
      </c>
      <c r="U39" s="34">
        <f>(SUMPRODUCT(C37:R37,C5:R5))/(SUMPRODUCT((C38:R38+C39:R39),C5:R5))</f>
        <v>1.7250000000000005</v>
      </c>
    </row>
    <row r="40" spans="1:21" x14ac:dyDescent="0.3">
      <c r="A40" s="27" t="s">
        <v>246</v>
      </c>
      <c r="C40" s="35">
        <f t="shared" ref="C40:R40" si="8">C37-C39-C38</f>
        <v>0</v>
      </c>
      <c r="D40" s="35">
        <f t="shared" si="8"/>
        <v>3.4544117647058838</v>
      </c>
      <c r="E40" s="35">
        <f t="shared" si="8"/>
        <v>3.4544117647058838</v>
      </c>
      <c r="F40" s="35">
        <f t="shared" si="8"/>
        <v>3.4544117647058838</v>
      </c>
      <c r="G40" s="35">
        <f t="shared" si="8"/>
        <v>3.4544117647058838</v>
      </c>
      <c r="H40" s="35">
        <f t="shared" si="8"/>
        <v>3.4544117647058838</v>
      </c>
      <c r="I40" s="35">
        <f t="shared" si="8"/>
        <v>3.4544117647058838</v>
      </c>
      <c r="J40" s="35">
        <f t="shared" si="8"/>
        <v>3.4544117647058838</v>
      </c>
      <c r="K40" s="35">
        <f t="shared" si="8"/>
        <v>3.4544117647058838</v>
      </c>
      <c r="L40" s="35">
        <f t="shared" si="8"/>
        <v>3.4544117647058838</v>
      </c>
      <c r="M40" s="35">
        <f t="shared" si="8"/>
        <v>3.4544117647058838</v>
      </c>
      <c r="N40" s="35">
        <f t="shared" si="8"/>
        <v>3.4544117647058838</v>
      </c>
      <c r="O40" s="35">
        <f t="shared" si="8"/>
        <v>3.4544117647058838</v>
      </c>
      <c r="P40" s="35">
        <f t="shared" si="8"/>
        <v>3.4544117647058838</v>
      </c>
      <c r="Q40" s="35">
        <f t="shared" si="8"/>
        <v>3.4544117647058838</v>
      </c>
      <c r="R40" s="35">
        <f t="shared" si="8"/>
        <v>3.4544117647058838</v>
      </c>
      <c r="T40" s="11" t="s">
        <v>225</v>
      </c>
      <c r="U40" s="36">
        <f>IF(SUMPRODUCT(--(C41:R41&lt;0))&gt;15,"&gt;15",SUMPRODUCT(--(C41:R41&lt;0)))</f>
        <v>0</v>
      </c>
    </row>
    <row r="41" spans="1:21" x14ac:dyDescent="0.3">
      <c r="A41" s="37" t="s">
        <v>247</v>
      </c>
      <c r="C41" s="38">
        <f>C40</f>
        <v>0</v>
      </c>
      <c r="D41" s="38">
        <f t="shared" ref="D41:R41" si="9">C41+D40</f>
        <v>3.4544117647058838</v>
      </c>
      <c r="E41" s="38">
        <f t="shared" si="9"/>
        <v>6.9088235294117677</v>
      </c>
      <c r="F41" s="38">
        <f t="shared" si="9"/>
        <v>10.363235294117651</v>
      </c>
      <c r="G41" s="38">
        <f t="shared" si="9"/>
        <v>13.817647058823535</v>
      </c>
      <c r="H41" s="38">
        <f t="shared" si="9"/>
        <v>17.27205882352942</v>
      </c>
      <c r="I41" s="38">
        <f t="shared" si="9"/>
        <v>20.726470588235305</v>
      </c>
      <c r="J41" s="38">
        <f t="shared" si="9"/>
        <v>24.18088235294119</v>
      </c>
      <c r="K41" s="38">
        <f t="shared" si="9"/>
        <v>27.635294117647074</v>
      </c>
      <c r="L41" s="38">
        <f t="shared" si="9"/>
        <v>31.089705882352959</v>
      </c>
      <c r="M41" s="38">
        <f t="shared" si="9"/>
        <v>34.54411764705884</v>
      </c>
      <c r="N41" s="38">
        <f t="shared" si="9"/>
        <v>37.998529411764721</v>
      </c>
      <c r="O41" s="38">
        <f t="shared" si="9"/>
        <v>41.452941176470603</v>
      </c>
      <c r="P41" s="38">
        <f t="shared" si="9"/>
        <v>44.907352941176484</v>
      </c>
      <c r="Q41" s="38">
        <f t="shared" si="9"/>
        <v>48.361764705882365</v>
      </c>
      <c r="R41" s="38">
        <f t="shared" si="9"/>
        <v>51.816176470588246</v>
      </c>
    </row>
    <row r="43" spans="1:21" x14ac:dyDescent="0.3">
      <c r="A43" s="57" t="s">
        <v>248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</row>
    <row r="44" spans="1:21" x14ac:dyDescent="0.3">
      <c r="A44" s="11" t="s">
        <v>240</v>
      </c>
      <c r="C44" s="39">
        <f>'Financial CBA – Dundgovi'!C11*IMP*SCF</f>
        <v>0</v>
      </c>
      <c r="D44" s="39">
        <f>'Financial CBA – Dundgovi'!D11*IMP*SCF+(CARB_SOL)*CARBP</f>
        <v>29.764411764705887</v>
      </c>
      <c r="E44" s="39">
        <f>'Financial CBA – Dundgovi'!E11*IMP*SCF+(CARB_SOL)*CARBP</f>
        <v>29.764411764705887</v>
      </c>
      <c r="F44" s="39">
        <f>'Financial CBA – Dundgovi'!F11*IMP*SCF+(CARB_SOL)*CARBP</f>
        <v>29.764411764705887</v>
      </c>
      <c r="G44" s="39">
        <f>'Financial CBA – Dundgovi'!G11*IMP*SCF+(CARB_SOL)*CARBP</f>
        <v>29.764411764705887</v>
      </c>
      <c r="H44" s="39">
        <f>'Financial CBA – Dundgovi'!H11*IMP*SCF+(CARB_SOL)*CARBP</f>
        <v>29.764411764705887</v>
      </c>
      <c r="I44" s="39">
        <f>'Financial CBA – Dundgovi'!I11*IMP*SCF+(CARB_SOL)*CARBP</f>
        <v>29.764411764705887</v>
      </c>
      <c r="J44" s="39">
        <f>'Financial CBA – Dundgovi'!J11*IMP*SCF+(CARB_SOL)*CARBP</f>
        <v>29.764411764705887</v>
      </c>
      <c r="K44" s="39">
        <f>'Financial CBA – Dundgovi'!K11*IMP*SCF+(CARB_SOL)*CARBP</f>
        <v>29.764411764705887</v>
      </c>
      <c r="L44" s="39">
        <f>'Financial CBA – Dundgovi'!L11*IMP*SCF+(CARB_SOL)*CARBP</f>
        <v>29.764411764705887</v>
      </c>
      <c r="M44" s="39">
        <f>'Financial CBA – Dundgovi'!M11*IMP*SCF+(CARB_SOL)*CARBP</f>
        <v>29.764411764705887</v>
      </c>
      <c r="N44" s="39">
        <f>'Financial CBA – Dundgovi'!N11*IMP*SCF+(CARB_SOL)*CARBP</f>
        <v>29.764411764705887</v>
      </c>
      <c r="O44" s="39">
        <f>'Financial CBA – Dundgovi'!O11*IMP*SCF+(CARB_SOL)*CARBP</f>
        <v>29.764411764705887</v>
      </c>
      <c r="P44" s="39">
        <f>'Financial CBA – Dundgovi'!P11*IMP*SCF+(CARB_SOL)*CARBP</f>
        <v>29.764411764705887</v>
      </c>
      <c r="Q44" s="39">
        <f>'Financial CBA – Dundgovi'!Q11*IMP*SCF+(CARB_SOL)*CARBP</f>
        <v>29.764411764705887</v>
      </c>
      <c r="R44" s="39">
        <f>'Financial CBA – Dundgovi'!R11*IMP*SCF+(CARB_SOL)*CARBP</f>
        <v>29.764411764705887</v>
      </c>
      <c r="T44" s="11" t="s">
        <v>241</v>
      </c>
      <c r="U44" s="26" t="str">
        <f>IFERROR(IRR(C47:R47),"n/a")</f>
        <v>n/a</v>
      </c>
    </row>
    <row r="45" spans="1:21" x14ac:dyDescent="0.3">
      <c r="A45" s="11" t="s">
        <v>242</v>
      </c>
      <c r="C45" s="39">
        <f>'Financial CBA – Dundgovi'!C10*SCF</f>
        <v>710</v>
      </c>
      <c r="D45" s="39">
        <f>'Financial CBA – Dundgovi'!D10*SCF</f>
        <v>0</v>
      </c>
      <c r="E45" s="39">
        <f>'Financial CBA – Dundgovi'!E10*SCF</f>
        <v>0</v>
      </c>
      <c r="F45" s="39">
        <f>'Financial CBA – Dundgovi'!F10*SCF</f>
        <v>0</v>
      </c>
      <c r="G45" s="39">
        <f>'Financial CBA – Dundgovi'!G10*SCF</f>
        <v>0</v>
      </c>
      <c r="H45" s="39">
        <f>'Financial CBA – Dundgovi'!H10*SCF</f>
        <v>0</v>
      </c>
      <c r="I45" s="39">
        <f>'Financial CBA – Dundgovi'!I10*SCF</f>
        <v>0</v>
      </c>
      <c r="J45" s="39">
        <f>'Financial CBA – Dundgovi'!J10*SCF</f>
        <v>121.5</v>
      </c>
      <c r="K45" s="39">
        <f>'Financial CBA – Dundgovi'!K10*SCF</f>
        <v>153.12499999999997</v>
      </c>
      <c r="L45" s="39">
        <f>'Financial CBA – Dundgovi'!L10*SCF</f>
        <v>0</v>
      </c>
      <c r="M45" s="39">
        <f>'Financial CBA – Dundgovi'!M10*SCF</f>
        <v>0</v>
      </c>
      <c r="N45" s="39">
        <f>'Financial CBA – Dundgovi'!N10*SCF</f>
        <v>0</v>
      </c>
      <c r="O45" s="39">
        <f>'Financial CBA – Dundgovi'!O10*SCF</f>
        <v>196.875</v>
      </c>
      <c r="P45" s="39">
        <f>'Financial CBA – Dundgovi'!P10*SCF</f>
        <v>0</v>
      </c>
      <c r="Q45" s="39">
        <f>'Financial CBA – Dundgovi'!Q10*SCF</f>
        <v>121.5</v>
      </c>
      <c r="R45" s="39">
        <f>'Financial CBA – Dundgovi'!R10*SCF</f>
        <v>0</v>
      </c>
      <c r="T45" s="27" t="s">
        <v>243</v>
      </c>
      <c r="U45" s="33">
        <f>C47+NPV(DR_ECON,D47:R47)</f>
        <v>-840.74585334313656</v>
      </c>
    </row>
    <row r="46" spans="1:21" x14ac:dyDescent="0.3">
      <c r="A46" s="11" t="s">
        <v>244</v>
      </c>
      <c r="C46" s="39">
        <f>'Financial CBA – Dundgovi'!C12*SCF</f>
        <v>0</v>
      </c>
      <c r="D46" s="39">
        <f>'Financial CBA – Dundgovi'!D12*SCF</f>
        <v>13.125</v>
      </c>
      <c r="E46" s="39">
        <f>'Financial CBA – Dundgovi'!E12*SCF</f>
        <v>13.125</v>
      </c>
      <c r="F46" s="39">
        <f>'Financial CBA – Dundgovi'!F12*SCF</f>
        <v>13.125</v>
      </c>
      <c r="G46" s="39">
        <f>'Financial CBA – Dundgovi'!G12*SCF</f>
        <v>13.125</v>
      </c>
      <c r="H46" s="39">
        <f>'Financial CBA – Dundgovi'!H12*SCF</f>
        <v>13.125</v>
      </c>
      <c r="I46" s="39">
        <f>'Financial CBA – Dundgovi'!I12*SCF</f>
        <v>13.125</v>
      </c>
      <c r="J46" s="39">
        <f>'Financial CBA – Dundgovi'!J12*SCF</f>
        <v>13.125</v>
      </c>
      <c r="K46" s="39">
        <f>'Financial CBA – Dundgovi'!K12*SCF</f>
        <v>13.125</v>
      </c>
      <c r="L46" s="39">
        <f>'Financial CBA – Dundgovi'!L12*SCF</f>
        <v>13.125</v>
      </c>
      <c r="M46" s="39">
        <f>'Financial CBA – Dundgovi'!M12*SCF</f>
        <v>13.125</v>
      </c>
      <c r="N46" s="39">
        <f>'Financial CBA – Dundgovi'!N12*SCF</f>
        <v>13.125</v>
      </c>
      <c r="O46" s="39">
        <f>'Financial CBA – Dundgovi'!O12*SCF</f>
        <v>13.125</v>
      </c>
      <c r="P46" s="39">
        <f>'Financial CBA – Dundgovi'!P12*SCF</f>
        <v>13.125</v>
      </c>
      <c r="Q46" s="39">
        <f>'Financial CBA – Dundgovi'!Q12*SCF</f>
        <v>13.125</v>
      </c>
      <c r="R46" s="39">
        <f>'Financial CBA – Dundgovi'!R12*SCF</f>
        <v>13.125</v>
      </c>
      <c r="T46" s="11" t="s">
        <v>245</v>
      </c>
      <c r="U46" s="34">
        <f>(SUMPRODUCT(C44:R44,C5:R5))/(SUMPRODUCT((C45:R45+C46:R46),C5:R5))</f>
        <v>0.23255560182352128</v>
      </c>
    </row>
    <row r="47" spans="1:21" x14ac:dyDescent="0.3">
      <c r="A47" s="27" t="s">
        <v>246</v>
      </c>
      <c r="C47" s="35">
        <f t="shared" ref="C47:R47" si="10">C44-C46-C45</f>
        <v>-710</v>
      </c>
      <c r="D47" s="35">
        <f t="shared" si="10"/>
        <v>16.639411764705887</v>
      </c>
      <c r="E47" s="35">
        <f t="shared" si="10"/>
        <v>16.639411764705887</v>
      </c>
      <c r="F47" s="35">
        <f t="shared" si="10"/>
        <v>16.639411764705887</v>
      </c>
      <c r="G47" s="35">
        <f t="shared" si="10"/>
        <v>16.639411764705887</v>
      </c>
      <c r="H47" s="35">
        <f t="shared" si="10"/>
        <v>16.639411764705887</v>
      </c>
      <c r="I47" s="35">
        <f t="shared" si="10"/>
        <v>16.639411764705887</v>
      </c>
      <c r="J47" s="35">
        <f t="shared" si="10"/>
        <v>-104.86058823529412</v>
      </c>
      <c r="K47" s="35">
        <f t="shared" si="10"/>
        <v>-136.48558823529407</v>
      </c>
      <c r="L47" s="35">
        <f t="shared" si="10"/>
        <v>16.639411764705887</v>
      </c>
      <c r="M47" s="35">
        <f t="shared" si="10"/>
        <v>16.639411764705887</v>
      </c>
      <c r="N47" s="35">
        <f t="shared" si="10"/>
        <v>16.639411764705887</v>
      </c>
      <c r="O47" s="35">
        <f t="shared" si="10"/>
        <v>-180.2355882352941</v>
      </c>
      <c r="P47" s="35">
        <f t="shared" si="10"/>
        <v>16.639411764705887</v>
      </c>
      <c r="Q47" s="35">
        <f t="shared" si="10"/>
        <v>-104.86058823529412</v>
      </c>
      <c r="R47" s="35">
        <f t="shared" si="10"/>
        <v>16.639411764705887</v>
      </c>
      <c r="T47" s="11" t="s">
        <v>225</v>
      </c>
      <c r="U47" s="36" t="str">
        <f>IF(SUMPRODUCT(--(C48:R48&lt;0))&gt;15,"&gt;15",SUMPRODUCT(--(C48:R48&lt;0)))</f>
        <v>&gt;15</v>
      </c>
    </row>
    <row r="48" spans="1:21" x14ac:dyDescent="0.3">
      <c r="A48" s="37" t="s">
        <v>247</v>
      </c>
      <c r="C48" s="38">
        <f>C47</f>
        <v>-710</v>
      </c>
      <c r="D48" s="38">
        <f t="shared" ref="D48:R48" si="11">C48+D47</f>
        <v>-693.36058823529413</v>
      </c>
      <c r="E48" s="38">
        <f t="shared" si="11"/>
        <v>-676.72117647058826</v>
      </c>
      <c r="F48" s="38">
        <f t="shared" si="11"/>
        <v>-660.08176470588239</v>
      </c>
      <c r="G48" s="38">
        <f t="shared" si="11"/>
        <v>-643.44235294117652</v>
      </c>
      <c r="H48" s="38">
        <f t="shared" si="11"/>
        <v>-626.80294117647065</v>
      </c>
      <c r="I48" s="38">
        <f t="shared" si="11"/>
        <v>-610.16352941176478</v>
      </c>
      <c r="J48" s="38">
        <f t="shared" si="11"/>
        <v>-715.02411764705892</v>
      </c>
      <c r="K48" s="38">
        <f t="shared" si="11"/>
        <v>-851.50970588235305</v>
      </c>
      <c r="L48" s="38">
        <f t="shared" si="11"/>
        <v>-834.87029411764718</v>
      </c>
      <c r="M48" s="38">
        <f t="shared" si="11"/>
        <v>-818.23088235294131</v>
      </c>
      <c r="N48" s="38">
        <f t="shared" si="11"/>
        <v>-801.59147058823544</v>
      </c>
      <c r="O48" s="38">
        <f t="shared" si="11"/>
        <v>-981.82705882352957</v>
      </c>
      <c r="P48" s="38">
        <f t="shared" si="11"/>
        <v>-965.1876470588237</v>
      </c>
      <c r="Q48" s="38">
        <f t="shared" si="11"/>
        <v>-1070.0482352941178</v>
      </c>
      <c r="R48" s="38">
        <f t="shared" si="11"/>
        <v>-1053.4088235294118</v>
      </c>
    </row>
    <row r="50" spans="1:21" x14ac:dyDescent="0.3">
      <c r="A50" s="57" t="s">
        <v>249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</row>
    <row r="51" spans="1:21" x14ac:dyDescent="0.3">
      <c r="A51" s="11" t="s">
        <v>240</v>
      </c>
      <c r="C51" s="39">
        <f>'Financial CBA – Dundgovi'!C25*IMP*SCF</f>
        <v>0</v>
      </c>
      <c r="D51" s="39">
        <f>'Financial CBA – Dundgovi'!D25*IMP*SCF+(CARB_SOL)*CARBP</f>
        <v>2323.6157773109239</v>
      </c>
      <c r="E51" s="39">
        <f>'Financial CBA – Dundgovi'!E25*IMP*SCF+(CARB_SOL)*CARBP</f>
        <v>2323.6157773109239</v>
      </c>
      <c r="F51" s="39">
        <f>'Financial CBA – Dundgovi'!F25*IMP*SCF+(CARB_SOL)*CARBP</f>
        <v>2323.6157773109239</v>
      </c>
      <c r="G51" s="39">
        <f>'Financial CBA – Dundgovi'!G25*IMP*SCF+(CARB_SOL)*CARBP</f>
        <v>2323.6157773109239</v>
      </c>
      <c r="H51" s="39">
        <f>'Financial CBA – Dundgovi'!H25*IMP*SCF+(CARB_SOL)*CARBP</f>
        <v>2323.6157773109239</v>
      </c>
      <c r="I51" s="39">
        <f>'Financial CBA – Dundgovi'!I25*IMP*SCF+(CARB_SOL)*CARBP</f>
        <v>2323.6157773109239</v>
      </c>
      <c r="J51" s="39">
        <f>'Financial CBA – Dundgovi'!J25*IMP*SCF+(CARB_SOL)*CARBP</f>
        <v>2323.6157773109239</v>
      </c>
      <c r="K51" s="39">
        <f>'Financial CBA – Dundgovi'!K25*IMP*SCF+(CARB_SOL)*CARBP</f>
        <v>2323.6157773109239</v>
      </c>
      <c r="L51" s="39">
        <f>'Financial CBA – Dundgovi'!L25*IMP*SCF+(CARB_SOL)*CARBP</f>
        <v>2323.6157773109239</v>
      </c>
      <c r="M51" s="39">
        <f>'Financial CBA – Dundgovi'!M25*IMP*SCF+(CARB_SOL)*CARBP</f>
        <v>2323.6157773109239</v>
      </c>
      <c r="N51" s="39">
        <f>'Financial CBA – Dundgovi'!N25*IMP*SCF+(CARB_SOL)*CARBP</f>
        <v>2323.6157773109239</v>
      </c>
      <c r="O51" s="39">
        <f>'Financial CBA – Dundgovi'!O25*IMP*SCF+(CARB_SOL)*CARBP</f>
        <v>2323.6157773109239</v>
      </c>
      <c r="P51" s="39">
        <f>'Financial CBA – Dundgovi'!P25*IMP*SCF+(CARB_SOL)*CARBP</f>
        <v>2323.6157773109239</v>
      </c>
      <c r="Q51" s="39">
        <f>'Financial CBA – Dundgovi'!Q25*IMP*SCF+(CARB_SOL)*CARBP</f>
        <v>2323.6157773109239</v>
      </c>
      <c r="R51" s="39">
        <f>'Financial CBA – Dundgovi'!R25*IMP*SCF+(CARB_SOL)*CARBP</f>
        <v>2323.6157773109239</v>
      </c>
      <c r="T51" s="11" t="s">
        <v>241</v>
      </c>
      <c r="U51" s="26">
        <f>IFERROR(IRR(C54:R54),"n/a")</f>
        <v>0.24250967567116644</v>
      </c>
    </row>
    <row r="52" spans="1:21" x14ac:dyDescent="0.3">
      <c r="A52" s="11" t="s">
        <v>242</v>
      </c>
      <c r="C52" s="39">
        <f>'Financial CBA – Dundgovi'!C24*SCF</f>
        <v>6231.5</v>
      </c>
      <c r="D52" s="39">
        <f>'Financial CBA – Dundgovi'!D24*SCF</f>
        <v>0</v>
      </c>
      <c r="E52" s="39">
        <f>'Financial CBA – Dundgovi'!E24*SCF</f>
        <v>0</v>
      </c>
      <c r="F52" s="39">
        <f>'Financial CBA – Dundgovi'!F24*SCF</f>
        <v>0</v>
      </c>
      <c r="G52" s="39">
        <f>'Financial CBA – Dundgovi'!G24*SCF</f>
        <v>0</v>
      </c>
      <c r="H52" s="39">
        <f>'Financial CBA – Dundgovi'!H24*SCF</f>
        <v>0</v>
      </c>
      <c r="I52" s="39">
        <f>'Financial CBA – Dundgovi'!I24*SCF</f>
        <v>0</v>
      </c>
      <c r="J52" s="39">
        <f>'Financial CBA – Dundgovi'!J24*SCF</f>
        <v>194.4</v>
      </c>
      <c r="K52" s="39">
        <f>'Financial CBA – Dundgovi'!K24*SCF</f>
        <v>153.12499999999997</v>
      </c>
      <c r="L52" s="39">
        <f>'Financial CBA – Dundgovi'!L24*SCF</f>
        <v>0</v>
      </c>
      <c r="M52" s="39">
        <f>'Financial CBA – Dundgovi'!M24*SCF</f>
        <v>0</v>
      </c>
      <c r="N52" s="39">
        <f>'Financial CBA – Dundgovi'!N24*SCF</f>
        <v>0</v>
      </c>
      <c r="O52" s="39">
        <f>'Financial CBA – Dundgovi'!O24*SCF</f>
        <v>2356.875</v>
      </c>
      <c r="P52" s="39">
        <f>'Financial CBA – Dundgovi'!P24*SCF</f>
        <v>0</v>
      </c>
      <c r="Q52" s="39">
        <f>'Financial CBA – Dundgovi'!Q24*SCF</f>
        <v>194.4</v>
      </c>
      <c r="R52" s="39">
        <f>'Financial CBA – Dundgovi'!R24*SCF</f>
        <v>0</v>
      </c>
      <c r="T52" s="27" t="s">
        <v>243</v>
      </c>
      <c r="U52" s="33">
        <f>C54+NPV(DR_ECON,D54:R54)</f>
        <v>6569.156130564892</v>
      </c>
    </row>
    <row r="53" spans="1:21" x14ac:dyDescent="0.3">
      <c r="A53" s="11" t="s">
        <v>244</v>
      </c>
      <c r="C53" s="39">
        <f>'Financial CBA – Dundgovi'!C26*SCF</f>
        <v>0</v>
      </c>
      <c r="D53" s="39">
        <f>'Financial CBA – Dundgovi'!D26*SCF</f>
        <v>688.125</v>
      </c>
      <c r="E53" s="39">
        <f>'Financial CBA – Dundgovi'!E26*SCF</f>
        <v>688.125</v>
      </c>
      <c r="F53" s="39">
        <f>'Financial CBA – Dundgovi'!F26*SCF</f>
        <v>688.125</v>
      </c>
      <c r="G53" s="39">
        <f>'Financial CBA – Dundgovi'!G26*SCF</f>
        <v>688.125</v>
      </c>
      <c r="H53" s="39">
        <f>'Financial CBA – Dundgovi'!H26*SCF</f>
        <v>688.125</v>
      </c>
      <c r="I53" s="39">
        <f>'Financial CBA – Dundgovi'!I26*SCF</f>
        <v>688.125</v>
      </c>
      <c r="J53" s="39">
        <f>'Financial CBA – Dundgovi'!J26*SCF</f>
        <v>688.125</v>
      </c>
      <c r="K53" s="39">
        <f>'Financial CBA – Dundgovi'!K26*SCF</f>
        <v>688.125</v>
      </c>
      <c r="L53" s="39">
        <f>'Financial CBA – Dundgovi'!L26*SCF</f>
        <v>688.125</v>
      </c>
      <c r="M53" s="39">
        <f>'Financial CBA – Dundgovi'!M26*SCF</f>
        <v>688.125</v>
      </c>
      <c r="N53" s="39">
        <f>'Financial CBA – Dundgovi'!N26*SCF</f>
        <v>688.125</v>
      </c>
      <c r="O53" s="39">
        <f>'Financial CBA – Dundgovi'!O26*SCF</f>
        <v>688.125</v>
      </c>
      <c r="P53" s="39">
        <f>'Financial CBA – Dundgovi'!P26*SCF</f>
        <v>688.125</v>
      </c>
      <c r="Q53" s="39">
        <f>'Financial CBA – Dundgovi'!Q26*SCF</f>
        <v>688.125</v>
      </c>
      <c r="R53" s="39">
        <f>'Financial CBA – Dundgovi'!R26*SCF</f>
        <v>688.125</v>
      </c>
      <c r="T53" s="11" t="s">
        <v>245</v>
      </c>
      <c r="U53" s="34">
        <f>(SUMPRODUCT(C51:R51,C5:R5))/(SUMPRODUCT((C52:R52+C53:R53),C5:R5))</f>
        <v>1.4931879023467811</v>
      </c>
    </row>
    <row r="54" spans="1:21" x14ac:dyDescent="0.3">
      <c r="A54" s="27" t="s">
        <v>246</v>
      </c>
      <c r="C54" s="35">
        <f t="shared" ref="C54:R54" si="12">C51-C53-C52</f>
        <v>-6231.5</v>
      </c>
      <c r="D54" s="35">
        <f t="shared" si="12"/>
        <v>1635.4907773109239</v>
      </c>
      <c r="E54" s="35">
        <f t="shared" si="12"/>
        <v>1635.4907773109239</v>
      </c>
      <c r="F54" s="35">
        <f t="shared" si="12"/>
        <v>1635.4907773109239</v>
      </c>
      <c r="G54" s="35">
        <f t="shared" si="12"/>
        <v>1635.4907773109239</v>
      </c>
      <c r="H54" s="35">
        <f t="shared" si="12"/>
        <v>1635.4907773109239</v>
      </c>
      <c r="I54" s="35">
        <f t="shared" si="12"/>
        <v>1635.4907773109239</v>
      </c>
      <c r="J54" s="35">
        <f t="shared" si="12"/>
        <v>1441.0907773109238</v>
      </c>
      <c r="K54" s="35">
        <f t="shared" si="12"/>
        <v>1482.3657773109239</v>
      </c>
      <c r="L54" s="35">
        <f t="shared" si="12"/>
        <v>1635.4907773109239</v>
      </c>
      <c r="M54" s="35">
        <f t="shared" si="12"/>
        <v>1635.4907773109239</v>
      </c>
      <c r="N54" s="35">
        <f t="shared" si="12"/>
        <v>1635.4907773109239</v>
      </c>
      <c r="O54" s="35">
        <f t="shared" si="12"/>
        <v>-721.38422268907607</v>
      </c>
      <c r="P54" s="35">
        <f t="shared" si="12"/>
        <v>1635.4907773109239</v>
      </c>
      <c r="Q54" s="35">
        <f t="shared" si="12"/>
        <v>1441.0907773109238</v>
      </c>
      <c r="R54" s="35">
        <f t="shared" si="12"/>
        <v>1635.4907773109239</v>
      </c>
      <c r="T54" s="11" t="s">
        <v>225</v>
      </c>
      <c r="U54" s="36">
        <f>IF(SUMPRODUCT(--(C55:R55&lt;0))&gt;15,"&gt;15",SUMPRODUCT(--(C55:R55&lt;0)))</f>
        <v>4</v>
      </c>
    </row>
    <row r="55" spans="1:21" x14ac:dyDescent="0.3">
      <c r="A55" s="37" t="s">
        <v>247</v>
      </c>
      <c r="C55" s="38">
        <f>C54</f>
        <v>-6231.5</v>
      </c>
      <c r="D55" s="38">
        <f t="shared" ref="D55:R55" si="13">C55+D54</f>
        <v>-4596.0092226890756</v>
      </c>
      <c r="E55" s="38">
        <f t="shared" si="13"/>
        <v>-2960.5184453781517</v>
      </c>
      <c r="F55" s="38">
        <f t="shared" si="13"/>
        <v>-1325.0276680672278</v>
      </c>
      <c r="G55" s="38">
        <f t="shared" si="13"/>
        <v>310.46310924369618</v>
      </c>
      <c r="H55" s="38">
        <f t="shared" si="13"/>
        <v>1945.9538865546201</v>
      </c>
      <c r="I55" s="38">
        <f t="shared" si="13"/>
        <v>3581.444663865544</v>
      </c>
      <c r="J55" s="38">
        <f t="shared" si="13"/>
        <v>5022.5354411764674</v>
      </c>
      <c r="K55" s="38">
        <f t="shared" si="13"/>
        <v>6504.9012184873918</v>
      </c>
      <c r="L55" s="38">
        <f t="shared" si="13"/>
        <v>8140.3919957983162</v>
      </c>
      <c r="M55" s="38">
        <f t="shared" si="13"/>
        <v>9775.8827731092406</v>
      </c>
      <c r="N55" s="38">
        <f t="shared" si="13"/>
        <v>11411.373550420165</v>
      </c>
      <c r="O55" s="38">
        <f t="shared" si="13"/>
        <v>10689.989327731089</v>
      </c>
      <c r="P55" s="38">
        <f t="shared" si="13"/>
        <v>12325.480105042014</v>
      </c>
      <c r="Q55" s="38">
        <f t="shared" si="13"/>
        <v>13766.570882352938</v>
      </c>
      <c r="R55" s="38">
        <f t="shared" si="13"/>
        <v>15402.061659663863</v>
      </c>
    </row>
    <row r="57" spans="1:21" x14ac:dyDescent="0.3">
      <c r="A57" s="57" t="s">
        <v>250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</row>
    <row r="58" spans="1:21" x14ac:dyDescent="0.3">
      <c r="A58" s="11" t="s">
        <v>240</v>
      </c>
      <c r="C58" s="39">
        <f>'Financial CBA – Dundgovi'!C32*IMP*SCF</f>
        <v>0</v>
      </c>
      <c r="D58" s="39">
        <f>'Financial CBA – Dundgovi'!D32*IMP*SCF+(CARB_SOL+CARB_AG*D6)*CARBP</f>
        <v>-86.673088235294102</v>
      </c>
      <c r="E58" s="39">
        <f>'Financial CBA – Dundgovi'!E32*IMP*SCF+(CARB_SOL+CARB_AG*E6)*CARBP</f>
        <v>-86.673088235294102</v>
      </c>
      <c r="F58" s="39">
        <f>'Financial CBA – Dundgovi'!F32*IMP*SCF+(CARB_SOL+CARB_AG*F6)*CARBP</f>
        <v>-53.53233193277309</v>
      </c>
      <c r="G58" s="39">
        <f>'Financial CBA – Dundgovi'!G32*IMP*SCF+(CARB_SOL+CARB_AG*G6)*CARBP</f>
        <v>-20.391575630252085</v>
      </c>
      <c r="H58" s="39">
        <f>'Financial CBA – Dundgovi'!H32*IMP*SCF+(CARB_SOL+CARB_AG*H6)*CARBP</f>
        <v>12.749180672268913</v>
      </c>
      <c r="I58" s="39">
        <f>'Financial CBA – Dundgovi'!I32*IMP*SCF+(CARB_SOL+CARB_AG*I6)*CARBP</f>
        <v>46.709819327731083</v>
      </c>
      <c r="J58" s="39">
        <f>'Financial CBA – Dundgovi'!J32*IMP*SCF+(CARB_SOL+CARB_AG*J6)*CARBP</f>
        <v>46.709819327731083</v>
      </c>
      <c r="K58" s="39">
        <f>'Financial CBA – Dundgovi'!K32*IMP*SCF+(CARB_SOL+CARB_AG*K6)*CARBP</f>
        <v>46.709819327731083</v>
      </c>
      <c r="L58" s="39">
        <f>'Financial CBA – Dundgovi'!L32*IMP*SCF+(CARB_SOL+CARB_AG*L6)*CARBP</f>
        <v>46.709819327731083</v>
      </c>
      <c r="M58" s="39">
        <f>'Financial CBA – Dundgovi'!M32*IMP*SCF+(CARB_SOL+CARB_AG*M6)*CARBP</f>
        <v>46.709819327731083</v>
      </c>
      <c r="N58" s="39">
        <f>'Financial CBA – Dundgovi'!N32*IMP*SCF+(CARB_SOL+CARB_AG*N6)*CARBP</f>
        <v>46.709819327731083</v>
      </c>
      <c r="O58" s="39">
        <f>'Financial CBA – Dundgovi'!O32*IMP*SCF+(CARB_SOL+CARB_AG*O6)*CARBP</f>
        <v>46.709819327731083</v>
      </c>
      <c r="P58" s="39">
        <f>'Financial CBA – Dundgovi'!P32*IMP*SCF+(CARB_SOL+CARB_AG*P6)*CARBP</f>
        <v>46.709819327731083</v>
      </c>
      <c r="Q58" s="39">
        <f>'Financial CBA – Dundgovi'!Q32*IMP*SCF+(CARB_SOL+CARB_AG*Q6)*CARBP</f>
        <v>46.709819327731083</v>
      </c>
      <c r="R58" s="39">
        <f>'Financial CBA – Dundgovi'!R32*IMP*SCF+(CARB_SOL+CARB_AG*R6)*CARBP</f>
        <v>46.709819327731083</v>
      </c>
      <c r="T58" s="11" t="s">
        <v>241</v>
      </c>
      <c r="U58" s="26" t="str">
        <f>IFERROR(IRR(C61:R61),"n/a")</f>
        <v>n/a</v>
      </c>
    </row>
    <row r="59" spans="1:21" x14ac:dyDescent="0.3">
      <c r="A59" s="11" t="s">
        <v>242</v>
      </c>
      <c r="C59" s="39">
        <f>'Financial CBA – Dundgovi'!C31*SCF</f>
        <v>998</v>
      </c>
      <c r="D59" s="39">
        <f>'Financial CBA – Dundgovi'!D31*SCF</f>
        <v>0</v>
      </c>
      <c r="E59" s="39">
        <f>'Financial CBA – Dundgovi'!E31*SCF</f>
        <v>33.075000000000003</v>
      </c>
      <c r="F59" s="39">
        <f>'Financial CBA – Dundgovi'!F31*SCF</f>
        <v>0</v>
      </c>
      <c r="G59" s="39">
        <f>'Financial CBA – Dundgovi'!G31*SCF</f>
        <v>0</v>
      </c>
      <c r="H59" s="39">
        <f>'Financial CBA – Dundgovi'!H31*SCF</f>
        <v>0</v>
      </c>
      <c r="I59" s="39">
        <f>'Financial CBA – Dundgovi'!I31*SCF</f>
        <v>0</v>
      </c>
      <c r="J59" s="39">
        <f>'Financial CBA – Dundgovi'!J31*SCF</f>
        <v>121.5</v>
      </c>
      <c r="K59" s="39">
        <f>'Financial CBA – Dundgovi'!K31*SCF</f>
        <v>153.12499999999997</v>
      </c>
      <c r="L59" s="39">
        <f>'Financial CBA – Dundgovi'!L31*SCF</f>
        <v>0</v>
      </c>
      <c r="M59" s="39">
        <f>'Financial CBA – Dundgovi'!M31*SCF</f>
        <v>0</v>
      </c>
      <c r="N59" s="39">
        <f>'Financial CBA – Dundgovi'!N31*SCF</f>
        <v>0</v>
      </c>
      <c r="O59" s="39">
        <f>'Financial CBA – Dundgovi'!O31*SCF</f>
        <v>196.875</v>
      </c>
      <c r="P59" s="39">
        <f>'Financial CBA – Dundgovi'!P31*SCF</f>
        <v>0</v>
      </c>
      <c r="Q59" s="39">
        <f>'Financial CBA – Dundgovi'!Q31*SCF</f>
        <v>121.5</v>
      </c>
      <c r="R59" s="39">
        <f>'Financial CBA – Dundgovi'!R31*SCF</f>
        <v>0</v>
      </c>
      <c r="T59" s="27" t="s">
        <v>243</v>
      </c>
      <c r="U59" s="33">
        <f>C61+NPV(DR_ECON,D61:R61)</f>
        <v>-1401.9255368048239</v>
      </c>
    </row>
    <row r="60" spans="1:21" x14ac:dyDescent="0.3">
      <c r="A60" s="11" t="s">
        <v>244</v>
      </c>
      <c r="C60" s="39">
        <f>'Financial CBA – Dundgovi'!C33*SCF</f>
        <v>0</v>
      </c>
      <c r="D60" s="39">
        <f>'Financial CBA – Dundgovi'!D33*SCF</f>
        <v>13.125</v>
      </c>
      <c r="E60" s="39">
        <f>'Financial CBA – Dundgovi'!E33*SCF</f>
        <v>13.125</v>
      </c>
      <c r="F60" s="39">
        <f>'Financial CBA – Dundgovi'!F33*SCF</f>
        <v>13.125</v>
      </c>
      <c r="G60" s="39">
        <f>'Financial CBA – Dundgovi'!G33*SCF</f>
        <v>13.125</v>
      </c>
      <c r="H60" s="39">
        <f>'Financial CBA – Dundgovi'!H33*SCF</f>
        <v>13.125</v>
      </c>
      <c r="I60" s="39">
        <f>'Financial CBA – Dundgovi'!I33*SCF</f>
        <v>13.125</v>
      </c>
      <c r="J60" s="39">
        <f>'Financial CBA – Dundgovi'!J33*SCF</f>
        <v>13.125</v>
      </c>
      <c r="K60" s="39">
        <f>'Financial CBA – Dundgovi'!K33*SCF</f>
        <v>13.125</v>
      </c>
      <c r="L60" s="39">
        <f>'Financial CBA – Dundgovi'!L33*SCF</f>
        <v>13.125</v>
      </c>
      <c r="M60" s="39">
        <f>'Financial CBA – Dundgovi'!M33*SCF</f>
        <v>13.125</v>
      </c>
      <c r="N60" s="39">
        <f>'Financial CBA – Dundgovi'!N33*SCF</f>
        <v>13.125</v>
      </c>
      <c r="O60" s="39">
        <f>'Financial CBA – Dundgovi'!O33*SCF</f>
        <v>13.125</v>
      </c>
      <c r="P60" s="39">
        <f>'Financial CBA – Dundgovi'!P33*SCF</f>
        <v>13.125</v>
      </c>
      <c r="Q60" s="39">
        <f>'Financial CBA – Dundgovi'!Q33*SCF</f>
        <v>13.125</v>
      </c>
      <c r="R60" s="39">
        <f>'Financial CBA – Dundgovi'!R33*SCF</f>
        <v>13.125</v>
      </c>
      <c r="T60" s="11" t="s">
        <v>245</v>
      </c>
      <c r="U60" s="34">
        <f>(SUMPRODUCT(C58:R58,C5:R5))/(SUMPRODUCT((C59:R59+C60:R60),C5:R5))</f>
        <v>7.0435981284383492E-3</v>
      </c>
    </row>
    <row r="61" spans="1:21" x14ac:dyDescent="0.3">
      <c r="A61" s="27" t="s">
        <v>246</v>
      </c>
      <c r="C61" s="35">
        <f t="shared" ref="C61:R61" si="14">C58-C60-C59</f>
        <v>-998</v>
      </c>
      <c r="D61" s="35">
        <f t="shared" si="14"/>
        <v>-99.798088235294102</v>
      </c>
      <c r="E61" s="35">
        <f t="shared" si="14"/>
        <v>-132.87308823529412</v>
      </c>
      <c r="F61" s="35">
        <f t="shared" si="14"/>
        <v>-66.65733193277309</v>
      </c>
      <c r="G61" s="35">
        <f t="shared" si="14"/>
        <v>-33.516575630252085</v>
      </c>
      <c r="H61" s="35">
        <f t="shared" si="14"/>
        <v>-0.37581932773108662</v>
      </c>
      <c r="I61" s="35">
        <f t="shared" si="14"/>
        <v>33.584819327731083</v>
      </c>
      <c r="J61" s="35">
        <f t="shared" si="14"/>
        <v>-87.915180672268917</v>
      </c>
      <c r="K61" s="35">
        <f t="shared" si="14"/>
        <v>-119.54018067226889</v>
      </c>
      <c r="L61" s="35">
        <f t="shared" si="14"/>
        <v>33.584819327731083</v>
      </c>
      <c r="M61" s="35">
        <f t="shared" si="14"/>
        <v>33.584819327731083</v>
      </c>
      <c r="N61" s="35">
        <f t="shared" si="14"/>
        <v>33.584819327731083</v>
      </c>
      <c r="O61" s="35">
        <f t="shared" si="14"/>
        <v>-163.29018067226892</v>
      </c>
      <c r="P61" s="35">
        <f t="shared" si="14"/>
        <v>33.584819327731083</v>
      </c>
      <c r="Q61" s="35">
        <f t="shared" si="14"/>
        <v>-87.915180672268917</v>
      </c>
      <c r="R61" s="35">
        <f t="shared" si="14"/>
        <v>33.584819327731083</v>
      </c>
      <c r="T61" s="11" t="s">
        <v>225</v>
      </c>
      <c r="U61" s="36" t="str">
        <f>IF(SUMPRODUCT(--(C62:R62&lt;0))&gt;15,"&gt;15",SUMPRODUCT(--(C62:R62&lt;0)))</f>
        <v>&gt;15</v>
      </c>
    </row>
    <row r="62" spans="1:21" x14ac:dyDescent="0.3">
      <c r="A62" s="37" t="s">
        <v>247</v>
      </c>
      <c r="C62" s="38">
        <f>C61</f>
        <v>-998</v>
      </c>
      <c r="D62" s="38">
        <f t="shared" ref="D62:R62" si="15">C62+D61</f>
        <v>-1097.798088235294</v>
      </c>
      <c r="E62" s="38">
        <f t="shared" si="15"/>
        <v>-1230.6711764705881</v>
      </c>
      <c r="F62" s="38">
        <f t="shared" si="15"/>
        <v>-1297.3285084033612</v>
      </c>
      <c r="G62" s="38">
        <f t="shared" si="15"/>
        <v>-1330.8450840336134</v>
      </c>
      <c r="H62" s="38">
        <f t="shared" si="15"/>
        <v>-1331.2209033613444</v>
      </c>
      <c r="I62" s="38">
        <f t="shared" si="15"/>
        <v>-1297.6360840336133</v>
      </c>
      <c r="J62" s="38">
        <f t="shared" si="15"/>
        <v>-1385.5512647058822</v>
      </c>
      <c r="K62" s="38">
        <f t="shared" si="15"/>
        <v>-1505.0914453781511</v>
      </c>
      <c r="L62" s="38">
        <f t="shared" si="15"/>
        <v>-1471.50662605042</v>
      </c>
      <c r="M62" s="38">
        <f t="shared" si="15"/>
        <v>-1437.9218067226889</v>
      </c>
      <c r="N62" s="38">
        <f t="shared" si="15"/>
        <v>-1404.3369873949578</v>
      </c>
      <c r="O62" s="38">
        <f t="shared" si="15"/>
        <v>-1567.6271680672266</v>
      </c>
      <c r="P62" s="38">
        <f t="shared" si="15"/>
        <v>-1534.0423487394955</v>
      </c>
      <c r="Q62" s="38">
        <f t="shared" si="15"/>
        <v>-1621.9575294117644</v>
      </c>
      <c r="R62" s="38">
        <f t="shared" si="15"/>
        <v>-1588.3727100840333</v>
      </c>
    </row>
    <row r="64" spans="1:21" x14ac:dyDescent="0.3">
      <c r="A64" s="57" t="s">
        <v>251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</row>
    <row r="65" spans="1:21" x14ac:dyDescent="0.3">
      <c r="A65" s="11" t="s">
        <v>240</v>
      </c>
      <c r="C65" s="39">
        <f>'Financial CBA – Dundgovi'!C46*IMP*SCF</f>
        <v>0</v>
      </c>
      <c r="D65" s="39">
        <f>'Financial CBA – Dundgovi'!D46*IMP*SCF+(CARB_SOL+CARB_AG*D6)*CARBP</f>
        <v>2473.2314417016805</v>
      </c>
      <c r="E65" s="39">
        <f>'Financial CBA – Dundgovi'!E46*IMP*SCF+(CARB_SOL+CARB_AG*E6)*CARBP</f>
        <v>2473.2314417016805</v>
      </c>
      <c r="F65" s="39">
        <f>'Financial CBA – Dundgovi'!F46*IMP*SCF+(CARB_SOL+CARB_AG*F6)*CARBP</f>
        <v>2506.3721980042014</v>
      </c>
      <c r="G65" s="39">
        <f>'Financial CBA – Dundgovi'!G46*IMP*SCF+(CARB_SOL+CARB_AG*G6)*CARBP</f>
        <v>2539.5129543067223</v>
      </c>
      <c r="H65" s="39">
        <f>'Financial CBA – Dundgovi'!H46*IMP*SCF+(CARB_SOL+CARB_AG*H6)*CARBP</f>
        <v>2572.6537106092433</v>
      </c>
      <c r="I65" s="39">
        <f>'Financial CBA – Dundgovi'!I46*IMP*SCF+(CARB_SOL+CARB_AG*I6)*CARBP</f>
        <v>2606.6143492647057</v>
      </c>
      <c r="J65" s="39">
        <f>'Financial CBA – Dundgovi'!J46*IMP*SCF+(CARB_SOL+CARB_AG*J6)*CARBP</f>
        <v>2606.6143492647057</v>
      </c>
      <c r="K65" s="39">
        <f>'Financial CBA – Dundgovi'!K46*IMP*SCF+(CARB_SOL+CARB_AG*K6)*CARBP</f>
        <v>2606.6143492647057</v>
      </c>
      <c r="L65" s="39">
        <f>'Financial CBA – Dundgovi'!L46*IMP*SCF+(CARB_SOL+CARB_AG*L6)*CARBP</f>
        <v>2606.6143492647057</v>
      </c>
      <c r="M65" s="39">
        <f>'Financial CBA – Dundgovi'!M46*IMP*SCF+(CARB_SOL+CARB_AG*M6)*CARBP</f>
        <v>2606.6143492647057</v>
      </c>
      <c r="N65" s="39">
        <f>'Financial CBA – Dundgovi'!N46*IMP*SCF+(CARB_SOL+CARB_AG*N6)*CARBP</f>
        <v>2606.6143492647057</v>
      </c>
      <c r="O65" s="39">
        <f>'Financial CBA – Dundgovi'!O46*IMP*SCF+(CARB_SOL+CARB_AG*O6)*CARBP</f>
        <v>2606.6143492647057</v>
      </c>
      <c r="P65" s="39">
        <f>'Financial CBA – Dundgovi'!P46*IMP*SCF+(CARB_SOL+CARB_AG*P6)*CARBP</f>
        <v>2606.6143492647057</v>
      </c>
      <c r="Q65" s="39">
        <f>'Financial CBA – Dundgovi'!Q46*IMP*SCF+(CARB_SOL+CARB_AG*Q6)*CARBP</f>
        <v>2606.6143492647057</v>
      </c>
      <c r="R65" s="39">
        <f>'Financial CBA – Dundgovi'!R46*IMP*SCF+(CARB_SOL+CARB_AG*R6)*CARBP</f>
        <v>2606.6143492647057</v>
      </c>
      <c r="T65" s="11" t="s">
        <v>241</v>
      </c>
      <c r="U65" s="26">
        <f>IFERROR(IRR(C68:R68),"n/a")</f>
        <v>0.23883556845461174</v>
      </c>
    </row>
    <row r="66" spans="1:21" x14ac:dyDescent="0.3">
      <c r="A66" s="11" t="s">
        <v>242</v>
      </c>
      <c r="C66" s="39">
        <f>'Financial CBA – Dundgovi'!C45*SCF</f>
        <v>6519.5</v>
      </c>
      <c r="D66" s="39">
        <f>'Financial CBA – Dundgovi'!D45*SCF</f>
        <v>0</v>
      </c>
      <c r="E66" s="39">
        <f>'Financial CBA – Dundgovi'!E45*SCF</f>
        <v>33.075000000000003</v>
      </c>
      <c r="F66" s="39">
        <f>'Financial CBA – Dundgovi'!F45*SCF</f>
        <v>0</v>
      </c>
      <c r="G66" s="39">
        <f>'Financial CBA – Dundgovi'!G45*SCF</f>
        <v>0</v>
      </c>
      <c r="H66" s="39">
        <f>'Financial CBA – Dundgovi'!H45*SCF</f>
        <v>0</v>
      </c>
      <c r="I66" s="39">
        <f>'Financial CBA – Dundgovi'!I45*SCF</f>
        <v>0</v>
      </c>
      <c r="J66" s="39">
        <f>'Financial CBA – Dundgovi'!J45*SCF</f>
        <v>194.4</v>
      </c>
      <c r="K66" s="39">
        <f>'Financial CBA – Dundgovi'!K45*SCF</f>
        <v>153.12499999999997</v>
      </c>
      <c r="L66" s="39">
        <f>'Financial CBA – Dundgovi'!L45*SCF</f>
        <v>0</v>
      </c>
      <c r="M66" s="39">
        <f>'Financial CBA – Dundgovi'!M45*SCF</f>
        <v>0</v>
      </c>
      <c r="N66" s="39">
        <f>'Financial CBA – Dundgovi'!N45*SCF</f>
        <v>0</v>
      </c>
      <c r="O66" s="39">
        <f>'Financial CBA – Dundgovi'!O45*SCF</f>
        <v>2356.875</v>
      </c>
      <c r="P66" s="39">
        <f>'Financial CBA – Dundgovi'!P45*SCF</f>
        <v>0</v>
      </c>
      <c r="Q66" s="39">
        <f>'Financial CBA – Dundgovi'!Q45*SCF</f>
        <v>194.4</v>
      </c>
      <c r="R66" s="39">
        <f>'Financial CBA – Dundgovi'!R45*SCF</f>
        <v>0</v>
      </c>
      <c r="T66" s="27" t="s">
        <v>243</v>
      </c>
      <c r="U66" s="33">
        <f>C68+NPV(DR_ECON,D68:R68)</f>
        <v>6965.0926112087636</v>
      </c>
    </row>
    <row r="67" spans="1:21" x14ac:dyDescent="0.3">
      <c r="A67" s="11" t="s">
        <v>244</v>
      </c>
      <c r="C67" s="39">
        <f>'Financial CBA – Dundgovi'!C47*SCF</f>
        <v>0</v>
      </c>
      <c r="D67" s="39">
        <f>'Financial CBA – Dundgovi'!D47*SCF</f>
        <v>842.35871848739498</v>
      </c>
      <c r="E67" s="39">
        <f>'Financial CBA – Dundgovi'!E47*SCF</f>
        <v>842.35871848739498</v>
      </c>
      <c r="F67" s="39">
        <f>'Financial CBA – Dundgovi'!F47*SCF</f>
        <v>842.35871848739498</v>
      </c>
      <c r="G67" s="39">
        <f>'Financial CBA – Dundgovi'!G47*SCF</f>
        <v>842.35871848739498</v>
      </c>
      <c r="H67" s="39">
        <f>'Financial CBA – Dundgovi'!H47*SCF</f>
        <v>842.35871848739498</v>
      </c>
      <c r="I67" s="39">
        <f>'Financial CBA – Dundgovi'!I47*SCF</f>
        <v>842.35871848739498</v>
      </c>
      <c r="J67" s="39">
        <f>'Financial CBA – Dundgovi'!J47*SCF</f>
        <v>842.35871848739498</v>
      </c>
      <c r="K67" s="39">
        <f>'Financial CBA – Dundgovi'!K47*SCF</f>
        <v>842.35871848739498</v>
      </c>
      <c r="L67" s="39">
        <f>'Financial CBA – Dundgovi'!L47*SCF</f>
        <v>842.35871848739498</v>
      </c>
      <c r="M67" s="39">
        <f>'Financial CBA – Dundgovi'!M47*SCF</f>
        <v>842.35871848739498</v>
      </c>
      <c r="N67" s="39">
        <f>'Financial CBA – Dundgovi'!N47*SCF</f>
        <v>842.35871848739498</v>
      </c>
      <c r="O67" s="39">
        <f>'Financial CBA – Dundgovi'!O47*SCF</f>
        <v>842.35871848739498</v>
      </c>
      <c r="P67" s="39">
        <f>'Financial CBA – Dundgovi'!P47*SCF</f>
        <v>842.35871848739498</v>
      </c>
      <c r="Q67" s="39">
        <f>'Financial CBA – Dundgovi'!Q47*SCF</f>
        <v>842.35871848739498</v>
      </c>
      <c r="R67" s="39">
        <f>'Financial CBA – Dundgovi'!R47*SCF</f>
        <v>842.35871848739498</v>
      </c>
      <c r="T67" s="11" t="s">
        <v>245</v>
      </c>
      <c r="U67" s="34">
        <f>(SUMPRODUCT(C65:R65,C5:R5))/(SUMPRODUCT((C66:R66+C67:R67),C5:R5))</f>
        <v>1.4656962263745672</v>
      </c>
    </row>
    <row r="68" spans="1:21" x14ac:dyDescent="0.3">
      <c r="A68" s="27" t="s">
        <v>246</v>
      </c>
      <c r="C68" s="35">
        <f t="shared" ref="C68:R68" si="16">C65-C67-C66</f>
        <v>-6519.5</v>
      </c>
      <c r="D68" s="35">
        <f t="shared" si="16"/>
        <v>1630.8727232142855</v>
      </c>
      <c r="E68" s="35">
        <f t="shared" si="16"/>
        <v>1597.7977232142855</v>
      </c>
      <c r="F68" s="35">
        <f t="shared" si="16"/>
        <v>1664.0134795168065</v>
      </c>
      <c r="G68" s="35">
        <f t="shared" si="16"/>
        <v>1697.1542358193274</v>
      </c>
      <c r="H68" s="35">
        <f t="shared" si="16"/>
        <v>1730.2949921218483</v>
      </c>
      <c r="I68" s="35">
        <f t="shared" si="16"/>
        <v>1764.2556307773107</v>
      </c>
      <c r="J68" s="35">
        <f t="shared" si="16"/>
        <v>1569.8556307773106</v>
      </c>
      <c r="K68" s="35">
        <f t="shared" si="16"/>
        <v>1611.1306307773107</v>
      </c>
      <c r="L68" s="35">
        <f t="shared" si="16"/>
        <v>1764.2556307773107</v>
      </c>
      <c r="M68" s="35">
        <f t="shared" si="16"/>
        <v>1764.2556307773107</v>
      </c>
      <c r="N68" s="35">
        <f t="shared" si="16"/>
        <v>1764.2556307773107</v>
      </c>
      <c r="O68" s="35">
        <f t="shared" si="16"/>
        <v>-592.61936922268933</v>
      </c>
      <c r="P68" s="35">
        <f t="shared" si="16"/>
        <v>1764.2556307773107</v>
      </c>
      <c r="Q68" s="35">
        <f t="shared" si="16"/>
        <v>1569.8556307773106</v>
      </c>
      <c r="R68" s="35">
        <f t="shared" si="16"/>
        <v>1764.2556307773107</v>
      </c>
      <c r="T68" s="11" t="s">
        <v>225</v>
      </c>
      <c r="U68" s="36">
        <f>IF(SUMPRODUCT(--(C69:R69&lt;0))&gt;15,"&gt;15",SUMPRODUCT(--(C69:R69&lt;0)))</f>
        <v>4</v>
      </c>
    </row>
    <row r="69" spans="1:21" x14ac:dyDescent="0.3">
      <c r="A69" s="37" t="s">
        <v>247</v>
      </c>
      <c r="C69" s="38">
        <f>C68</f>
        <v>-6519.5</v>
      </c>
      <c r="D69" s="38">
        <f t="shared" ref="D69:R69" si="17">C69+D68</f>
        <v>-4888.6272767857145</v>
      </c>
      <c r="E69" s="38">
        <f t="shared" si="17"/>
        <v>-3290.8295535714287</v>
      </c>
      <c r="F69" s="38">
        <f t="shared" si="17"/>
        <v>-1626.8160740546223</v>
      </c>
      <c r="G69" s="38">
        <f t="shared" si="17"/>
        <v>70.338161764705092</v>
      </c>
      <c r="H69" s="38">
        <f t="shared" si="17"/>
        <v>1800.6331538865534</v>
      </c>
      <c r="I69" s="38">
        <f t="shared" si="17"/>
        <v>3564.888784663864</v>
      </c>
      <c r="J69" s="38">
        <f t="shared" si="17"/>
        <v>5134.7444154411751</v>
      </c>
      <c r="K69" s="38">
        <f t="shared" si="17"/>
        <v>6745.8750462184853</v>
      </c>
      <c r="L69" s="38">
        <f t="shared" si="17"/>
        <v>8510.1306769957955</v>
      </c>
      <c r="M69" s="38">
        <f t="shared" si="17"/>
        <v>10274.386307773106</v>
      </c>
      <c r="N69" s="38">
        <f t="shared" si="17"/>
        <v>12038.641938550416</v>
      </c>
      <c r="O69" s="38">
        <f t="shared" si="17"/>
        <v>11446.022569327726</v>
      </c>
      <c r="P69" s="38">
        <f t="shared" si="17"/>
        <v>13210.278200105036</v>
      </c>
      <c r="Q69" s="38">
        <f t="shared" si="17"/>
        <v>14780.133830882347</v>
      </c>
      <c r="R69" s="38">
        <f t="shared" si="17"/>
        <v>16544.389461659659</v>
      </c>
    </row>
    <row r="71" spans="1:21" x14ac:dyDescent="0.3">
      <c r="A71" s="57" t="s">
        <v>252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</row>
    <row r="72" spans="1:21" x14ac:dyDescent="0.3">
      <c r="A72" s="11" t="s">
        <v>240</v>
      </c>
      <c r="C72" s="39">
        <f>'Financial CBA – Dundgovi'!C53*IMP*SCF</f>
        <v>0</v>
      </c>
      <c r="D72" s="39">
        <f>'Financial CBA – Dundgovi'!D53*IMP*SCF</f>
        <v>5.4794117647058824</v>
      </c>
      <c r="E72" s="39">
        <f>'Financial CBA – Dundgovi'!E53*IMP*SCF</f>
        <v>5.4794117647058824</v>
      </c>
      <c r="F72" s="39">
        <f>'Financial CBA – Dundgovi'!F53*IMP*SCF</f>
        <v>5.4794117647058824</v>
      </c>
      <c r="G72" s="39">
        <f>'Financial CBA – Dundgovi'!G53*IMP*SCF</f>
        <v>5.4794117647058824</v>
      </c>
      <c r="H72" s="39">
        <f>'Financial CBA – Dundgovi'!H53*IMP*SCF</f>
        <v>5.4794117647058824</v>
      </c>
      <c r="I72" s="39">
        <f>'Financial CBA – Dundgovi'!I53*IMP*SCF</f>
        <v>5.4794117647058824</v>
      </c>
      <c r="J72" s="39">
        <f>'Financial CBA – Dundgovi'!J53*IMP*SCF</f>
        <v>5.4794117647058824</v>
      </c>
      <c r="K72" s="39">
        <f>'Financial CBA – Dundgovi'!K53*IMP*SCF</f>
        <v>5.4794117647058824</v>
      </c>
      <c r="L72" s="39">
        <f>'Financial CBA – Dundgovi'!L53*IMP*SCF</f>
        <v>5.4794117647058824</v>
      </c>
      <c r="M72" s="39">
        <f>'Financial CBA – Dundgovi'!M53*IMP*SCF</f>
        <v>5.4794117647058824</v>
      </c>
      <c r="N72" s="39">
        <f>'Financial CBA – Dundgovi'!N53*IMP*SCF</f>
        <v>5.4794117647058824</v>
      </c>
      <c r="O72" s="39">
        <f>'Financial CBA – Dundgovi'!O53*IMP*SCF</f>
        <v>5.4794117647058824</v>
      </c>
      <c r="P72" s="39">
        <f>'Financial CBA – Dundgovi'!P53*IMP*SCF</f>
        <v>5.4794117647058824</v>
      </c>
      <c r="Q72" s="39">
        <f>'Financial CBA – Dundgovi'!Q53*IMP*SCF</f>
        <v>5.4794117647058824</v>
      </c>
      <c r="R72" s="39">
        <f>'Financial CBA – Dundgovi'!R53*IMP*SCF</f>
        <v>5.4794117647058824</v>
      </c>
      <c r="T72" s="11" t="s">
        <v>241</v>
      </c>
      <c r="U72" s="26" t="str">
        <f>IFERROR(IRR(C75:R75),"n/a")</f>
        <v>n/a</v>
      </c>
    </row>
    <row r="73" spans="1:21" x14ac:dyDescent="0.3">
      <c r="A73" s="11" t="s">
        <v>242</v>
      </c>
      <c r="C73" s="39">
        <f>'Financial CBA – Dundgovi'!C52*SCF</f>
        <v>0</v>
      </c>
      <c r="D73" s="39">
        <f>'Financial CBA – Dundgovi'!D52*SCF</f>
        <v>0</v>
      </c>
      <c r="E73" s="39">
        <f>'Financial CBA – Dundgovi'!E52*SCF</f>
        <v>0</v>
      </c>
      <c r="F73" s="39">
        <f>'Financial CBA – Dundgovi'!F52*SCF</f>
        <v>0</v>
      </c>
      <c r="G73" s="39">
        <f>'Financial CBA – Dundgovi'!G52*SCF</f>
        <v>0</v>
      </c>
      <c r="H73" s="39">
        <f>'Financial CBA – Dundgovi'!H52*SCF</f>
        <v>0</v>
      </c>
      <c r="I73" s="39">
        <f>'Financial CBA – Dundgovi'!I52*SCF</f>
        <v>0</v>
      </c>
      <c r="J73" s="39">
        <f>'Financial CBA – Dundgovi'!J52*SCF</f>
        <v>0</v>
      </c>
      <c r="K73" s="39">
        <f>'Financial CBA – Dundgovi'!K52*SCF</f>
        <v>0</v>
      </c>
      <c r="L73" s="39">
        <f>'Financial CBA – Dundgovi'!L52*SCF</f>
        <v>0</v>
      </c>
      <c r="M73" s="39">
        <f>'Financial CBA – Dundgovi'!M52*SCF</f>
        <v>0</v>
      </c>
      <c r="N73" s="39">
        <f>'Financial CBA – Dundgovi'!N52*SCF</f>
        <v>0</v>
      </c>
      <c r="O73" s="39">
        <f>'Financial CBA – Dundgovi'!O52*SCF</f>
        <v>0</v>
      </c>
      <c r="P73" s="39">
        <f>'Financial CBA – Dundgovi'!P52*SCF</f>
        <v>0</v>
      </c>
      <c r="Q73" s="39">
        <f>'Financial CBA – Dundgovi'!Q52*SCF</f>
        <v>0</v>
      </c>
      <c r="R73" s="39">
        <f>'Financial CBA – Dundgovi'!R52*SCF</f>
        <v>0</v>
      </c>
      <c r="T73" s="27" t="s">
        <v>243</v>
      </c>
      <c r="U73" s="33">
        <f>C75+NPV(DR_ECON,D75:R75)</f>
        <v>19.711975919548081</v>
      </c>
    </row>
    <row r="74" spans="1:21" x14ac:dyDescent="0.3">
      <c r="A74" s="11" t="s">
        <v>244</v>
      </c>
      <c r="C74" s="39">
        <f>'Financial CBA – Dundgovi'!C54*SCF</f>
        <v>0</v>
      </c>
      <c r="D74" s="39">
        <f>'Financial CBA – Dundgovi'!D54*SCF</f>
        <v>3.1764705882352939</v>
      </c>
      <c r="E74" s="39">
        <f>'Financial CBA – Dundgovi'!E54*SCF</f>
        <v>3.1764705882352939</v>
      </c>
      <c r="F74" s="39">
        <f>'Financial CBA – Dundgovi'!F54*SCF</f>
        <v>3.1764705882352939</v>
      </c>
      <c r="G74" s="39">
        <f>'Financial CBA – Dundgovi'!G54*SCF</f>
        <v>3.1764705882352939</v>
      </c>
      <c r="H74" s="39">
        <f>'Financial CBA – Dundgovi'!H54*SCF</f>
        <v>3.1764705882352939</v>
      </c>
      <c r="I74" s="39">
        <f>'Financial CBA – Dundgovi'!I54*SCF</f>
        <v>3.1764705882352939</v>
      </c>
      <c r="J74" s="39">
        <f>'Financial CBA – Dundgovi'!J54*SCF</f>
        <v>3.1764705882352939</v>
      </c>
      <c r="K74" s="39">
        <f>'Financial CBA – Dundgovi'!K54*SCF</f>
        <v>3.1764705882352939</v>
      </c>
      <c r="L74" s="39">
        <f>'Financial CBA – Dundgovi'!L54*SCF</f>
        <v>3.1764705882352939</v>
      </c>
      <c r="M74" s="39">
        <f>'Financial CBA – Dundgovi'!M54*SCF</f>
        <v>3.1764705882352939</v>
      </c>
      <c r="N74" s="39">
        <f>'Financial CBA – Dundgovi'!N54*SCF</f>
        <v>3.1764705882352939</v>
      </c>
      <c r="O74" s="39">
        <f>'Financial CBA – Dundgovi'!O54*SCF</f>
        <v>3.1764705882352939</v>
      </c>
      <c r="P74" s="39">
        <f>'Financial CBA – Dundgovi'!P54*SCF</f>
        <v>3.1764705882352939</v>
      </c>
      <c r="Q74" s="39">
        <f>'Financial CBA – Dundgovi'!Q54*SCF</f>
        <v>3.1764705882352939</v>
      </c>
      <c r="R74" s="39">
        <f>'Financial CBA – Dundgovi'!R54*SCF</f>
        <v>3.1764705882352939</v>
      </c>
      <c r="T74" s="11" t="s">
        <v>245</v>
      </c>
      <c r="U74" s="34">
        <f>(SUMPRODUCT(C72:R72,C5:R5))/(SUMPRODUCT((C73:R73+C74:R74),C5:R5))</f>
        <v>1.7250000000000003</v>
      </c>
    </row>
    <row r="75" spans="1:21" x14ac:dyDescent="0.3">
      <c r="A75" s="27" t="s">
        <v>246</v>
      </c>
      <c r="C75" s="35">
        <f t="shared" ref="C75:R75" si="18">C72-C74-C73</f>
        <v>0</v>
      </c>
      <c r="D75" s="35">
        <f t="shared" si="18"/>
        <v>2.3029411764705885</v>
      </c>
      <c r="E75" s="35">
        <f t="shared" si="18"/>
        <v>2.3029411764705885</v>
      </c>
      <c r="F75" s="35">
        <f t="shared" si="18"/>
        <v>2.3029411764705885</v>
      </c>
      <c r="G75" s="35">
        <f t="shared" si="18"/>
        <v>2.3029411764705885</v>
      </c>
      <c r="H75" s="35">
        <f t="shared" si="18"/>
        <v>2.3029411764705885</v>
      </c>
      <c r="I75" s="35">
        <f t="shared" si="18"/>
        <v>2.3029411764705885</v>
      </c>
      <c r="J75" s="35">
        <f t="shared" si="18"/>
        <v>2.3029411764705885</v>
      </c>
      <c r="K75" s="35">
        <f t="shared" si="18"/>
        <v>2.3029411764705885</v>
      </c>
      <c r="L75" s="35">
        <f t="shared" si="18"/>
        <v>2.3029411764705885</v>
      </c>
      <c r="M75" s="35">
        <f t="shared" si="18"/>
        <v>2.3029411764705885</v>
      </c>
      <c r="N75" s="35">
        <f t="shared" si="18"/>
        <v>2.3029411764705885</v>
      </c>
      <c r="O75" s="35">
        <f t="shared" si="18"/>
        <v>2.3029411764705885</v>
      </c>
      <c r="P75" s="35">
        <f t="shared" si="18"/>
        <v>2.3029411764705885</v>
      </c>
      <c r="Q75" s="35">
        <f t="shared" si="18"/>
        <v>2.3029411764705885</v>
      </c>
      <c r="R75" s="35">
        <f t="shared" si="18"/>
        <v>2.3029411764705885</v>
      </c>
      <c r="T75" s="11" t="s">
        <v>225</v>
      </c>
      <c r="U75" s="36">
        <f>IF(SUMPRODUCT(--(C76:R76&lt;0))&gt;15,"&gt;15",SUMPRODUCT(--(C76:R76&lt;0)))</f>
        <v>0</v>
      </c>
    </row>
    <row r="76" spans="1:21" x14ac:dyDescent="0.3">
      <c r="A76" s="37" t="s">
        <v>247</v>
      </c>
      <c r="C76" s="38">
        <f>C75</f>
        <v>0</v>
      </c>
      <c r="D76" s="38">
        <f t="shared" ref="D76:R76" si="19">C76+D75</f>
        <v>2.3029411764705885</v>
      </c>
      <c r="E76" s="38">
        <f t="shared" si="19"/>
        <v>4.605882352941177</v>
      </c>
      <c r="F76" s="38">
        <f t="shared" si="19"/>
        <v>6.9088235294117659</v>
      </c>
      <c r="G76" s="38">
        <f t="shared" si="19"/>
        <v>9.211764705882354</v>
      </c>
      <c r="H76" s="38">
        <f t="shared" si="19"/>
        <v>11.514705882352942</v>
      </c>
      <c r="I76" s="38">
        <f t="shared" si="19"/>
        <v>13.81764705882353</v>
      </c>
      <c r="J76" s="38">
        <f t="shared" si="19"/>
        <v>16.120588235294118</v>
      </c>
      <c r="K76" s="38">
        <f t="shared" si="19"/>
        <v>18.423529411764708</v>
      </c>
      <c r="L76" s="38">
        <f t="shared" si="19"/>
        <v>20.726470588235298</v>
      </c>
      <c r="M76" s="38">
        <f t="shared" si="19"/>
        <v>23.029411764705888</v>
      </c>
      <c r="N76" s="38">
        <f t="shared" si="19"/>
        <v>25.332352941176477</v>
      </c>
      <c r="O76" s="38">
        <f t="shared" si="19"/>
        <v>27.635294117647067</v>
      </c>
      <c r="P76" s="38">
        <f t="shared" si="19"/>
        <v>29.938235294117657</v>
      </c>
      <c r="Q76" s="38">
        <f t="shared" si="19"/>
        <v>32.241176470588243</v>
      </c>
      <c r="R76" s="38">
        <f t="shared" si="19"/>
        <v>34.544117647058833</v>
      </c>
    </row>
  </sheetData>
  <mergeCells count="10">
    <mergeCell ref="A43:R43"/>
    <mergeCell ref="A50:R50"/>
    <mergeCell ref="A57:R57"/>
    <mergeCell ref="A64:R64"/>
    <mergeCell ref="A71:R71"/>
    <mergeCell ref="A8:R8"/>
    <mergeCell ref="A15:R15"/>
    <mergeCell ref="A22:R22"/>
    <mergeCell ref="A29:R29"/>
    <mergeCell ref="A36:R36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74"/>
  <sheetViews>
    <sheetView showGridLines="0" topLeftCell="A44" zoomScale="70" zoomScaleNormal="70" workbookViewId="0">
      <selection activeCell="C63" sqref="C63"/>
    </sheetView>
  </sheetViews>
  <sheetFormatPr defaultColWidth="8.77734375" defaultRowHeight="14.4" x14ac:dyDescent="0.3"/>
  <cols>
    <col min="1" max="1" width="2" customWidth="1"/>
    <col min="2" max="2" width="48" customWidth="1"/>
    <col min="3" max="9" width="13" customWidth="1"/>
  </cols>
  <sheetData>
    <row r="2" spans="2:9" ht="17.25" customHeight="1" x14ac:dyDescent="0.3">
      <c r="B2" s="10" t="s">
        <v>253</v>
      </c>
    </row>
    <row r="3" spans="2:9" ht="27.75" customHeight="1" x14ac:dyDescent="0.3">
      <c r="B3" s="55" t="s">
        <v>254</v>
      </c>
      <c r="C3" s="55"/>
      <c r="D3" s="55"/>
      <c r="E3" s="55"/>
      <c r="F3" s="55"/>
      <c r="G3" s="55"/>
      <c r="H3" s="55"/>
      <c r="I3" s="55"/>
    </row>
    <row r="5" spans="2:9" x14ac:dyDescent="0.3">
      <c r="B5" s="40" t="s">
        <v>255</v>
      </c>
      <c r="C5" s="41"/>
      <c r="D5" s="41"/>
      <c r="E5" s="41"/>
      <c r="F5" s="41"/>
      <c r="G5" s="41"/>
      <c r="H5" s="41"/>
    </row>
    <row r="6" spans="2:9" x14ac:dyDescent="0.3">
      <c r="B6" s="42" t="s">
        <v>256</v>
      </c>
      <c r="C6" s="43" t="s">
        <v>219</v>
      </c>
      <c r="D6" s="43" t="s">
        <v>221</v>
      </c>
      <c r="E6" s="43" t="s">
        <v>223</v>
      </c>
      <c r="F6" s="43" t="s">
        <v>225</v>
      </c>
    </row>
    <row r="7" spans="2:9" x14ac:dyDescent="0.3">
      <c r="B7" s="12" t="s">
        <v>325</v>
      </c>
      <c r="C7" s="44"/>
      <c r="D7" s="44"/>
      <c r="E7" s="44"/>
      <c r="F7" s="44"/>
    </row>
    <row r="8" spans="2:9" x14ac:dyDescent="0.3">
      <c r="B8" s="45" t="s">
        <v>257</v>
      </c>
      <c r="C8" s="46">
        <f>'Financial CBA – Uvurkhangai'!U10</f>
        <v>-365.44488488124733</v>
      </c>
      <c r="D8" s="47" t="str">
        <f>'Financial CBA – Uvurkhangai'!U11</f>
        <v>n/a</v>
      </c>
      <c r="E8" s="48">
        <f>'Financial CBA – Uvurkhangai'!U12</f>
        <v>0.33708770561832796</v>
      </c>
      <c r="F8" s="49" t="str">
        <f>'Financial CBA – Uvurkhangai'!U13</f>
        <v>&gt;15</v>
      </c>
    </row>
    <row r="9" spans="2:9" x14ac:dyDescent="0.3">
      <c r="B9" s="45" t="s">
        <v>258</v>
      </c>
      <c r="C9" s="46">
        <f>'Financial CBA – Uvurkhangai'!U17</f>
        <v>15060.452825707001</v>
      </c>
      <c r="D9" s="47">
        <f>'Financial CBA – Uvurkhangai'!U18</f>
        <v>0.44605569288648361</v>
      </c>
      <c r="E9" s="48">
        <f>'Financial CBA – Uvurkhangai'!U19</f>
        <v>2.3860314289651718</v>
      </c>
      <c r="F9" s="49">
        <f>'Financial CBA – Uvurkhangai'!U20</f>
        <v>3</v>
      </c>
    </row>
    <row r="10" spans="2:9" x14ac:dyDescent="0.3">
      <c r="B10" s="45" t="s">
        <v>259</v>
      </c>
      <c r="C10" s="46">
        <f>'Financial CBA – Uvurkhangai'!U24</f>
        <v>-665.38829791355886</v>
      </c>
      <c r="D10" s="47">
        <f>'Financial CBA – Uvurkhangai'!U25</f>
        <v>-3.5481440746837012E-2</v>
      </c>
      <c r="E10" s="48">
        <f>'Financial CBA – Uvurkhangai'!U26</f>
        <v>0.26202749194032521</v>
      </c>
      <c r="F10" s="49" t="str">
        <f>'Financial CBA – Uvurkhangai'!U27</f>
        <v>&gt;15</v>
      </c>
    </row>
    <row r="11" spans="2:9" x14ac:dyDescent="0.3">
      <c r="B11" s="45" t="s">
        <v>260</v>
      </c>
      <c r="C11" s="46">
        <f>'Financial CBA – Uvurkhangai'!U31</f>
        <v>15552.20002266618</v>
      </c>
      <c r="D11" s="47">
        <f>'Financial CBA – Uvurkhangai'!U32</f>
        <v>0.43062001985428267</v>
      </c>
      <c r="E11" s="48">
        <f>'Financial CBA – Uvurkhangai'!U33</f>
        <v>2.2150503405944102</v>
      </c>
      <c r="F11" s="49">
        <f>'Financial CBA – Uvurkhangai'!U34</f>
        <v>3</v>
      </c>
    </row>
    <row r="12" spans="2:9" x14ac:dyDescent="0.3">
      <c r="B12" s="45" t="s">
        <v>261</v>
      </c>
      <c r="C12" s="46">
        <f>'Financial CBA – Uvurkhangai'!U38</f>
        <v>20.133739869639776</v>
      </c>
      <c r="D12" s="47" t="str">
        <f>'Financial CBA – Uvurkhangai'!U39</f>
        <v>n/a</v>
      </c>
      <c r="E12" s="48">
        <f>'Financial CBA – Uvurkhangai'!U40</f>
        <v>1.5</v>
      </c>
      <c r="F12" s="49">
        <f>'Financial CBA – Uvurkhangai'!U41</f>
        <v>0</v>
      </c>
    </row>
    <row r="13" spans="2:9" x14ac:dyDescent="0.3">
      <c r="B13" s="12" t="s">
        <v>196</v>
      </c>
      <c r="C13" s="44"/>
      <c r="D13" s="44"/>
      <c r="E13" s="44"/>
      <c r="F13" s="44"/>
    </row>
    <row r="14" spans="2:9" x14ac:dyDescent="0.3">
      <c r="B14" s="45" t="s">
        <v>257</v>
      </c>
      <c r="C14" s="46">
        <f>'Financial CBA – Dundgovi'!U10</f>
        <v>-979.06693466578213</v>
      </c>
      <c r="D14" s="47" t="str">
        <f>'Financial CBA – Dundgovi'!U11</f>
        <v>n/a</v>
      </c>
      <c r="E14" s="48">
        <f>'Financial CBA – Dundgovi'!U12</f>
        <v>0.15137407168673012</v>
      </c>
      <c r="F14" s="49" t="str">
        <f>'Financial CBA – Dundgovi'!U13</f>
        <v>&gt;15</v>
      </c>
    </row>
    <row r="15" spans="2:9" x14ac:dyDescent="0.3">
      <c r="B15" s="45" t="s">
        <v>262</v>
      </c>
      <c r="C15" s="46">
        <f>'Financial CBA – Dundgovi'!U24</f>
        <v>3210.9772271579113</v>
      </c>
      <c r="D15" s="47">
        <f>'Financial CBA – Dundgovi'!U25</f>
        <v>0.18323197224362708</v>
      </c>
      <c r="E15" s="48">
        <f>'Financial CBA – Dundgovi'!U26</f>
        <v>1.232328025244469</v>
      </c>
      <c r="F15" s="49">
        <f>'Financial CBA – Dundgovi'!U27</f>
        <v>5</v>
      </c>
    </row>
    <row r="16" spans="2:9" x14ac:dyDescent="0.3">
      <c r="B16" s="45" t="s">
        <v>263</v>
      </c>
      <c r="C16" s="46">
        <f>'Financial CBA – Dundgovi'!U17</f>
        <v>-4289.0227728420887</v>
      </c>
      <c r="D16" s="47">
        <f>'Financial CBA – Dundgovi'!U18</f>
        <v>3.9167676722809519E-2</v>
      </c>
      <c r="E16" s="48">
        <f>'Financial CBA – Dundgovi'!U19</f>
        <v>0.79883460569715659</v>
      </c>
      <c r="F16" s="49">
        <f>'Financial CBA – Dundgovi'!U20</f>
        <v>11</v>
      </c>
    </row>
    <row r="17" spans="2:8" x14ac:dyDescent="0.3">
      <c r="B17" s="45" t="s">
        <v>259</v>
      </c>
      <c r="C17" s="46">
        <f>'Financial CBA – Dundgovi'!U31</f>
        <v>-1589.2320020849934</v>
      </c>
      <c r="D17" s="47" t="str">
        <f>'Financial CBA – Dundgovi'!U32</f>
        <v>n/a</v>
      </c>
      <c r="E17" s="48">
        <f>'Financial CBA – Dundgovi'!U33</f>
        <v>-5.6613739756938279E-2</v>
      </c>
      <c r="F17" s="49" t="str">
        <f>'Financial CBA – Dundgovi'!U34</f>
        <v>&gt;15</v>
      </c>
    </row>
    <row r="18" spans="2:8" x14ac:dyDescent="0.3">
      <c r="B18" s="45" t="s">
        <v>264</v>
      </c>
      <c r="C18" s="46">
        <f>'Financial CBA – Dundgovi'!U45</f>
        <v>3252.5421182768732</v>
      </c>
      <c r="D18" s="47">
        <f>'Financial CBA – Dundgovi'!U46</f>
        <v>0.17809312112928621</v>
      </c>
      <c r="E18" s="48">
        <f>'Financial CBA – Dundgovi'!U47</f>
        <v>1.2101843728259281</v>
      </c>
      <c r="F18" s="49">
        <f>'Financial CBA – Dundgovi'!U48</f>
        <v>5</v>
      </c>
    </row>
    <row r="19" spans="2:8" x14ac:dyDescent="0.3">
      <c r="B19" s="45" t="s">
        <v>265</v>
      </c>
      <c r="C19" s="46">
        <f>'Financial CBA – Dundgovi'!U38</f>
        <v>-4247.4578817231268</v>
      </c>
      <c r="D19" s="47">
        <f>'Financial CBA – Dundgovi'!U39</f>
        <v>4.2608653760534798E-2</v>
      </c>
      <c r="E19" s="48">
        <f>'Financial CBA – Dundgovi'!U40</f>
        <v>0.81512463192394502</v>
      </c>
      <c r="F19" s="49">
        <f>'Financial CBA – Dundgovi'!U41</f>
        <v>10</v>
      </c>
    </row>
    <row r="20" spans="2:8" x14ac:dyDescent="0.3">
      <c r="B20" s="45" t="s">
        <v>261</v>
      </c>
      <c r="C20" s="46">
        <f>'Financial CBA – Dundgovi'!U52</f>
        <v>13.422493246426516</v>
      </c>
      <c r="D20" s="47" t="str">
        <f>'Financial CBA – Dundgovi'!U53</f>
        <v>n/a</v>
      </c>
      <c r="E20" s="48">
        <f>'Financial CBA – Dundgovi'!U54</f>
        <v>1.5</v>
      </c>
      <c r="F20" s="49">
        <f>'Financial CBA – Dundgovi'!U55</f>
        <v>0</v>
      </c>
    </row>
    <row r="22" spans="2:8" x14ac:dyDescent="0.3">
      <c r="B22" s="40" t="s">
        <v>266</v>
      </c>
      <c r="C22" s="41"/>
      <c r="D22" s="41"/>
      <c r="E22" s="41"/>
      <c r="F22" s="41"/>
      <c r="G22" s="41"/>
      <c r="H22" s="41"/>
    </row>
    <row r="23" spans="2:8" x14ac:dyDescent="0.3">
      <c r="B23" s="42" t="s">
        <v>256</v>
      </c>
      <c r="C23" s="43" t="s">
        <v>243</v>
      </c>
      <c r="D23" s="43" t="s">
        <v>241</v>
      </c>
      <c r="E23" s="43" t="s">
        <v>245</v>
      </c>
      <c r="F23" s="43" t="s">
        <v>225</v>
      </c>
    </row>
    <row r="24" spans="2:8" x14ac:dyDescent="0.3">
      <c r="B24" s="12" t="s">
        <v>325</v>
      </c>
      <c r="C24" s="44"/>
      <c r="D24" s="44"/>
      <c r="E24" s="44"/>
      <c r="F24" s="44"/>
    </row>
    <row r="25" spans="2:8" x14ac:dyDescent="0.3">
      <c r="B25" s="45" t="s">
        <v>257</v>
      </c>
      <c r="C25" s="46">
        <f>'Economic CBA'!U10</f>
        <v>-253.45634593274289</v>
      </c>
      <c r="D25" s="47" t="str">
        <f>'Economic CBA'!U9</f>
        <v>n/a</v>
      </c>
      <c r="E25" s="48">
        <f>'Economic CBA'!U11</f>
        <v>0.51375488834698801</v>
      </c>
      <c r="F25" s="49" t="str">
        <f>'Economic CBA'!U12</f>
        <v>&gt;15</v>
      </c>
    </row>
    <row r="26" spans="2:8" x14ac:dyDescent="0.3">
      <c r="B26" s="45" t="s">
        <v>258</v>
      </c>
      <c r="C26" s="46">
        <f>'Economic CBA'!U17</f>
        <v>19921.57251203635</v>
      </c>
      <c r="D26" s="47">
        <f>'Economic CBA'!U16</f>
        <v>0.52742240018098796</v>
      </c>
      <c r="E26" s="48">
        <f>'Economic CBA'!U18</f>
        <v>2.9290632627108808</v>
      </c>
      <c r="F26" s="49">
        <f>'Economic CBA'!U19</f>
        <v>2</v>
      </c>
    </row>
    <row r="27" spans="2:8" x14ac:dyDescent="0.3">
      <c r="B27" s="45" t="s">
        <v>259</v>
      </c>
      <c r="C27" s="46">
        <f>'Economic CBA'!U24</f>
        <v>-437.62487965216229</v>
      </c>
      <c r="D27" s="47">
        <f>'Economic CBA'!U23</f>
        <v>1.1419899250841858E-4</v>
      </c>
      <c r="E27" s="48">
        <f>'Economic CBA'!U25</f>
        <v>0.47753064562459152</v>
      </c>
      <c r="F27" s="49">
        <f>'Economic CBA'!U26</f>
        <v>15</v>
      </c>
    </row>
    <row r="28" spans="2:8" x14ac:dyDescent="0.3">
      <c r="B28" s="45" t="s">
        <v>260</v>
      </c>
      <c r="C28" s="46">
        <f>'Economic CBA'!U31</f>
        <v>20900.063251327876</v>
      </c>
      <c r="D28" s="47">
        <f>'Economic CBA'!U30</f>
        <v>0.51274347624634653</v>
      </c>
      <c r="E28" s="48">
        <f>'Economic CBA'!U32</f>
        <v>2.7065322976885722</v>
      </c>
      <c r="F28" s="49">
        <f>'Economic CBA'!U33</f>
        <v>2</v>
      </c>
    </row>
    <row r="29" spans="2:8" x14ac:dyDescent="0.3">
      <c r="B29" s="45" t="s">
        <v>261</v>
      </c>
      <c r="C29" s="46">
        <f>'Economic CBA'!U38</f>
        <v>29.567963879322129</v>
      </c>
      <c r="D29" s="47" t="str">
        <f>'Economic CBA'!U37</f>
        <v>n/a</v>
      </c>
      <c r="E29" s="48">
        <f>'Economic CBA'!U39</f>
        <v>1.7250000000000005</v>
      </c>
      <c r="F29" s="49">
        <f>'Economic CBA'!U40</f>
        <v>0</v>
      </c>
    </row>
    <row r="30" spans="2:8" x14ac:dyDescent="0.3">
      <c r="B30" s="12" t="s">
        <v>267</v>
      </c>
      <c r="C30" s="44"/>
      <c r="D30" s="44"/>
      <c r="E30" s="44"/>
      <c r="F30" s="44"/>
    </row>
    <row r="31" spans="2:8" x14ac:dyDescent="0.3">
      <c r="B31" s="45" t="s">
        <v>257</v>
      </c>
      <c r="C31" s="46">
        <f>'Economic CBA'!U45</f>
        <v>-840.74585334313656</v>
      </c>
      <c r="D31" s="47" t="str">
        <f>'Economic CBA'!U44</f>
        <v>n/a</v>
      </c>
      <c r="E31" s="48">
        <f>'Economic CBA'!U46</f>
        <v>0.23255560182352128</v>
      </c>
      <c r="F31" s="49" t="str">
        <f>'Economic CBA'!U47</f>
        <v>&gt;15</v>
      </c>
    </row>
    <row r="32" spans="2:8" x14ac:dyDescent="0.3">
      <c r="B32" s="45" t="s">
        <v>258</v>
      </c>
      <c r="C32" s="46">
        <f>'Economic CBA'!U52</f>
        <v>6569.156130564892</v>
      </c>
      <c r="D32" s="47">
        <f>'Economic CBA'!U51</f>
        <v>0.24250967567116644</v>
      </c>
      <c r="E32" s="48">
        <f>'Economic CBA'!U53</f>
        <v>1.4931879023467811</v>
      </c>
      <c r="F32" s="49">
        <f>'Economic CBA'!U54</f>
        <v>4</v>
      </c>
    </row>
    <row r="33" spans="2:8" x14ac:dyDescent="0.3">
      <c r="B33" s="45" t="s">
        <v>259</v>
      </c>
      <c r="C33" s="46">
        <f>'Economic CBA'!U59</f>
        <v>-1401.9255368048239</v>
      </c>
      <c r="D33" s="47" t="str">
        <f>'Economic CBA'!U58</f>
        <v>n/a</v>
      </c>
      <c r="E33" s="48">
        <f>'Economic CBA'!U60</f>
        <v>7.0435981284383492E-3</v>
      </c>
      <c r="F33" s="49" t="str">
        <f>'Economic CBA'!U61</f>
        <v>&gt;15</v>
      </c>
    </row>
    <row r="34" spans="2:8" x14ac:dyDescent="0.3">
      <c r="B34" s="45" t="s">
        <v>260</v>
      </c>
      <c r="C34" s="46">
        <f>'Economic CBA'!U66</f>
        <v>6965.0926112087636</v>
      </c>
      <c r="D34" s="47">
        <f>'Economic CBA'!U65</f>
        <v>0.23883556845461174</v>
      </c>
      <c r="E34" s="48">
        <f>'Economic CBA'!U67</f>
        <v>1.4656962263745672</v>
      </c>
      <c r="F34" s="49">
        <f>'Economic CBA'!U68</f>
        <v>4</v>
      </c>
    </row>
    <row r="35" spans="2:8" x14ac:dyDescent="0.3">
      <c r="B35" s="45" t="s">
        <v>261</v>
      </c>
      <c r="C35" s="46">
        <f>'Economic CBA'!U73</f>
        <v>19.711975919548081</v>
      </c>
      <c r="D35" s="47" t="str">
        <f>'Economic CBA'!U72</f>
        <v>n/a</v>
      </c>
      <c r="E35" s="48">
        <f>'Economic CBA'!U74</f>
        <v>1.7250000000000003</v>
      </c>
      <c r="F35" s="49">
        <f>'Economic CBA'!U75</f>
        <v>0</v>
      </c>
    </row>
    <row r="37" spans="2:8" x14ac:dyDescent="0.3">
      <c r="B37" s="40" t="s">
        <v>268</v>
      </c>
      <c r="C37" s="41"/>
      <c r="D37" s="41"/>
      <c r="E37" s="41"/>
      <c r="F37" s="41"/>
      <c r="G37" s="41"/>
      <c r="H37" s="41"/>
    </row>
    <row r="38" spans="2:8" x14ac:dyDescent="0.3">
      <c r="B38" s="50" t="s">
        <v>269</v>
      </c>
      <c r="C38" s="51">
        <v>0.06</v>
      </c>
      <c r="D38" s="51">
        <v>0.08</v>
      </c>
      <c r="E38" s="51">
        <v>0.1</v>
      </c>
      <c r="F38" s="51">
        <v>0.12</v>
      </c>
      <c r="G38" s="51">
        <v>0.15</v>
      </c>
    </row>
    <row r="39" spans="2:8" x14ac:dyDescent="0.3">
      <c r="B39" s="45" t="s">
        <v>328</v>
      </c>
      <c r="C39" s="52">
        <f>'Financial CBA – Uvurkhangai'!C20+NPV(C$38,'Financial CBA – Uvurkhangai'!D20:R20)</f>
        <v>20891.305472544595</v>
      </c>
      <c r="D39" s="52">
        <f>'Financial CBA – Uvurkhangai'!C20+NPV(D$38,'Financial CBA – Uvurkhangai'!D20:R20)</f>
        <v>17701.599081575081</v>
      </c>
      <c r="E39" s="52">
        <f>'Financial CBA – Uvurkhangai'!C20+NPV(E$38,'Financial CBA – Uvurkhangai'!D20:R20)</f>
        <v>15060.452825707001</v>
      </c>
      <c r="F39" s="52">
        <f>'Financial CBA – Uvurkhangai'!C20+NPV(F$38,'Financial CBA – Uvurkhangai'!D20:R20)</f>
        <v>12854.412947827554</v>
      </c>
      <c r="G39" s="52">
        <f>'Financial CBA – Uvurkhangai'!C20+NPV(G$38,'Financial CBA – Uvurkhangai'!D20:R20)</f>
        <v>10176.119421392152</v>
      </c>
    </row>
    <row r="40" spans="2:8" x14ac:dyDescent="0.3">
      <c r="B40" s="45" t="s">
        <v>330</v>
      </c>
      <c r="C40" s="52">
        <f>'Financial CBA – Uvurkhangai'!C34+NPV(C$38,'Financial CBA – Uvurkhangai'!D34:R34)</f>
        <v>21713.538076293531</v>
      </c>
      <c r="D40" s="52">
        <f>'Financial CBA – Uvurkhangai'!C34+NPV(D$38,'Financial CBA – Uvurkhangai'!D34:R34)</f>
        <v>18341.474615369152</v>
      </c>
      <c r="E40" s="52">
        <f>'Financial CBA – Uvurkhangai'!C34+NPV(E$38,'Financial CBA – Uvurkhangai'!D34:R34)</f>
        <v>15552.20002266618</v>
      </c>
      <c r="F40" s="52">
        <f>'Financial CBA – Uvurkhangai'!C34+NPV(F$38,'Financial CBA – Uvurkhangai'!D34:R34)</f>
        <v>13224.980696554521</v>
      </c>
      <c r="G40" s="52">
        <f>'Financial CBA – Uvurkhangai'!C34+NPV(G$38,'Financial CBA – Uvurkhangai'!D34:R34)</f>
        <v>10403.605304711691</v>
      </c>
    </row>
    <row r="41" spans="2:8" x14ac:dyDescent="0.3">
      <c r="B41" s="45" t="s">
        <v>270</v>
      </c>
      <c r="C41" s="52">
        <f>'Financial CBA – Dundgovi'!C27+NPV(C$38,'Financial CBA – Dundgovi'!D27:R27)</f>
        <v>5750.9910280059612</v>
      </c>
      <c r="D41" s="52">
        <f>'Financial CBA – Dundgovi'!C27+NPV(D$38,'Financial CBA – Dundgovi'!D27:R27)</f>
        <v>4366.9871684045629</v>
      </c>
      <c r="E41" s="52">
        <f>'Financial CBA – Dundgovi'!C27+NPV(E$38,'Financial CBA – Dundgovi'!D27:R27)</f>
        <v>3210.9772271579113</v>
      </c>
      <c r="F41" s="52">
        <f>'Financial CBA – Dundgovi'!C27+NPV(F$38,'Financial CBA – Dundgovi'!D27:R27)</f>
        <v>2237.024026928595</v>
      </c>
      <c r="G41" s="52">
        <f>'Financial CBA – Dundgovi'!C27+NPV(G$38,'Financial CBA – Dundgovi'!D27:R27)</f>
        <v>1042.1766455811758</v>
      </c>
    </row>
    <row r="42" spans="2:8" x14ac:dyDescent="0.3">
      <c r="B42" s="45" t="s">
        <v>271</v>
      </c>
      <c r="C42" s="52">
        <f>'Financial CBA – Dundgovi'!C48+NPV(C$38,'Financial CBA – Dundgovi'!D48:R48)</f>
        <v>5963.8247521886587</v>
      </c>
      <c r="D42" s="52">
        <f>'Financial CBA – Dundgovi'!C48+NPV(D$38,'Financial CBA – Dundgovi'!D48:R48)</f>
        <v>4485.0964237595272</v>
      </c>
      <c r="E42" s="52">
        <f>'Financial CBA – Dundgovi'!C48+NPV(E$38,'Financial CBA – Dundgovi'!D48:R48)</f>
        <v>3252.5421182768732</v>
      </c>
      <c r="F42" s="52">
        <f>'Financial CBA – Dundgovi'!C48+NPV(F$38,'Financial CBA – Dundgovi'!D48:R48)</f>
        <v>2216.3308056257629</v>
      </c>
      <c r="G42" s="52">
        <f>'Financial CBA – Dundgovi'!C48+NPV(G$38,'Financial CBA – Dundgovi'!D48:R48)</f>
        <v>948.55478452449643</v>
      </c>
    </row>
    <row r="44" spans="2:8" x14ac:dyDescent="0.3">
      <c r="B44" s="40" t="s">
        <v>335</v>
      </c>
      <c r="C44" s="41"/>
      <c r="D44" s="41"/>
      <c r="E44" s="41"/>
      <c r="F44" s="41"/>
      <c r="G44" s="41"/>
      <c r="H44" s="41"/>
    </row>
    <row r="45" spans="2:8" ht="25.5" customHeight="1" x14ac:dyDescent="0.3">
      <c r="B45" s="42" t="s">
        <v>272</v>
      </c>
      <c r="C45" s="43" t="s">
        <v>273</v>
      </c>
      <c r="D45" s="43" t="s">
        <v>274</v>
      </c>
      <c r="E45" s="43" t="s">
        <v>275</v>
      </c>
    </row>
    <row r="46" spans="2:8" x14ac:dyDescent="0.3">
      <c r="B46" s="45" t="s">
        <v>276</v>
      </c>
      <c r="C46" s="52">
        <v>2350</v>
      </c>
      <c r="D46" s="52">
        <v>27771</v>
      </c>
      <c r="E46" s="52">
        <v>25420</v>
      </c>
    </row>
    <row r="47" spans="2:8" x14ac:dyDescent="0.3">
      <c r="B47" s="45" t="s">
        <v>277</v>
      </c>
      <c r="C47" s="52">
        <v>2350</v>
      </c>
      <c r="D47" s="52">
        <v>27771</v>
      </c>
      <c r="E47" s="52">
        <v>25420</v>
      </c>
    </row>
    <row r="48" spans="2:8" x14ac:dyDescent="0.3">
      <c r="B48" s="45" t="s">
        <v>278</v>
      </c>
      <c r="C48" s="52">
        <v>8785</v>
      </c>
      <c r="D48" s="52">
        <v>21335</v>
      </c>
      <c r="E48" s="52">
        <v>12550</v>
      </c>
    </row>
    <row r="49" spans="2:8" x14ac:dyDescent="0.3">
      <c r="B49" s="45" t="s">
        <v>279</v>
      </c>
      <c r="C49" s="52">
        <v>13560</v>
      </c>
      <c r="D49" s="52">
        <v>16560</v>
      </c>
      <c r="E49" s="52">
        <v>3000</v>
      </c>
    </row>
    <row r="50" spans="2:8" ht="15" customHeight="1" x14ac:dyDescent="0.3">
      <c r="B50" s="55" t="s">
        <v>280</v>
      </c>
      <c r="C50" s="55"/>
      <c r="D50" s="55"/>
      <c r="E50" s="55"/>
      <c r="F50" s="55"/>
    </row>
    <row r="52" spans="2:8" x14ac:dyDescent="0.3">
      <c r="B52" s="40" t="s">
        <v>281</v>
      </c>
      <c r="C52" s="41"/>
      <c r="D52" s="41"/>
      <c r="E52" s="41"/>
      <c r="F52" s="41"/>
      <c r="G52" s="41"/>
      <c r="H52" s="41"/>
    </row>
    <row r="53" spans="2:8" x14ac:dyDescent="0.3">
      <c r="B53" s="42" t="s">
        <v>269</v>
      </c>
      <c r="C53" s="43" t="s">
        <v>282</v>
      </c>
      <c r="D53" s="43" t="s">
        <v>283</v>
      </c>
    </row>
    <row r="54" spans="2:8" x14ac:dyDescent="0.3">
      <c r="B54" s="45" t="s">
        <v>332</v>
      </c>
      <c r="C54" s="52">
        <v>15060</v>
      </c>
      <c r="D54" s="52">
        <v>17742</v>
      </c>
    </row>
    <row r="55" spans="2:8" x14ac:dyDescent="0.3">
      <c r="B55" s="45" t="s">
        <v>333</v>
      </c>
      <c r="C55" s="52">
        <v>-665</v>
      </c>
      <c r="D55" s="52">
        <v>-577</v>
      </c>
    </row>
    <row r="56" spans="2:8" x14ac:dyDescent="0.3">
      <c r="B56" s="45" t="s">
        <v>334</v>
      </c>
      <c r="C56" s="52">
        <v>15552</v>
      </c>
      <c r="D56" s="52">
        <v>18398</v>
      </c>
    </row>
    <row r="57" spans="2:8" x14ac:dyDescent="0.3">
      <c r="B57" s="45" t="s">
        <v>284</v>
      </c>
      <c r="C57" s="52">
        <v>3211</v>
      </c>
      <c r="D57" s="52">
        <v>4549</v>
      </c>
    </row>
    <row r="58" spans="2:8" x14ac:dyDescent="0.3">
      <c r="B58" s="45" t="s">
        <v>285</v>
      </c>
      <c r="C58" s="52">
        <v>-1589</v>
      </c>
      <c r="D58" s="52">
        <v>-1571</v>
      </c>
    </row>
    <row r="59" spans="2:8" x14ac:dyDescent="0.3">
      <c r="B59" s="45" t="s">
        <v>286</v>
      </c>
      <c r="C59" s="52">
        <v>3253</v>
      </c>
      <c r="D59" s="52">
        <v>4679</v>
      </c>
    </row>
    <row r="61" spans="2:8" x14ac:dyDescent="0.3">
      <c r="B61" s="40" t="s">
        <v>287</v>
      </c>
      <c r="C61" s="41"/>
      <c r="D61" s="41"/>
      <c r="E61" s="41"/>
      <c r="F61" s="41"/>
      <c r="G61" s="41"/>
      <c r="H61" s="41"/>
    </row>
    <row r="62" spans="2:8" ht="37.5" customHeight="1" x14ac:dyDescent="0.3">
      <c r="B62" s="42" t="s">
        <v>288</v>
      </c>
      <c r="C62" s="43" t="s">
        <v>325</v>
      </c>
      <c r="D62" s="43" t="s">
        <v>289</v>
      </c>
    </row>
    <row r="63" spans="2:8" x14ac:dyDescent="0.3">
      <c r="B63" s="45" t="s">
        <v>290</v>
      </c>
      <c r="C63" s="52">
        <v>15552</v>
      </c>
      <c r="D63" s="52">
        <v>3253</v>
      </c>
    </row>
    <row r="64" spans="2:8" x14ac:dyDescent="0.3">
      <c r="B64" s="45" t="s">
        <v>291</v>
      </c>
      <c r="C64" s="52">
        <v>6855</v>
      </c>
      <c r="D64" s="52">
        <v>7244</v>
      </c>
    </row>
    <row r="65" spans="2:8" x14ac:dyDescent="0.3">
      <c r="B65" s="45" t="s">
        <v>292</v>
      </c>
      <c r="C65" s="52">
        <v>279940</v>
      </c>
      <c r="D65" s="52">
        <v>58546</v>
      </c>
    </row>
    <row r="66" spans="2:8" x14ac:dyDescent="0.3">
      <c r="B66" s="45" t="s">
        <v>293</v>
      </c>
      <c r="C66" s="52">
        <v>123390</v>
      </c>
      <c r="D66" s="52">
        <v>130390</v>
      </c>
    </row>
    <row r="68" spans="2:8" x14ac:dyDescent="0.3">
      <c r="B68" s="40" t="s">
        <v>294</v>
      </c>
      <c r="C68" s="41"/>
      <c r="D68" s="41"/>
      <c r="E68" s="41"/>
      <c r="F68" s="41"/>
      <c r="G68" s="41"/>
      <c r="H68" s="41"/>
    </row>
    <row r="69" spans="2:8" ht="37.5" customHeight="1" x14ac:dyDescent="0.3">
      <c r="B69" s="42" t="s">
        <v>295</v>
      </c>
      <c r="C69" s="43" t="s">
        <v>296</v>
      </c>
      <c r="D69" s="43" t="s">
        <v>297</v>
      </c>
      <c r="E69" s="43" t="s">
        <v>298</v>
      </c>
      <c r="F69" s="43" t="s">
        <v>299</v>
      </c>
    </row>
    <row r="70" spans="2:8" x14ac:dyDescent="0.3">
      <c r="B70" s="45" t="s">
        <v>300</v>
      </c>
      <c r="C70" s="52">
        <v>20.1337398696398</v>
      </c>
      <c r="D70" s="52">
        <v>13.4224932464265</v>
      </c>
      <c r="E70" s="52">
        <v>-20.1337398696398</v>
      </c>
      <c r="F70" s="52">
        <v>-13.4224932464265</v>
      </c>
    </row>
    <row r="71" spans="2:8" x14ac:dyDescent="0.3">
      <c r="B71" s="45" t="s">
        <v>301</v>
      </c>
      <c r="C71" s="53">
        <v>1.5</v>
      </c>
      <c r="D71" s="53">
        <v>1.5</v>
      </c>
      <c r="E71" s="53">
        <v>0.75</v>
      </c>
      <c r="F71" s="53">
        <v>0.75</v>
      </c>
    </row>
    <row r="72" spans="2:8" x14ac:dyDescent="0.3">
      <c r="B72" s="45" t="s">
        <v>302</v>
      </c>
      <c r="C72" s="54">
        <v>5.2941176470588198</v>
      </c>
      <c r="D72" s="54">
        <v>3.52941176470588</v>
      </c>
      <c r="E72" s="54">
        <v>10.5882352941177</v>
      </c>
      <c r="F72" s="54">
        <v>7.0588235294117601</v>
      </c>
    </row>
    <row r="73" spans="2:8" x14ac:dyDescent="0.3">
      <c r="B73" s="45" t="s">
        <v>303</v>
      </c>
      <c r="C73" s="54">
        <v>7.9411764705882399</v>
      </c>
      <c r="D73" s="54">
        <v>5.2941176470588198</v>
      </c>
      <c r="E73" s="54">
        <v>7.9411764705882399</v>
      </c>
      <c r="F73" s="54">
        <v>5.2941176470588198</v>
      </c>
    </row>
    <row r="74" spans="2:8" ht="27.75" customHeight="1" x14ac:dyDescent="0.3">
      <c r="B74" s="55" t="s">
        <v>304</v>
      </c>
      <c r="C74" s="55"/>
      <c r="D74" s="55"/>
      <c r="E74" s="55"/>
      <c r="F74" s="55"/>
      <c r="G74" s="55"/>
    </row>
  </sheetData>
  <mergeCells count="3">
    <mergeCell ref="B3:I3"/>
    <mergeCell ref="B50:F50"/>
    <mergeCell ref="B74:G74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d5e93b-c6c4-420e-a349-f3b1f666e3fb">
      <Terms xmlns="http://schemas.microsoft.com/office/infopath/2007/PartnerControls"/>
    </lcf76f155ced4ddcb4097134ff3c332f>
    <TaxCatchAll xmlns="166d4a59-6ce6-4cd0-8841-328f92ca64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5ED61D6576F46BAAFBD380938F6B9" ma:contentTypeVersion="13" ma:contentTypeDescription="Create a new document." ma:contentTypeScope="" ma:versionID="c5f02d789a5d1d80ba8de8d48d9d5bac">
  <xsd:schema xmlns:xsd="http://www.w3.org/2001/XMLSchema" xmlns:xs="http://www.w3.org/2001/XMLSchema" xmlns:p="http://schemas.microsoft.com/office/2006/metadata/properties" xmlns:ns2="dad5e93b-c6c4-420e-a349-f3b1f666e3fb" xmlns:ns3="166d4a59-6ce6-4cd0-8841-328f92ca64a9" targetNamespace="http://schemas.microsoft.com/office/2006/metadata/properties" ma:root="true" ma:fieldsID="234ab06723f8546c4cf901a6cfb40cc8" ns2:_="" ns3:_="">
    <xsd:import namespace="dad5e93b-c6c4-420e-a349-f3b1f666e3fb"/>
    <xsd:import namespace="166d4a59-6ce6-4cd0-8841-328f92ca64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5e93b-c6c4-420e-a349-f3b1f666e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58b7e7e-b85a-47e9-883f-af8c003c3a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d4a59-6ce6-4cd0-8841-328f92ca64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83804b-be9a-461d-ae48-1d40b0102791}" ma:internalName="TaxCatchAll" ma:showField="CatchAllData" ma:web="166d4a59-6ce6-4cd0-8841-328f92ca64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91F912-B1A0-454C-AA1D-F487FEFD0596}">
  <ds:schemaRefs>
    <ds:schemaRef ds:uri="http://schemas.microsoft.com/office/2006/metadata/properties"/>
    <ds:schemaRef ds:uri="http://schemas.microsoft.com/office/infopath/2007/PartnerControls"/>
    <ds:schemaRef ds:uri="dad5e93b-c6c4-420e-a349-f3b1f666e3fb"/>
    <ds:schemaRef ds:uri="166d4a59-6ce6-4cd0-8841-328f92ca64a9"/>
  </ds:schemaRefs>
</ds:datastoreItem>
</file>

<file path=customXml/itemProps2.xml><?xml version="1.0" encoding="utf-8"?>
<ds:datastoreItem xmlns:ds="http://schemas.openxmlformats.org/officeDocument/2006/customXml" ds:itemID="{571C3468-6CD1-4D22-8054-AD8170F39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316BEF-D50C-46F4-A19F-051C1140C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d5e93b-c6c4-420e-a349-f3b1f666e3fb"/>
    <ds:schemaRef ds:uri="166d4a59-6ce6-4cd0-8841-328f92ca6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92</vt:i4>
      </vt:variant>
    </vt:vector>
  </HeadingPairs>
  <TitlesOfParts>
    <vt:vector size="99" baseType="lpstr">
      <vt:lpstr>README</vt:lpstr>
      <vt:lpstr>Assumptions</vt:lpstr>
      <vt:lpstr>Enterprise Budgets</vt:lpstr>
      <vt:lpstr>Financial CBA – Uvurkhangai</vt:lpstr>
      <vt:lpstr>Financial CBA – Dundgovi</vt:lpstr>
      <vt:lpstr>Economic CBA</vt:lpstr>
      <vt:lpstr>Summary &amp; Sensitivity</vt:lpstr>
      <vt:lpstr>A_AG</vt:lpstr>
      <vt:lpstr>A_GH</vt:lpstr>
      <vt:lpstr>A_OF</vt:lpstr>
      <vt:lpstr>AG_ESTIRR</vt:lpstr>
      <vt:lpstr>AG_FENCE</vt:lpstr>
      <vt:lpstr>AG_PLANT</vt:lpstr>
      <vt:lpstr>AG_SEED</vt:lpstr>
      <vt:lpstr>AGBEATFR</vt:lpstr>
      <vt:lpstr>AGBEATYR</vt:lpstr>
      <vt:lpstr>BATTFR</vt:lpstr>
      <vt:lpstr>BATTYR_D</vt:lpstr>
      <vt:lpstr>CARB_AG</vt:lpstr>
      <vt:lpstr>CARB_SOL</vt:lpstr>
      <vt:lpstr>CARBP</vt:lpstr>
      <vt:lpstr>CLUSTER_HH</vt:lpstr>
      <vt:lpstr>DR_ECON</vt:lpstr>
      <vt:lpstr>DR_FIN</vt:lpstr>
      <vt:lpstr>DRIP_GH</vt:lpstr>
      <vt:lpstr>DRIP_OF</vt:lpstr>
      <vt:lpstr>DRIPFR</vt:lpstr>
      <vt:lpstr>DRIPYR1</vt:lpstr>
      <vt:lpstr>DRIPYR2</vt:lpstr>
      <vt:lpstr>FX</vt:lpstr>
      <vt:lpstr>GHC_D</vt:lpstr>
      <vt:lpstr>GHC_DPS</vt:lpstr>
      <vt:lpstr>GHC_U</vt:lpstr>
      <vt:lpstr>GHG_D</vt:lpstr>
      <vt:lpstr>GHG_U</vt:lpstr>
      <vt:lpstr>GHGYR_D</vt:lpstr>
      <vt:lpstr>GHGYR_U</vt:lpstr>
      <vt:lpstr>GHOM_D</vt:lpstr>
      <vt:lpstr>GHOM_U</vt:lpstr>
      <vt:lpstr>IMP</vt:lpstr>
      <vt:lpstr>INSP</vt:lpstr>
      <vt:lpstr>INSPAY</vt:lpstr>
      <vt:lpstr>INSS</vt:lpstr>
      <vt:lpstr>NET_AG_D</vt:lpstr>
      <vt:lpstr>NET_AG_U</vt:lpstr>
      <vt:lpstr>NET_GH_D</vt:lpstr>
      <vt:lpstr>NET_GH_U</vt:lpstr>
      <vt:lpstr>NET_OFB_D</vt:lpstr>
      <vt:lpstr>NET_OFB_U</vt:lpstr>
      <vt:lpstr>NET_OFD_D</vt:lpstr>
      <vt:lpstr>NET_OFD_U</vt:lpstr>
      <vt:lpstr>P_AG</vt:lpstr>
      <vt:lpstr>P_GH</vt:lpstr>
      <vt:lpstr>P_OF</vt:lpstr>
      <vt:lpstr>PUMPFR</vt:lpstr>
      <vt:lpstr>PUMPYR</vt:lpstr>
      <vt:lpstr>REVAG_D</vt:lpstr>
      <vt:lpstr>REVAG_U</vt:lpstr>
      <vt:lpstr>REVGH_D</vt:lpstr>
      <vt:lpstr>REVGH_U</vt:lpstr>
      <vt:lpstr>REVOFNOMB_D</vt:lpstr>
      <vt:lpstr>REVOFNOMB_U</vt:lpstr>
      <vt:lpstr>REVOFNOMD_D</vt:lpstr>
      <vt:lpstr>REVOFNOMD_U</vt:lpstr>
      <vt:lpstr>RP0_D</vt:lpstr>
      <vt:lpstr>RP0_U</vt:lpstr>
      <vt:lpstr>RPD_D</vt:lpstr>
      <vt:lpstr>RPD_U</vt:lpstr>
      <vt:lpstr>RPG_D</vt:lpstr>
      <vt:lpstr>RPG_U</vt:lpstr>
      <vt:lpstr>RSV_D</vt:lpstr>
      <vt:lpstr>RSV_U</vt:lpstr>
      <vt:lpstr>SCF</vt:lpstr>
      <vt:lpstr>SHU_D</vt:lpstr>
      <vt:lpstr>SHU_U</vt:lpstr>
      <vt:lpstr>SOL_D</vt:lpstr>
      <vt:lpstr>SOL_U</vt:lpstr>
      <vt:lpstr>SOLOM</vt:lpstr>
      <vt:lpstr>SOLSH_D</vt:lpstr>
      <vt:lpstr>SOLSH_U</vt:lpstr>
      <vt:lpstr>TANK_D</vt:lpstr>
      <vt:lpstr>TANK_U</vt:lpstr>
      <vt:lpstr>TANKSH_D</vt:lpstr>
      <vt:lpstr>TANKSH_U</vt:lpstr>
      <vt:lpstr>VC_AG</vt:lpstr>
      <vt:lpstr>VC_GH</vt:lpstr>
      <vt:lpstr>VC_OFB</vt:lpstr>
      <vt:lpstr>VC_OFD</vt:lpstr>
      <vt:lpstr>VCAG_D</vt:lpstr>
      <vt:lpstr>VCAG_U</vt:lpstr>
      <vt:lpstr>WAGE</vt:lpstr>
      <vt:lpstr>Y_AG_D</vt:lpstr>
      <vt:lpstr>Y_AG_U</vt:lpstr>
      <vt:lpstr>Y_GH_D</vt:lpstr>
      <vt:lpstr>Y_GH_U</vt:lpstr>
      <vt:lpstr>Y_OFB_D</vt:lpstr>
      <vt:lpstr>Y_OFB_U</vt:lpstr>
      <vt:lpstr>Y_OFD_D</vt:lpstr>
      <vt:lpstr>Y_OFD_U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erdenebolor@iakleipzig.de</dc:creator>
  <cp:lastModifiedBy>Oiko · Adele Antoni</cp:lastModifiedBy>
  <dcterms:created xsi:type="dcterms:W3CDTF">2026-07-02T19:21:21Z</dcterms:created>
  <dcterms:modified xsi:type="dcterms:W3CDTF">2026-07-15T07:49:41Z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2026-06-28T12:19:28Z</dcterms:created>
  <dc:creator>openpyxl</dc:creator>
  <dc:description/>
  <dc:language>en-US</dc:language>
  <cp:lastModifiedBy>User</cp:lastModifiedBy>
  <dcterms:modified xsi:type="dcterms:W3CDTF">2026-07-02T18:52:44Z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0x01010003B5ED61D6576F46BAAFBD380938F6B9</vt:lpwstr>
  </property>
</Properties>
</file>