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Users/mollysharone/Desktop/all/Jobs/UN/CTCN/AFCIA/Mozambique SPIS/Deliverables 5/"/>
    </mc:Choice>
  </mc:AlternateContent>
  <xr:revisionPtr revIDLastSave="0" documentId="13_ncr:1_{F109E042-29C6-2447-B4A3-DE6AC6DA2658}" xr6:coauthVersionLast="47" xr6:coauthVersionMax="47" xr10:uidLastSave="{00000000-0000-0000-0000-000000000000}"/>
  <bookViews>
    <workbookView xWindow="0" yWindow="500" windowWidth="28800" windowHeight="15800" activeTab="4" xr2:uid="{00000000-000D-0000-FFFF-FFFF00000000}"/>
  </bookViews>
  <sheets>
    <sheet name="Cover and Intro " sheetId="3" r:id="rId1"/>
    <sheet name="Data for business model " sheetId="4" r:id="rId2"/>
    <sheet name="Actual Financial Scenario" sheetId="6" r:id="rId3"/>
    <sheet name="Explanation financial scenarios" sheetId="9" r:id="rId4"/>
    <sheet name="Financial Scenarios" sheetId="7" r:id="rId5"/>
    <sheet name="Yearly Cash Flow" sheetId="8" r:id="rId6"/>
  </sheets>
  <externalReferences>
    <externalReference r:id="rId7"/>
    <externalReference r:id="rId8"/>
    <externalReference r:id="rId9"/>
  </externalReferences>
  <definedNames>
    <definedName name="Appli">#REF!</definedName>
    <definedName name="Carburant">#REF!</definedName>
    <definedName name="Carburant2">#REF!</definedName>
    <definedName name="Cd_E">[1]Tab_ges!$I$109:$I$117</definedName>
    <definedName name="Cd_pays">[1]Tab_ges!$C$5:$C$100</definedName>
    <definedName name="Cd_start">[1]Tab_ges!$D$4</definedName>
    <definedName name="Cd_start2">[1]Tab_ges!$I$4</definedName>
    <definedName name="Cd_start3">[1]Tab_ges!$J$108</definedName>
    <definedName name="Cd_ville">[1]Tab_ges!$H$5:$H$100</definedName>
    <definedName name="Culture">#REF!</definedName>
    <definedName name="Debit">#REF!</definedName>
    <definedName name="Niveau">#REF!</definedName>
    <definedName name="Pays">#REF!</definedName>
    <definedName name="Pompe">#REF!</definedName>
    <definedName name="Pression">#REF!</definedName>
    <definedName name="_xlnm.Print_Area" localSheetId="5">'Yearly Cash Flow'!$A$1:$M$25</definedName>
    <definedName name="SurfaceA">#REF!</definedName>
    <definedName name="SurfaceM">#REF!</definedName>
    <definedName name="Typcapt">[2]Menu!$E$25</definedName>
    <definedName name="Vil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65" i="7" l="1"/>
  <c r="D65" i="7"/>
  <c r="E65" i="7"/>
  <c r="F65" i="7"/>
  <c r="B65" i="7"/>
  <c r="C55" i="7"/>
  <c r="D55" i="7"/>
  <c r="E55" i="7"/>
  <c r="F55" i="7"/>
  <c r="B55" i="7"/>
  <c r="B71" i="7"/>
  <c r="C71" i="7" s="1"/>
  <c r="D71" i="7" s="1"/>
  <c r="E71" i="7" s="1"/>
  <c r="F71" i="7" s="1"/>
  <c r="B78" i="7"/>
  <c r="B61" i="7"/>
  <c r="B62" i="7" s="1"/>
  <c r="B51" i="7"/>
  <c r="F20" i="8" s="1"/>
  <c r="B81" i="7"/>
  <c r="C81" i="7" s="1"/>
  <c r="D81" i="7" s="1"/>
  <c r="E81" i="7" s="1"/>
  <c r="F81" i="7" s="1"/>
  <c r="B41" i="7"/>
  <c r="B31" i="7"/>
  <c r="B32" i="7" s="1"/>
  <c r="C13" i="8"/>
  <c r="C14" i="8" s="1"/>
  <c r="C24" i="8" s="1"/>
  <c r="D13" i="8"/>
  <c r="D14" i="8" s="1"/>
  <c r="D24" i="8" s="1"/>
  <c r="H13" i="8"/>
  <c r="H14" i="8" s="1"/>
  <c r="I13" i="8"/>
  <c r="M13" i="8"/>
  <c r="M14" i="8" s="1"/>
  <c r="M21" i="8" s="1"/>
  <c r="G4" i="8"/>
  <c r="K4" i="8" s="1"/>
  <c r="B73" i="7" l="1"/>
  <c r="B72" i="7"/>
  <c r="C61" i="7"/>
  <c r="C51" i="7"/>
  <c r="B52" i="7"/>
  <c r="B53" i="7"/>
  <c r="B82" i="7"/>
  <c r="C41" i="7"/>
  <c r="B42" i="7"/>
  <c r="B43" i="7"/>
  <c r="H21" i="8"/>
  <c r="H24" i="8"/>
  <c r="H18" i="8"/>
  <c r="D21" i="8"/>
  <c r="C21" i="8"/>
  <c r="M18" i="8"/>
  <c r="M24" i="8"/>
  <c r="D18" i="8"/>
  <c r="C18" i="8"/>
  <c r="F17" i="8"/>
  <c r="K17" i="8" s="1"/>
  <c r="K20" i="8"/>
  <c r="C73" i="7" l="1"/>
  <c r="C72" i="7"/>
  <c r="C53" i="7"/>
  <c r="C52" i="7"/>
  <c r="C43" i="7"/>
  <c r="C42" i="7"/>
  <c r="C83" i="7"/>
  <c r="F23" i="8"/>
  <c r="K23" i="8" s="1"/>
  <c r="B63" i="7"/>
  <c r="B33" i="7"/>
  <c r="B83" i="7"/>
  <c r="D82" i="7"/>
  <c r="B88" i="7"/>
  <c r="C31" i="7"/>
  <c r="C32" i="7" s="1"/>
  <c r="D72" i="7" l="1"/>
  <c r="D73" i="7"/>
  <c r="C82" i="7"/>
  <c r="C62" i="7"/>
  <c r="C33" i="7"/>
  <c r="D83" i="7"/>
  <c r="E82" i="7"/>
  <c r="C63" i="7"/>
  <c r="E73" i="7" l="1"/>
  <c r="E72" i="7"/>
  <c r="E83" i="7"/>
  <c r="F82" i="7"/>
  <c r="C4" i="7"/>
  <c r="D4" i="7" s="1"/>
  <c r="E4" i="7" s="1"/>
  <c r="F4" i="7" s="1"/>
  <c r="B5" i="7"/>
  <c r="B7" i="7" s="1"/>
  <c r="E2" i="8" s="1"/>
  <c r="F73" i="7" l="1"/>
  <c r="F72" i="7"/>
  <c r="F2" i="8"/>
  <c r="I2" i="8"/>
  <c r="I14" i="8" s="1"/>
  <c r="F83" i="7"/>
  <c r="C5" i="7"/>
  <c r="B17" i="7"/>
  <c r="B15" i="7"/>
  <c r="E10" i="8" s="1"/>
  <c r="F10" i="8" s="1"/>
  <c r="G10" i="8" s="1"/>
  <c r="F5" i="7"/>
  <c r="F17" i="7" s="1"/>
  <c r="E5" i="7"/>
  <c r="E17" i="7" s="1"/>
  <c r="D5" i="7"/>
  <c r="D17" i="7" s="1"/>
  <c r="K36" i="6"/>
  <c r="K37" i="6" s="1"/>
  <c r="J27" i="7" s="1"/>
  <c r="B74" i="7" l="1"/>
  <c r="C74" i="7"/>
  <c r="D74" i="7"/>
  <c r="E74" i="7"/>
  <c r="F74" i="7"/>
  <c r="B54" i="7"/>
  <c r="C54" i="7"/>
  <c r="F84" i="7"/>
  <c r="B44" i="7"/>
  <c r="C44" i="7"/>
  <c r="B64" i="7"/>
  <c r="B84" i="7"/>
  <c r="B34" i="7"/>
  <c r="C84" i="7"/>
  <c r="C34" i="7"/>
  <c r="D84" i="7"/>
  <c r="C64" i="7"/>
  <c r="E84" i="7"/>
  <c r="J10" i="8"/>
  <c r="K10" i="8" s="1"/>
  <c r="G13" i="8"/>
  <c r="I24" i="8"/>
  <c r="I18" i="8"/>
  <c r="I21" i="8"/>
  <c r="E12" i="8"/>
  <c r="J12" i="8" s="1"/>
  <c r="G2" i="8"/>
  <c r="K2" i="8" s="1"/>
  <c r="J2" i="8"/>
  <c r="C15" i="7"/>
  <c r="C7" i="7"/>
  <c r="C17" i="7"/>
  <c r="D7" i="7"/>
  <c r="D15" i="7"/>
  <c r="E15" i="7"/>
  <c r="E7" i="7"/>
  <c r="F7" i="7"/>
  <c r="F15" i="7"/>
  <c r="M26" i="6"/>
  <c r="N26" i="6" s="1"/>
  <c r="O26" i="6" s="1"/>
  <c r="D26" i="6"/>
  <c r="E26" i="6" s="1"/>
  <c r="M19" i="6"/>
  <c r="N19" i="6" s="1"/>
  <c r="M18" i="6"/>
  <c r="L30" i="6"/>
  <c r="N30" i="6" s="1"/>
  <c r="O30" i="6" s="1"/>
  <c r="F30" i="6"/>
  <c r="L29" i="6"/>
  <c r="N29" i="6" s="1"/>
  <c r="O29" i="6" s="1"/>
  <c r="O31" i="6" s="1"/>
  <c r="E29" i="6"/>
  <c r="E31" i="6" s="1"/>
  <c r="Q26" i="6"/>
  <c r="N22" i="6"/>
  <c r="O22" i="6" s="1"/>
  <c r="E22" i="6"/>
  <c r="F22" i="6" s="1"/>
  <c r="M21" i="6"/>
  <c r="N21" i="6" s="1"/>
  <c r="O21" i="6" s="1"/>
  <c r="E21" i="6"/>
  <c r="F21" i="6" s="1"/>
  <c r="M20" i="6"/>
  <c r="N20" i="6" s="1"/>
  <c r="E20" i="6"/>
  <c r="F20" i="6" s="1"/>
  <c r="E19" i="6"/>
  <c r="F19" i="6" s="1"/>
  <c r="N18" i="6"/>
  <c r="E18" i="6"/>
  <c r="F18" i="6" s="1"/>
  <c r="M17" i="6"/>
  <c r="N17" i="6" s="1"/>
  <c r="E17" i="6"/>
  <c r="F17" i="6" s="1"/>
  <c r="M16" i="6"/>
  <c r="N16" i="6" s="1"/>
  <c r="B11" i="7" s="1"/>
  <c r="E16" i="6"/>
  <c r="F16" i="6" s="1"/>
  <c r="M13" i="6"/>
  <c r="N13" i="6" s="1"/>
  <c r="O13" i="6" s="1"/>
  <c r="E13" i="6"/>
  <c r="F13" i="6" s="1"/>
  <c r="N12" i="6"/>
  <c r="O12" i="6" s="1"/>
  <c r="E12" i="6"/>
  <c r="F12" i="6" s="1"/>
  <c r="N11" i="6"/>
  <c r="E11" i="6"/>
  <c r="F11" i="6" s="1"/>
  <c r="B45" i="7" l="1"/>
  <c r="C45" i="7"/>
  <c r="F45" i="7"/>
  <c r="D45" i="7"/>
  <c r="E45" i="7"/>
  <c r="D35" i="7"/>
  <c r="B35" i="7"/>
  <c r="F35" i="7"/>
  <c r="E35" i="7"/>
  <c r="C35" i="7"/>
  <c r="O17" i="6"/>
  <c r="B14" i="7"/>
  <c r="O18" i="6"/>
  <c r="B12" i="7"/>
  <c r="F29" i="6"/>
  <c r="F31" i="6" s="1"/>
  <c r="F6" i="8"/>
  <c r="J6" i="8" s="1"/>
  <c r="C11" i="7"/>
  <c r="D11" i="7" s="1"/>
  <c r="E11" i="7" s="1"/>
  <c r="O20" i="6"/>
  <c r="B16" i="7"/>
  <c r="G14" i="8"/>
  <c r="O19" i="6"/>
  <c r="B13" i="7"/>
  <c r="L10" i="8"/>
  <c r="L13" i="8" s="1"/>
  <c r="L14" i="8" s="1"/>
  <c r="K13" i="8"/>
  <c r="K14" i="8" s="1"/>
  <c r="E14" i="6"/>
  <c r="N14" i="6"/>
  <c r="E23" i="6"/>
  <c r="P16" i="6"/>
  <c r="O16" i="6"/>
  <c r="N23" i="6"/>
  <c r="N24" i="6" s="1"/>
  <c r="N27" i="6" s="1"/>
  <c r="F23" i="6"/>
  <c r="F14" i="6"/>
  <c r="O11" i="6"/>
  <c r="O14" i="6" s="1"/>
  <c r="F26" i="6"/>
  <c r="N31" i="6"/>
  <c r="B18" i="7" l="1"/>
  <c r="K21" i="8"/>
  <c r="K18" i="8"/>
  <c r="K24" i="8"/>
  <c r="L24" i="8"/>
  <c r="L21" i="8"/>
  <c r="L18" i="8"/>
  <c r="F24" i="6"/>
  <c r="E24" i="6"/>
  <c r="E27" i="6" s="1"/>
  <c r="E32" i="6" s="1"/>
  <c r="E33" i="6" s="1"/>
  <c r="C13" i="7"/>
  <c r="D13" i="7" s="1"/>
  <c r="E13" i="7" s="1"/>
  <c r="F13" i="7" s="1"/>
  <c r="B8" i="8"/>
  <c r="F8" i="8" s="1"/>
  <c r="G21" i="8"/>
  <c r="G24" i="8"/>
  <c r="G18" i="8"/>
  <c r="C12" i="7"/>
  <c r="B7" i="8"/>
  <c r="B9" i="8"/>
  <c r="F9" i="8" s="1"/>
  <c r="C14" i="7"/>
  <c r="D14" i="7" s="1"/>
  <c r="E14" i="7" s="1"/>
  <c r="F14" i="7" s="1"/>
  <c r="O23" i="6"/>
  <c r="E11" i="8"/>
  <c r="C16" i="7"/>
  <c r="B23" i="7"/>
  <c r="B24" i="7" s="1"/>
  <c r="N32" i="6"/>
  <c r="N33" i="6" s="1"/>
  <c r="B19" i="7"/>
  <c r="F11" i="7"/>
  <c r="F27" i="6"/>
  <c r="F32" i="6" s="1"/>
  <c r="F33" i="6" s="1"/>
  <c r="O24" i="6"/>
  <c r="O27" i="6" s="1"/>
  <c r="O32" i="6" s="1"/>
  <c r="O33" i="6" s="1"/>
  <c r="D12" i="7" l="1"/>
  <c r="C18" i="7"/>
  <c r="J11" i="8"/>
  <c r="J13" i="8" s="1"/>
  <c r="J14" i="8" s="1"/>
  <c r="E13" i="8"/>
  <c r="E14" i="8" s="1"/>
  <c r="B13" i="8"/>
  <c r="B14" i="8" s="1"/>
  <c r="F7" i="8"/>
  <c r="F13" i="8" s="1"/>
  <c r="F14" i="8" s="1"/>
  <c r="D16" i="7"/>
  <c r="C23" i="7"/>
  <c r="C24" i="7" s="1"/>
  <c r="C19" i="7"/>
  <c r="B20" i="7"/>
  <c r="B75" i="7" s="1"/>
  <c r="B76" i="7" s="1"/>
  <c r="B77" i="7" s="1"/>
  <c r="B46" i="7" l="1"/>
  <c r="B47" i="7" s="1"/>
  <c r="B48" i="7" s="1"/>
  <c r="B56" i="7"/>
  <c r="B57" i="7" s="1"/>
  <c r="B58" i="7" s="1"/>
  <c r="E24" i="8"/>
  <c r="E18" i="8"/>
  <c r="E21" i="8"/>
  <c r="F24" i="8"/>
  <c r="F18" i="8"/>
  <c r="F21" i="8"/>
  <c r="E16" i="7"/>
  <c r="D23" i="7"/>
  <c r="D24" i="7" s="1"/>
  <c r="B15" i="8"/>
  <c r="C15" i="8" s="1"/>
  <c r="D15" i="8" s="1"/>
  <c r="E15" i="8" s="1"/>
  <c r="F15" i="8" s="1"/>
  <c r="G15" i="8" s="1"/>
  <c r="H15" i="8" s="1"/>
  <c r="I15" i="8" s="1"/>
  <c r="J15" i="8" s="1"/>
  <c r="K15" i="8" s="1"/>
  <c r="L15" i="8" s="1"/>
  <c r="M15" i="8" s="1"/>
  <c r="B24" i="8"/>
  <c r="B25" i="8" s="1"/>
  <c r="C25" i="8" s="1"/>
  <c r="D25" i="8" s="1"/>
  <c r="E25" i="8" s="1"/>
  <c r="B18" i="8"/>
  <c r="B19" i="8" s="1"/>
  <c r="C19" i="8" s="1"/>
  <c r="D19" i="8" s="1"/>
  <c r="E19" i="8" s="1"/>
  <c r="B21" i="8"/>
  <c r="B22" i="8" s="1"/>
  <c r="C22" i="8" s="1"/>
  <c r="D22" i="8" s="1"/>
  <c r="J24" i="8"/>
  <c r="J21" i="8"/>
  <c r="J18" i="8"/>
  <c r="E12" i="7"/>
  <c r="D18" i="7"/>
  <c r="B85" i="7"/>
  <c r="B86" i="7" s="1"/>
  <c r="B87" i="7" s="1"/>
  <c r="B21" i="7"/>
  <c r="B66" i="7"/>
  <c r="B67" i="7" s="1"/>
  <c r="B68" i="7" s="1"/>
  <c r="B36" i="7"/>
  <c r="B37" i="7" s="1"/>
  <c r="B38" i="7" s="1"/>
  <c r="D19" i="7"/>
  <c r="C20" i="7"/>
  <c r="C75" i="7" s="1"/>
  <c r="C76" i="7" s="1"/>
  <c r="C77" i="7" s="1"/>
  <c r="C46" i="7" l="1"/>
  <c r="C47" i="7" s="1"/>
  <c r="C48" i="7" s="1"/>
  <c r="C56" i="7"/>
  <c r="C57" i="7" s="1"/>
  <c r="C58" i="7" s="1"/>
  <c r="F19" i="8"/>
  <c r="G19" i="8" s="1"/>
  <c r="H19" i="8" s="1"/>
  <c r="I19" i="8" s="1"/>
  <c r="J19" i="8" s="1"/>
  <c r="K19" i="8" s="1"/>
  <c r="L19" i="8" s="1"/>
  <c r="M19" i="8" s="1"/>
  <c r="F12" i="7"/>
  <c r="E18" i="7"/>
  <c r="E23" i="7"/>
  <c r="E24" i="7" s="1"/>
  <c r="F16" i="7"/>
  <c r="F23" i="7" s="1"/>
  <c r="F24" i="7" s="1"/>
  <c r="E22" i="8"/>
  <c r="F22" i="8" s="1"/>
  <c r="G22" i="8" s="1"/>
  <c r="H22" i="8" s="1"/>
  <c r="I22" i="8" s="1"/>
  <c r="J22" i="8" s="1"/>
  <c r="K22" i="8" s="1"/>
  <c r="L22" i="8" s="1"/>
  <c r="M22" i="8" s="1"/>
  <c r="F25" i="8"/>
  <c r="G25" i="8" s="1"/>
  <c r="H25" i="8" s="1"/>
  <c r="I25" i="8" s="1"/>
  <c r="J25" i="8" s="1"/>
  <c r="K25" i="8" s="1"/>
  <c r="L25" i="8" s="1"/>
  <c r="M25" i="8" s="1"/>
  <c r="C85" i="7"/>
  <c r="C86" i="7" s="1"/>
  <c r="C87" i="7" s="1"/>
  <c r="C21" i="7"/>
  <c r="C36" i="7"/>
  <c r="C37" i="7" s="1"/>
  <c r="C38" i="7" s="1"/>
  <c r="C66" i="7"/>
  <c r="C67" i="7" s="1"/>
  <c r="C68" i="7" s="1"/>
  <c r="E19" i="7"/>
  <c r="D20" i="7"/>
  <c r="D75" i="7" s="1"/>
  <c r="D76" i="7" s="1"/>
  <c r="D77" i="7" s="1"/>
  <c r="B25" i="7"/>
  <c r="B26" i="7" s="1"/>
  <c r="B22" i="7"/>
  <c r="D46" i="7" l="1"/>
  <c r="D47" i="7" s="1"/>
  <c r="D48" i="7" s="1"/>
  <c r="D56" i="7"/>
  <c r="D57" i="7" s="1"/>
  <c r="D58" i="7" s="1"/>
  <c r="F18" i="7"/>
  <c r="D85" i="7"/>
  <c r="D86" i="7" s="1"/>
  <c r="D87" i="7" s="1"/>
  <c r="D36" i="7"/>
  <c r="D37" i="7" s="1"/>
  <c r="D38" i="7" s="1"/>
  <c r="D66" i="7"/>
  <c r="D67" i="7" s="1"/>
  <c r="D68" i="7" s="1"/>
  <c r="D21" i="7"/>
  <c r="F19" i="7"/>
  <c r="F20" i="7" s="1"/>
  <c r="F75" i="7" s="1"/>
  <c r="F76" i="7" s="1"/>
  <c r="F77" i="7" s="1"/>
  <c r="E20" i="7"/>
  <c r="E75" i="7" s="1"/>
  <c r="E76" i="7" s="1"/>
  <c r="E77" i="7" s="1"/>
  <c r="C25" i="7"/>
  <c r="C26" i="7" s="1"/>
  <c r="C22" i="7"/>
  <c r="F46" i="7" l="1"/>
  <c r="F47" i="7" s="1"/>
  <c r="F48" i="7" s="1"/>
  <c r="F56" i="7"/>
  <c r="F57" i="7" s="1"/>
  <c r="F58" i="7" s="1"/>
  <c r="E46" i="7"/>
  <c r="E47" i="7" s="1"/>
  <c r="E48" i="7" s="1"/>
  <c r="E56" i="7"/>
  <c r="E57" i="7" s="1"/>
  <c r="E58" i="7" s="1"/>
  <c r="E85" i="7"/>
  <c r="E86" i="7" s="1"/>
  <c r="E87" i="7" s="1"/>
  <c r="E21" i="7"/>
  <c r="E66" i="7"/>
  <c r="E67" i="7" s="1"/>
  <c r="E68" i="7" s="1"/>
  <c r="E36" i="7"/>
  <c r="E37" i="7" s="1"/>
  <c r="E38" i="7" s="1"/>
  <c r="F66" i="7"/>
  <c r="F67" i="7" s="1"/>
  <c r="F68" i="7" s="1"/>
  <c r="F85" i="7"/>
  <c r="F86" i="7" s="1"/>
  <c r="F87" i="7" s="1"/>
  <c r="F21" i="7"/>
  <c r="F36" i="7"/>
  <c r="F37" i="7" s="1"/>
  <c r="F38" i="7" s="1"/>
  <c r="D22" i="7"/>
  <c r="D25" i="7"/>
  <c r="D26" i="7" s="1"/>
  <c r="F25" i="7" l="1"/>
  <c r="F26" i="7" s="1"/>
  <c r="F22" i="7"/>
  <c r="E25" i="7"/>
  <c r="E26" i="7" s="1"/>
  <c r="E22" i="7"/>
</calcChain>
</file>

<file path=xl/sharedStrings.xml><?xml version="1.0" encoding="utf-8"?>
<sst xmlns="http://schemas.openxmlformats.org/spreadsheetml/2006/main" count="333" uniqueCount="191">
  <si>
    <t>Number of members</t>
  </si>
  <si>
    <t>All the members work on the same plot in a rotation scheme. They control the work time of each member and they divide the profits according to the work participation</t>
  </si>
  <si>
    <t>Potato, Cabage, tomato and pepper.</t>
  </si>
  <si>
    <t>Seeds: 300.000 MZN</t>
  </si>
  <si>
    <t>Fertilizer: 40.000 MZN</t>
  </si>
  <si>
    <t>Seeds, fertilizer,pesticide, insecticide and fungicide</t>
  </si>
  <si>
    <t>Pesticide, Insecticide and fungicide: 220.000 MZN</t>
  </si>
  <si>
    <t>Land preparation: 12.000 MZN</t>
  </si>
  <si>
    <t>Other labor: 10.000 MZN</t>
  </si>
  <si>
    <t>Diesel: 30.000 MZN</t>
  </si>
  <si>
    <t>Transport: 120.000 MZN</t>
  </si>
  <si>
    <t>Total Costs: 732.000 MZN</t>
  </si>
  <si>
    <t>45 MZN/Kg</t>
  </si>
  <si>
    <t>1 800 000 MZN</t>
  </si>
  <si>
    <t>1 068 000 MZN</t>
  </si>
  <si>
    <t>Market</t>
  </si>
  <si>
    <t>Transport</t>
  </si>
  <si>
    <t>Product specificiations</t>
  </si>
  <si>
    <t>They rent transport to deliver the product in Zimpeto market</t>
  </si>
  <si>
    <t>Payment Terms</t>
  </si>
  <si>
    <t>They pay the inputs in cash and receive the sales value in cash</t>
  </si>
  <si>
    <t>Projected Investment on SPIS</t>
  </si>
  <si>
    <t>3.333.371 MZN</t>
  </si>
  <si>
    <t>Projected Water Consumption</t>
  </si>
  <si>
    <t>220 m3/day</t>
  </si>
  <si>
    <t>Total</t>
  </si>
  <si>
    <t>Inputs</t>
  </si>
  <si>
    <t>Commissioned by:</t>
  </si>
  <si>
    <t xml:space="preserve">UN Environment, CTCN, Adaptation Fund </t>
  </si>
  <si>
    <t xml:space="preserve">Project Title </t>
  </si>
  <si>
    <t>Solar based irrigation business mode ‘pay as you irrigate’ for women empowerment, water management and food security in Mozambique</t>
  </si>
  <si>
    <t xml:space="preserve">Proposed by </t>
  </si>
  <si>
    <t>Universidade Pedagógica de Moçambique</t>
  </si>
  <si>
    <t xml:space="preserve">Implemented by </t>
  </si>
  <si>
    <t>Practica &amp;HUB</t>
  </si>
  <si>
    <t xml:space="preserve">Country </t>
  </si>
  <si>
    <t xml:space="preserve">Mozambique </t>
  </si>
  <si>
    <t xml:space="preserve">Deliverable </t>
  </si>
  <si>
    <t xml:space="preserve">Solar based irrigation business model 'pay as you irrigate' for women empowerment, water management, and food security in Mozambique </t>
  </si>
  <si>
    <t xml:space="preserve">Data collected to define the business model </t>
  </si>
  <si>
    <t>What is the production model of the association?</t>
  </si>
  <si>
    <t>What was the area under production during 2023?</t>
  </si>
  <si>
    <t>What crops were produced?</t>
  </si>
  <si>
    <t>What are the production plans for when the SPIS is installed?</t>
  </si>
  <si>
    <t>What is the area planned to be irrigated with the SPIS</t>
  </si>
  <si>
    <t>What is the average yeld of potato in the region?</t>
  </si>
  <si>
    <t>What were they yield for the Potato crop during 2023?</t>
  </si>
  <si>
    <t>20 Ton/ha</t>
  </si>
  <si>
    <t>What agricultural inputs did you apply in your fields?</t>
  </si>
  <si>
    <t>Inputs costs 2023</t>
  </si>
  <si>
    <t>Other costs 2023</t>
  </si>
  <si>
    <t>Sales 2023</t>
  </si>
  <si>
    <t>Profit 2023</t>
  </si>
  <si>
    <t>Profit per ha</t>
  </si>
  <si>
    <t>All the production is sold in Zimpeto Market. There is a huge demand of potato in the market.</t>
  </si>
  <si>
    <t>They sell potato in bags of 10Kg and 20 kg boxes</t>
  </si>
  <si>
    <t>40.000 Kg</t>
  </si>
  <si>
    <t>2,5 Ha</t>
  </si>
  <si>
    <t>Focus on Potato in the 5 Ha that will be irrigated, due to very high market demand and local crop potential and high profit potential if produced off-season</t>
  </si>
  <si>
    <t>5 Ha</t>
  </si>
  <si>
    <t>Between 20 and 30 Ton per Ha</t>
  </si>
  <si>
    <t>534 000 MZN /Ha</t>
  </si>
  <si>
    <t>1 USD=</t>
  </si>
  <si>
    <t>USD part; https://commission.europa.eu/funding-tenders/procedures-guidelines-tenders/information-contractors-and-beneficiaries/exchange-rate-inforeuro_es</t>
  </si>
  <si>
    <t>Associação Pangalata (Situação Atual)</t>
  </si>
  <si>
    <t>Association Pangalata (SPIS installation )</t>
  </si>
  <si>
    <t>Cultura</t>
  </si>
  <si>
    <t>Batata</t>
  </si>
  <si>
    <t>Pressupostos: A associação só produz culturas irrigadas durante uma época, devido aos elevados custos associados à produção: sementes, fertilizantes, mas também irrigação (principalmente gasóleo). Com a bomba actual só podem irrigar 2,5 ha.</t>
  </si>
  <si>
    <t>Pressupostos: Como os custos com gasolina serão zero, a associação terá 2 ciclos de rega. Com o novo sistema, poderão aumentar a área irrigada em até 5 ha. Exclui custos de construção civil de furo e depreciação de IoT.</t>
  </si>
  <si>
    <t>Área</t>
  </si>
  <si>
    <t>2.5 ha</t>
  </si>
  <si>
    <t>5 ha</t>
  </si>
  <si>
    <t>Periodo</t>
  </si>
  <si>
    <t xml:space="preserve">3 meses (1 ciclo irrigado) </t>
  </si>
  <si>
    <t xml:space="preserve">6 meses(2 ciclos irrigados) </t>
  </si>
  <si>
    <t>Número de Membros</t>
  </si>
  <si>
    <t>Tipo de Bomba</t>
  </si>
  <si>
    <t>Momba a Diesel Actual</t>
  </si>
  <si>
    <t>Unid</t>
  </si>
  <si>
    <t>Custo Unit</t>
  </si>
  <si>
    <t>Valor</t>
  </si>
  <si>
    <t>total MZN</t>
  </si>
  <si>
    <t xml:space="preserve">€ </t>
  </si>
  <si>
    <t>(1 USD =63.51 MZN)</t>
  </si>
  <si>
    <r>
      <t>(A)</t>
    </r>
    <r>
      <rPr>
        <b/>
        <sz val="7"/>
        <color rgb="FF000000"/>
        <rFont val="Times New Roman"/>
        <family val="1"/>
      </rPr>
      <t xml:space="preserve">   </t>
    </r>
    <r>
      <rPr>
        <b/>
        <sz val="11"/>
        <color rgb="FF000000"/>
        <rFont val="Calibri"/>
        <family val="2"/>
        <scheme val="minor"/>
      </rPr>
      <t>Custos de Irrigação</t>
    </r>
  </si>
  <si>
    <t>Combustível</t>
  </si>
  <si>
    <t>Litro</t>
  </si>
  <si>
    <t>Lubricantes</t>
  </si>
  <si>
    <t>Manutenção</t>
  </si>
  <si>
    <t>Ano</t>
  </si>
  <si>
    <t>SUBTOTAL</t>
  </si>
  <si>
    <r>
      <t>(B)</t>
    </r>
    <r>
      <rPr>
        <b/>
        <sz val="7"/>
        <color rgb="FF000000"/>
        <rFont val="Times New Roman"/>
        <family val="1"/>
      </rPr>
      <t xml:space="preserve">   </t>
    </r>
    <r>
      <rPr>
        <b/>
        <sz val="11"/>
        <color rgb="FF000000"/>
        <rFont val="Calibri"/>
        <family val="2"/>
        <scheme val="minor"/>
      </rPr>
      <t>Custos de produção</t>
    </r>
  </si>
  <si>
    <t>Sementes</t>
  </si>
  <si>
    <t>kg</t>
  </si>
  <si>
    <t>Transporte de Sementes+ Fertilizante</t>
  </si>
  <si>
    <t>Fertilizante</t>
  </si>
  <si>
    <t>50 kg</t>
  </si>
  <si>
    <t>Pesticidas</t>
  </si>
  <si>
    <t>Trabalho Sementeira</t>
  </si>
  <si>
    <t>MZN/Dia</t>
  </si>
  <si>
    <t>Trabalho Colheita</t>
  </si>
  <si>
    <t>Transporte para Maputo</t>
  </si>
  <si>
    <t>Viagem</t>
  </si>
  <si>
    <t>(A+B) Total de Custos Produção</t>
  </si>
  <si>
    <r>
      <t>(C)</t>
    </r>
    <r>
      <rPr>
        <b/>
        <sz val="7"/>
        <color rgb="FF000000"/>
        <rFont val="Times New Roman"/>
        <family val="1"/>
      </rPr>
      <t xml:space="preserve">   </t>
    </r>
    <r>
      <rPr>
        <b/>
        <sz val="11"/>
        <color rgb="FF000000"/>
        <rFont val="Calibri"/>
        <family val="2"/>
        <scheme val="minor"/>
      </rPr>
      <t>Receita das Vendas</t>
    </r>
  </si>
  <si>
    <t>D=(C-(A+B)) Lucro Bruto</t>
  </si>
  <si>
    <r>
      <t>(E)</t>
    </r>
    <r>
      <rPr>
        <b/>
        <sz val="7"/>
        <color rgb="FF000000"/>
        <rFont val="Times New Roman"/>
        <family val="1"/>
      </rPr>
      <t xml:space="preserve">   </t>
    </r>
    <r>
      <rPr>
        <b/>
        <sz val="11"/>
        <color rgb="FF000000"/>
        <rFont val="Calibri"/>
        <family val="2"/>
        <scheme val="minor"/>
      </rPr>
      <t>Depreciação</t>
    </r>
  </si>
  <si>
    <t>Depreciação da Bomba</t>
  </si>
  <si>
    <t>5 anos</t>
  </si>
  <si>
    <t>Depreciação Sistema de Irrigação</t>
  </si>
  <si>
    <t xml:space="preserve">SUBTOTAL </t>
  </si>
  <si>
    <t>(D-E) Lucro Líquido</t>
  </si>
  <si>
    <t>Lucro Líquido por Hectare</t>
  </si>
  <si>
    <t>Lucro Líquido por hectare</t>
  </si>
  <si>
    <t>Vendas (45 MZN/kg)</t>
  </si>
  <si>
    <t>Solar Pump</t>
  </si>
  <si>
    <t>Consumo de água</t>
  </si>
  <si>
    <t>m2/dia</t>
  </si>
  <si>
    <t>Consumo de Água Anual</t>
  </si>
  <si>
    <t>Investimento</t>
  </si>
  <si>
    <t>Número de dias em funcionamento</t>
  </si>
  <si>
    <t>(1 USD =63.25 MZN)</t>
  </si>
  <si>
    <t>Area</t>
  </si>
  <si>
    <t>20% Contribution per member</t>
  </si>
  <si>
    <t>Year 1</t>
  </si>
  <si>
    <t>Year 2</t>
  </si>
  <si>
    <t>Year 3</t>
  </si>
  <si>
    <t>Year 4</t>
  </si>
  <si>
    <t>Year 5</t>
  </si>
  <si>
    <t>Production Seasons</t>
  </si>
  <si>
    <t>Yeld Kg/Hectare/Season</t>
  </si>
  <si>
    <t>Year Production</t>
  </si>
  <si>
    <t>Price (MZN/Kg)</t>
  </si>
  <si>
    <t>Revenues</t>
  </si>
  <si>
    <t>Operational Costs</t>
  </si>
  <si>
    <t>Irrigation system maintenance</t>
  </si>
  <si>
    <t>Seeds</t>
  </si>
  <si>
    <t>Fertilizer</t>
  </si>
  <si>
    <t>Pesticides</t>
  </si>
  <si>
    <t>Inputs Transport</t>
  </si>
  <si>
    <t xml:space="preserve">Final Product Transport </t>
  </si>
  <si>
    <t>Seeding Labor</t>
  </si>
  <si>
    <t>Harvest Labor</t>
  </si>
  <si>
    <t>Total Operating Costs</t>
  </si>
  <si>
    <t>Investment Depreciation</t>
  </si>
  <si>
    <t>Net income</t>
  </si>
  <si>
    <t>Average Anual Income per farmer</t>
  </si>
  <si>
    <t>Average Monthly Income per farmer</t>
  </si>
  <si>
    <t>Average Anual Labor Payment per farmer</t>
  </si>
  <si>
    <t>Average Monthly Labor Payment per farmer</t>
  </si>
  <si>
    <t>Total Anual Income per farmer</t>
  </si>
  <si>
    <t>Total Monthly Income per farmer</t>
  </si>
  <si>
    <t>Cost per M3 (PAYI)</t>
  </si>
  <si>
    <t xml:space="preserve">Monthly Payment </t>
  </si>
  <si>
    <t>Monthly Payment</t>
  </si>
  <si>
    <t>January</t>
  </si>
  <si>
    <t>February</t>
  </si>
  <si>
    <t>March</t>
  </si>
  <si>
    <t>April</t>
  </si>
  <si>
    <t>May</t>
  </si>
  <si>
    <t>June</t>
  </si>
  <si>
    <t>July</t>
  </si>
  <si>
    <t>August</t>
  </si>
  <si>
    <t>September</t>
  </si>
  <si>
    <t>October</t>
  </si>
  <si>
    <t>November</t>
  </si>
  <si>
    <t>December</t>
  </si>
  <si>
    <t>Cash Flow</t>
  </si>
  <si>
    <t>Aggreggate Cash Flow</t>
  </si>
  <si>
    <t>SPIS Payment Scenario 50% Grant 2Y</t>
  </si>
  <si>
    <t>SPIS Payment Scenario 70% Grant 2Y</t>
  </si>
  <si>
    <t>SPIS Payment Scenario Without Grant 5 Y</t>
  </si>
  <si>
    <t>Credit</t>
  </si>
  <si>
    <t>Anual Payment</t>
  </si>
  <si>
    <t>2 Annual Payments</t>
  </si>
  <si>
    <t>m3/dia</t>
  </si>
  <si>
    <t xml:space="preserve">5.2 &amp; 5.3 Pay as you irrigate business model and total cost/m3 of water used calculated  </t>
  </si>
  <si>
    <t>Pay as you irrigate business model and total cost/m3 of water used calculated</t>
  </si>
  <si>
    <r>
      <rPr>
        <b/>
        <sz val="11"/>
        <color theme="1"/>
        <rFont val="Calibri"/>
        <family val="2"/>
        <scheme val="minor"/>
      </rPr>
      <t>Introduction:</t>
    </r>
    <r>
      <rPr>
        <sz val="11"/>
        <color theme="1"/>
        <rFont val="Calibri"/>
        <family val="2"/>
        <scheme val="minor"/>
      </rPr>
      <t xml:space="preserve"> This deliverable is part of the project Implementation of Solar based irrigation business mode ‘pay as you irrigate’ for women empowerment, water management and food security in Mozambique. Implemented by the consortium PRACTICA and HUB. The overall objective of the project is to  identify the best powered irrigation system (SPIS) for the Pangalata association in Moamba that could be deployed using groundwater. The system will be reinforced by the definition of a clear pay as you irrigate business model customized for the lowest-income farmers. 
This Excel provides the different scenarios modeled for the Pay-As-You-Irrigate business model and the total cost/m3 of water used calculated in each scenario.  </t>
    </r>
  </si>
  <si>
    <t>Different scenarios (see also figure below) have been modelled during this exercise:  
A.	Subsidy (grant) from a donor covering 50% and 70% of the needed investment and the remaining 30 to 50% with credit in a PAYI system with a repayment time of 24 months years.
B.	The credit is 80% of the total amount, and the association members contribute 20% of the needed investment of 80% over the years. 
Credit terms will be considered at a moderate expected interest rate of 18% and a pessimistic interest rate of 25,2% in a normal commercial interest rate. There are financing lines with subsidized conditions in Mozambique for Renewable energy projects between 7,5% and 18%, and the commercial interest rate 25%.</t>
  </si>
  <si>
    <t xml:space="preserve">Water Annual Consumption (m3) </t>
  </si>
  <si>
    <t>A.1. 50% subsidy and 50% Credit with 18% Interest Rate 24 months</t>
  </si>
  <si>
    <t>A.2. 50% subsidy and 50% Credit with 25% Interest Rate 24 months</t>
  </si>
  <si>
    <t>A.4. 70% Grant and 30% Credit with 25% Interest Rate 24 months</t>
  </si>
  <si>
    <t>B.1. 20% Downpayment , 80% Credit with 18% Interest Rate 5 Years</t>
  </si>
  <si>
    <t>20% Downpayment contribution per member</t>
  </si>
  <si>
    <t>B.2 . 20% Down payment, 80% Credit with 25,2% Interest Rate 5 Years</t>
  </si>
  <si>
    <t>A.3. 70% subsidy and 30% Credit with 18% Interest Rate 24 months</t>
  </si>
  <si>
    <t>Credit payment per cubic meter</t>
  </si>
  <si>
    <t>Actual cost per cubic meter based on depreciation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</si>
</sst>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2" x14ac:knownFonts="1">
    <font>
      <sz val="11"/>
      <color theme="1"/>
      <name val="Calibri"/>
      <family val="2"/>
      <scheme val="minor"/>
    </font>
    <font>
      <b/>
      <sz val="11"/>
      <color theme="1"/>
      <name val="Calibri"/>
      <family val="2"/>
      <scheme val="minor"/>
    </font>
    <font>
      <sz val="11"/>
      <color theme="1"/>
      <name val="Calibri"/>
      <family val="2"/>
      <scheme val="minor"/>
    </font>
    <font>
      <sz val="12"/>
      <color theme="1"/>
      <name val="Calibri"/>
      <family val="2"/>
    </font>
    <font>
      <sz val="10"/>
      <name val="Arial"/>
      <family val="2"/>
    </font>
    <font>
      <sz val="8"/>
      <name val="Arial"/>
      <family val="2"/>
    </font>
    <font>
      <sz val="12"/>
      <color theme="1"/>
      <name val="Calibri"/>
      <family val="2"/>
      <scheme val="minor"/>
    </font>
    <font>
      <b/>
      <sz val="11"/>
      <color rgb="FF000000"/>
      <name val="Calibri"/>
      <family val="2"/>
      <scheme val="minor"/>
    </font>
    <font>
      <sz val="11"/>
      <color rgb="FF000000"/>
      <name val="Calibri"/>
      <family val="2"/>
      <scheme val="minor"/>
    </font>
    <font>
      <sz val="10"/>
      <color theme="1"/>
      <name val="Times New Roman"/>
      <family val="1"/>
    </font>
    <font>
      <b/>
      <sz val="7"/>
      <color rgb="FF000000"/>
      <name val="Times New Roman"/>
      <family val="1"/>
    </font>
    <font>
      <sz val="11"/>
      <color rgb="FFFF0000"/>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rgb="FFDEEBF6"/>
        <bgColor indexed="64"/>
      </patternFill>
    </fill>
    <fill>
      <patternFill patternType="solid">
        <fgColor rgb="FFFFFF00"/>
        <bgColor indexed="64"/>
      </patternFill>
    </fill>
    <fill>
      <patternFill patternType="solid">
        <fgColor rgb="FFBFBFBF"/>
        <bgColor indexed="64"/>
      </patternFill>
    </fill>
    <fill>
      <patternFill patternType="solid">
        <fgColor rgb="FFA6A6A6"/>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s>
  <cellStyleXfs count="8">
    <xf numFmtId="0" fontId="0" fillId="0" borderId="0"/>
    <xf numFmtId="0" fontId="2" fillId="0" borderId="0"/>
    <xf numFmtId="0" fontId="5" fillId="0" borderId="0"/>
    <xf numFmtId="0" fontId="4" fillId="0" borderId="0"/>
    <xf numFmtId="4" fontId="5" fillId="0" borderId="0" applyFont="0" applyFill="0" applyBorder="0" applyAlignment="0" applyProtection="0"/>
    <xf numFmtId="0" fontId="4" fillId="0" borderId="0"/>
    <xf numFmtId="0" fontId="6" fillId="0" borderId="0"/>
    <xf numFmtId="9" fontId="6" fillId="0" borderId="0" applyFont="0" applyFill="0" applyBorder="0" applyAlignment="0" applyProtection="0"/>
  </cellStyleXfs>
  <cellXfs count="95">
    <xf numFmtId="0" fontId="0" fillId="0" borderId="0" xfId="0"/>
    <xf numFmtId="0" fontId="0" fillId="0" borderId="1" xfId="0" applyBorder="1"/>
    <xf numFmtId="0" fontId="0" fillId="0" borderId="1" xfId="0" applyBorder="1" applyAlignment="1">
      <alignment horizontal="justify"/>
    </xf>
    <xf numFmtId="4" fontId="0" fillId="0" borderId="1" xfId="0" applyNumberFormat="1" applyBorder="1" applyAlignment="1">
      <alignment horizontal="justify"/>
    </xf>
    <xf numFmtId="3" fontId="0" fillId="0" borderId="1" xfId="0" applyNumberFormat="1" applyBorder="1"/>
    <xf numFmtId="0" fontId="1" fillId="0" borderId="0" xfId="1" applyFont="1" applyAlignment="1">
      <alignment wrapText="1"/>
    </xf>
    <xf numFmtId="0" fontId="2" fillId="0" borderId="0" xfId="1"/>
    <xf numFmtId="0" fontId="1" fillId="0" borderId="0" xfId="1" applyFont="1"/>
    <xf numFmtId="0" fontId="0" fillId="0" borderId="0" xfId="0" applyAlignment="1">
      <alignment horizontal="justify" vertical="center" wrapText="1"/>
    </xf>
    <xf numFmtId="0" fontId="3" fillId="0" borderId="0" xfId="1" applyFont="1" applyAlignment="1">
      <alignment vertical="center"/>
    </xf>
    <xf numFmtId="0" fontId="0" fillId="0" borderId="1" xfId="0" applyBorder="1" applyAlignment="1">
      <alignment horizontal="left"/>
    </xf>
    <xf numFmtId="4" fontId="0" fillId="0" borderId="0" xfId="0" applyNumberFormat="1"/>
    <xf numFmtId="4" fontId="0" fillId="0" borderId="1" xfId="0" applyNumberFormat="1" applyBorder="1"/>
    <xf numFmtId="0" fontId="6" fillId="0" borderId="0" xfId="6"/>
    <xf numFmtId="0" fontId="8" fillId="0" borderId="7" xfId="6" applyFont="1" applyBorder="1" applyAlignment="1">
      <alignment horizontal="left" vertical="center" wrapText="1"/>
    </xf>
    <xf numFmtId="0" fontId="8" fillId="0" borderId="8" xfId="6" applyFont="1" applyBorder="1" applyAlignment="1">
      <alignment horizontal="left" vertical="center" wrapText="1"/>
    </xf>
    <xf numFmtId="0" fontId="8" fillId="0" borderId="8" xfId="6" applyFont="1" applyBorder="1" applyAlignment="1">
      <alignment horizontal="right" vertical="center" wrapText="1"/>
    </xf>
    <xf numFmtId="0" fontId="8" fillId="0" borderId="8" xfId="6" applyFont="1" applyBorder="1" applyAlignment="1">
      <alignment horizontal="center" vertical="center" wrapText="1"/>
    </xf>
    <xf numFmtId="0" fontId="8" fillId="0" borderId="14" xfId="6" applyFont="1" applyBorder="1" applyAlignment="1">
      <alignment horizontal="left" vertical="center" wrapText="1"/>
    </xf>
    <xf numFmtId="0" fontId="8" fillId="4" borderId="13" xfId="6" applyFont="1" applyFill="1" applyBorder="1" applyAlignment="1">
      <alignment horizontal="right" vertical="center" wrapText="1"/>
    </xf>
    <xf numFmtId="0" fontId="7" fillId="5" borderId="13" xfId="6" applyFont="1" applyFill="1" applyBorder="1" applyAlignment="1">
      <alignment horizontal="center" vertical="center" wrapText="1"/>
    </xf>
    <xf numFmtId="0" fontId="7" fillId="5" borderId="8" xfId="6" applyFont="1" applyFill="1" applyBorder="1" applyAlignment="1">
      <alignment horizontal="center" vertical="center" wrapText="1"/>
    </xf>
    <xf numFmtId="4" fontId="8" fillId="0" borderId="8" xfId="6" applyNumberFormat="1" applyFont="1" applyBorder="1" applyAlignment="1">
      <alignment horizontal="right" vertical="center" wrapText="1"/>
    </xf>
    <xf numFmtId="0" fontId="8" fillId="5" borderId="7" xfId="6" applyFont="1" applyFill="1" applyBorder="1" applyAlignment="1">
      <alignment horizontal="right" vertical="center" wrapText="1"/>
    </xf>
    <xf numFmtId="0" fontId="9" fillId="5" borderId="8" xfId="6" applyFont="1" applyFill="1" applyBorder="1" applyAlignment="1">
      <alignment horizontal="left" vertical="center" wrapText="1"/>
    </xf>
    <xf numFmtId="0" fontId="8" fillId="5" borderId="8" xfId="6" applyFont="1" applyFill="1" applyBorder="1" applyAlignment="1">
      <alignment horizontal="right" vertical="center" wrapText="1"/>
    </xf>
    <xf numFmtId="4" fontId="8" fillId="5" borderId="8" xfId="6" applyNumberFormat="1" applyFont="1" applyFill="1" applyBorder="1" applyAlignment="1">
      <alignment horizontal="right" vertical="center" wrapText="1"/>
    </xf>
    <xf numFmtId="0" fontId="8" fillId="6" borderId="7" xfId="6" applyFont="1" applyFill="1" applyBorder="1" applyAlignment="1">
      <alignment horizontal="right" vertical="center" wrapText="1"/>
    </xf>
    <xf numFmtId="0" fontId="8" fillId="6" borderId="8" xfId="6" applyFont="1" applyFill="1" applyBorder="1" applyAlignment="1">
      <alignment horizontal="left" vertical="center" wrapText="1"/>
    </xf>
    <xf numFmtId="4" fontId="8" fillId="6" borderId="8" xfId="6" applyNumberFormat="1" applyFont="1" applyFill="1" applyBorder="1" applyAlignment="1">
      <alignment horizontal="left" vertical="center" wrapText="1"/>
    </xf>
    <xf numFmtId="4" fontId="8" fillId="6" borderId="8" xfId="6" applyNumberFormat="1" applyFont="1" applyFill="1" applyBorder="1" applyAlignment="1">
      <alignment horizontal="right" vertical="center" wrapText="1"/>
    </xf>
    <xf numFmtId="0" fontId="8" fillId="6" borderId="8" xfId="6" applyFont="1" applyFill="1" applyBorder="1" applyAlignment="1">
      <alignment horizontal="right" vertical="center" wrapText="1"/>
    </xf>
    <xf numFmtId="164" fontId="7" fillId="6" borderId="8" xfId="6" applyNumberFormat="1" applyFont="1" applyFill="1" applyBorder="1" applyAlignment="1">
      <alignment horizontal="right" vertical="center" wrapText="1"/>
    </xf>
    <xf numFmtId="4" fontId="7" fillId="6" borderId="8" xfId="6" applyNumberFormat="1" applyFont="1" applyFill="1" applyBorder="1" applyAlignment="1">
      <alignment horizontal="right" vertical="center" wrapText="1"/>
    </xf>
    <xf numFmtId="4" fontId="7" fillId="0" borderId="8" xfId="6" applyNumberFormat="1" applyFont="1" applyBorder="1" applyAlignment="1">
      <alignment horizontal="right" vertical="center" wrapText="1"/>
    </xf>
    <xf numFmtId="165" fontId="6" fillId="0" borderId="0" xfId="6" applyNumberFormat="1"/>
    <xf numFmtId="4" fontId="7" fillId="6" borderId="4" xfId="6" applyNumberFormat="1" applyFont="1" applyFill="1" applyBorder="1" applyAlignment="1">
      <alignment vertical="center" wrapText="1"/>
    </xf>
    <xf numFmtId="4" fontId="7" fillId="6" borderId="5" xfId="6" applyNumberFormat="1" applyFont="1" applyFill="1" applyBorder="1" applyAlignment="1">
      <alignment vertical="center" wrapText="1"/>
    </xf>
    <xf numFmtId="4" fontId="7" fillId="6" borderId="13" xfId="6" applyNumberFormat="1" applyFont="1" applyFill="1" applyBorder="1" applyAlignment="1">
      <alignment horizontal="right" vertical="center" wrapText="1"/>
    </xf>
    <xf numFmtId="0" fontId="7" fillId="6" borderId="7" xfId="6" applyFont="1" applyFill="1" applyBorder="1" applyAlignment="1">
      <alignment horizontal="left" vertical="center" wrapText="1"/>
    </xf>
    <xf numFmtId="0" fontId="7" fillId="6" borderId="1" xfId="6" applyFont="1" applyFill="1" applyBorder="1" applyAlignment="1">
      <alignment horizontal="left" vertical="center" wrapText="1"/>
    </xf>
    <xf numFmtId="0" fontId="8" fillId="6" borderId="1" xfId="6" applyFont="1" applyFill="1" applyBorder="1" applyAlignment="1">
      <alignment horizontal="left" vertical="center" wrapText="1"/>
    </xf>
    <xf numFmtId="4" fontId="7" fillId="6" borderId="1" xfId="6" applyNumberFormat="1" applyFont="1" applyFill="1" applyBorder="1" applyAlignment="1">
      <alignment horizontal="right" vertical="center" wrapText="1"/>
    </xf>
    <xf numFmtId="0" fontId="8" fillId="0" borderId="0" xfId="6" applyFont="1" applyAlignment="1">
      <alignment horizontal="right" vertical="center" wrapText="1"/>
    </xf>
    <xf numFmtId="165" fontId="8" fillId="0" borderId="0" xfId="6" applyNumberFormat="1" applyFont="1" applyAlignment="1">
      <alignment horizontal="right" vertical="center" wrapText="1"/>
    </xf>
    <xf numFmtId="0" fontId="7" fillId="0" borderId="0" xfId="6" applyFont="1" applyAlignment="1">
      <alignment vertical="center" wrapText="1"/>
    </xf>
    <xf numFmtId="165" fontId="7" fillId="0" borderId="0" xfId="6" applyNumberFormat="1" applyFont="1" applyAlignment="1">
      <alignment vertical="center" wrapText="1"/>
    </xf>
    <xf numFmtId="165" fontId="7" fillId="0" borderId="0" xfId="6" applyNumberFormat="1" applyFont="1" applyAlignment="1">
      <alignment horizontal="right" vertical="center" wrapText="1"/>
    </xf>
    <xf numFmtId="0" fontId="7" fillId="0" borderId="0" xfId="6" applyFont="1" applyAlignment="1">
      <alignment horizontal="left" vertical="center" wrapText="1"/>
    </xf>
    <xf numFmtId="0" fontId="8" fillId="0" borderId="0" xfId="6" applyFont="1" applyAlignment="1">
      <alignment horizontal="left" vertical="center" wrapText="1"/>
    </xf>
    <xf numFmtId="0" fontId="9" fillId="0" borderId="0" xfId="6" applyFont="1" applyAlignment="1">
      <alignment horizontal="left" vertical="center" wrapText="1"/>
    </xf>
    <xf numFmtId="166" fontId="2" fillId="0" borderId="0" xfId="7" applyNumberFormat="1" applyFont="1" applyFill="1" applyBorder="1" applyAlignment="1">
      <alignment horizontal="center" vertical="center" wrapText="1"/>
    </xf>
    <xf numFmtId="0" fontId="7" fillId="0" borderId="0" xfId="6" applyFont="1" applyAlignment="1">
      <alignment horizontal="right" vertical="center" wrapText="1"/>
    </xf>
    <xf numFmtId="0" fontId="8" fillId="0" borderId="0" xfId="0" applyFont="1" applyAlignment="1">
      <alignment horizontal="left" vertical="center" wrapText="1"/>
    </xf>
    <xf numFmtId="0" fontId="8" fillId="0" borderId="0" xfId="0" applyFont="1" applyAlignment="1">
      <alignment horizontal="right" vertical="center" wrapText="1"/>
    </xf>
    <xf numFmtId="0" fontId="7" fillId="0" borderId="0" xfId="0" applyFont="1" applyAlignment="1">
      <alignment vertical="center" wrapText="1"/>
    </xf>
    <xf numFmtId="4" fontId="7" fillId="0" borderId="0" xfId="0" applyNumberFormat="1" applyFont="1" applyAlignment="1">
      <alignment vertical="center" wrapText="1"/>
    </xf>
    <xf numFmtId="4" fontId="6" fillId="0" borderId="0" xfId="6" applyNumberFormat="1"/>
    <xf numFmtId="0" fontId="1" fillId="0" borderId="1" xfId="0" applyFont="1" applyBorder="1"/>
    <xf numFmtId="0" fontId="0" fillId="0" borderId="1" xfId="0" applyBorder="1" applyAlignment="1">
      <alignment horizontal="left" indent="1"/>
    </xf>
    <xf numFmtId="0" fontId="1" fillId="0" borderId="1" xfId="0" applyFont="1" applyBorder="1" applyAlignment="1">
      <alignment horizontal="left"/>
    </xf>
    <xf numFmtId="0" fontId="1" fillId="7" borderId="1" xfId="0" applyFont="1" applyFill="1" applyBorder="1"/>
    <xf numFmtId="0" fontId="0" fillId="0" borderId="0" xfId="0" applyAlignment="1">
      <alignment horizontal="left"/>
    </xf>
    <xf numFmtId="0" fontId="0" fillId="4" borderId="0" xfId="0" applyFill="1"/>
    <xf numFmtId="3" fontId="0" fillId="4" borderId="1" xfId="0" applyNumberFormat="1" applyFill="1" applyBorder="1"/>
    <xf numFmtId="3" fontId="11" fillId="0" borderId="1" xfId="0" applyNumberFormat="1" applyFont="1" applyBorder="1"/>
    <xf numFmtId="0" fontId="0" fillId="0" borderId="0" xfId="0" applyAlignment="1">
      <alignment vertical="center" wrapText="1"/>
    </xf>
    <xf numFmtId="0" fontId="2" fillId="0" borderId="0" xfId="1" applyAlignment="1">
      <alignment horizontal="center"/>
    </xf>
    <xf numFmtId="0" fontId="1" fillId="0" borderId="0" xfId="1" applyFont="1" applyAlignment="1">
      <alignment horizontal="center"/>
    </xf>
    <xf numFmtId="0" fontId="0" fillId="0" borderId="0" xfId="1" applyFont="1" applyAlignment="1">
      <alignment horizontal="left" vertical="center" wrapText="1"/>
    </xf>
    <xf numFmtId="0" fontId="2" fillId="0" borderId="0" xfId="1" applyAlignment="1">
      <alignment horizontal="left" vertical="center" wrapText="1"/>
    </xf>
    <xf numFmtId="0" fontId="1" fillId="2" borderId="1" xfId="0" applyFont="1" applyFill="1" applyBorder="1" applyAlignment="1">
      <alignment horizontal="center"/>
    </xf>
    <xf numFmtId="0" fontId="0" fillId="0" borderId="1" xfId="0" applyBorder="1" applyAlignment="1">
      <alignment horizontal="left" vertical="center"/>
    </xf>
    <xf numFmtId="0" fontId="0" fillId="0" borderId="1" xfId="0" applyBorder="1" applyAlignment="1">
      <alignment vertical="center"/>
    </xf>
    <xf numFmtId="0" fontId="7" fillId="3" borderId="4" xfId="6" applyFont="1" applyFill="1" applyBorder="1" applyAlignment="1">
      <alignment horizontal="center" vertical="center" wrapText="1"/>
    </xf>
    <xf numFmtId="0" fontId="7" fillId="3" borderId="5" xfId="6" applyFont="1" applyFill="1" applyBorder="1" applyAlignment="1">
      <alignment horizontal="center" vertical="center" wrapText="1"/>
    </xf>
    <xf numFmtId="0" fontId="7" fillId="3" borderId="6" xfId="6" applyFont="1" applyFill="1" applyBorder="1" applyAlignment="1">
      <alignment horizontal="center" vertical="center" wrapText="1"/>
    </xf>
    <xf numFmtId="0" fontId="8" fillId="0" borderId="9" xfId="6" applyFont="1" applyBorder="1" applyAlignment="1">
      <alignment horizontal="center" vertical="center" wrapText="1"/>
    </xf>
    <xf numFmtId="0" fontId="8" fillId="0" borderId="10" xfId="6" applyFont="1" applyBorder="1" applyAlignment="1">
      <alignment horizontal="center" vertical="center" wrapText="1"/>
    </xf>
    <xf numFmtId="0" fontId="8" fillId="0" borderId="11" xfId="6" applyFont="1" applyBorder="1" applyAlignment="1">
      <alignment horizontal="center" vertical="center" wrapText="1"/>
    </xf>
    <xf numFmtId="0" fontId="8" fillId="0" borderId="12" xfId="6" applyFont="1" applyBorder="1" applyAlignment="1">
      <alignment horizontal="center" vertical="center" wrapText="1"/>
    </xf>
    <xf numFmtId="0" fontId="8" fillId="0" borderId="0" xfId="6" applyFont="1" applyAlignment="1">
      <alignment horizontal="center" vertical="center" wrapText="1"/>
    </xf>
    <xf numFmtId="0" fontId="8" fillId="0" borderId="13" xfId="6" applyFont="1" applyBorder="1" applyAlignment="1">
      <alignment horizontal="center" vertical="center" wrapText="1"/>
    </xf>
    <xf numFmtId="0" fontId="9" fillId="5" borderId="15" xfId="6" applyFont="1" applyFill="1" applyBorder="1" applyAlignment="1">
      <alignment horizontal="left" vertical="center" wrapText="1"/>
    </xf>
    <xf numFmtId="0" fontId="9" fillId="5" borderId="7" xfId="6" applyFont="1" applyFill="1" applyBorder="1" applyAlignment="1">
      <alignment horizontal="left" vertical="center" wrapText="1"/>
    </xf>
    <xf numFmtId="0" fontId="7" fillId="5" borderId="15" xfId="6" applyFont="1" applyFill="1" applyBorder="1" applyAlignment="1">
      <alignment horizontal="left" vertical="center" wrapText="1"/>
    </xf>
    <xf numFmtId="0" fontId="7" fillId="5" borderId="7" xfId="6" applyFont="1" applyFill="1" applyBorder="1" applyAlignment="1">
      <alignment horizontal="left" vertical="center" wrapText="1"/>
    </xf>
    <xf numFmtId="0" fontId="7" fillId="6" borderId="4" xfId="6" applyFont="1" applyFill="1" applyBorder="1" applyAlignment="1">
      <alignment horizontal="right" vertical="center" wrapText="1"/>
    </xf>
    <xf numFmtId="0" fontId="7" fillId="6" borderId="5" xfId="6" applyFont="1" applyFill="1" applyBorder="1" applyAlignment="1">
      <alignment horizontal="right" vertical="center" wrapText="1"/>
    </xf>
    <xf numFmtId="0" fontId="7" fillId="6" borderId="6" xfId="6" applyFont="1" applyFill="1" applyBorder="1" applyAlignment="1">
      <alignment horizontal="right" vertical="center" wrapText="1"/>
    </xf>
    <xf numFmtId="0" fontId="8" fillId="0" borderId="0" xfId="6" applyFont="1" applyAlignment="1">
      <alignment horizontal="left" vertical="center" wrapText="1"/>
    </xf>
    <xf numFmtId="0" fontId="8" fillId="6" borderId="4" xfId="6" applyFont="1" applyFill="1" applyBorder="1" applyAlignment="1">
      <alignment horizontal="center" vertical="center" wrapText="1"/>
    </xf>
    <xf numFmtId="0" fontId="8" fillId="6" borderId="6" xfId="6" applyFont="1" applyFill="1" applyBorder="1" applyAlignment="1">
      <alignment horizontal="center" vertical="center" wrapText="1"/>
    </xf>
    <xf numFmtId="0" fontId="8" fillId="6" borderId="2" xfId="6" applyFont="1" applyFill="1" applyBorder="1" applyAlignment="1">
      <alignment horizontal="center" vertical="center" wrapText="1"/>
    </xf>
    <xf numFmtId="0" fontId="8" fillId="6" borderId="3" xfId="6" applyFont="1" applyFill="1" applyBorder="1" applyAlignment="1">
      <alignment horizontal="center" vertical="center" wrapText="1"/>
    </xf>
  </cellXfs>
  <cellStyles count="8">
    <cellStyle name="Comma 3" xfId="4" xr:uid="{00000000-0005-0000-0000-000000000000}"/>
    <cellStyle name="Normal" xfId="0" builtinId="0"/>
    <cellStyle name="Normal 2" xfId="1" xr:uid="{00000000-0005-0000-0000-000002000000}"/>
    <cellStyle name="Normal 2 2" xfId="2" xr:uid="{00000000-0005-0000-0000-000003000000}"/>
    <cellStyle name="Normal 3" xfId="6" xr:uid="{00000000-0005-0000-0000-000004000000}"/>
    <cellStyle name="Normal 3 2" xfId="3" xr:uid="{00000000-0005-0000-0000-000005000000}"/>
    <cellStyle name="Normal 3_Cartas tecnologicas actualizadas  A 02-03-2011" xfId="5"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1054100</xdr:colOff>
      <xdr:row>6</xdr:row>
      <xdr:rowOff>88900</xdr:rowOff>
    </xdr:from>
    <xdr:to>
      <xdr:col>1</xdr:col>
      <xdr:colOff>5727700</xdr:colOff>
      <xdr:row>22</xdr:row>
      <xdr:rowOff>9525</xdr:rowOff>
    </xdr:to>
    <xdr:pic>
      <xdr:nvPicPr>
        <xdr:cNvPr id="2" name="image19.png">
          <a:extLst>
            <a:ext uri="{FF2B5EF4-FFF2-40B4-BE49-F238E27FC236}">
              <a16:creationId xmlns:a16="http://schemas.microsoft.com/office/drawing/2014/main" id="{AC22083B-1B5F-AF48-A450-7043174006A9}"/>
            </a:ext>
          </a:extLst>
        </xdr:cNvPr>
        <xdr:cNvPicPr/>
      </xdr:nvPicPr>
      <xdr:blipFill>
        <a:blip xmlns:r="http://schemas.openxmlformats.org/officeDocument/2006/relationships" r:embed="rId1"/>
        <a:srcRect/>
        <a:stretch>
          <a:fillRect/>
        </a:stretch>
      </xdr:blipFill>
      <xdr:spPr>
        <a:xfrm>
          <a:off x="1054100" y="1485900"/>
          <a:ext cx="5943600" cy="2968625"/>
        </a:xfrm>
        <a:prstGeom prst="rect">
          <a:avLst/>
        </a:prstGeom>
        <a:ln/>
      </xdr:spPr>
    </xdr:pic>
    <xdr:clientData/>
  </xdr:twoCellAnchor>
  <xdr:twoCellAnchor editAs="oneCell">
    <xdr:from>
      <xdr:col>1</xdr:col>
      <xdr:colOff>1638300</xdr:colOff>
      <xdr:row>26</xdr:row>
      <xdr:rowOff>0</xdr:rowOff>
    </xdr:from>
    <xdr:to>
      <xdr:col>1</xdr:col>
      <xdr:colOff>2679700</xdr:colOff>
      <xdr:row>31</xdr:row>
      <xdr:rowOff>127000</xdr:rowOff>
    </xdr:to>
    <xdr:pic>
      <xdr:nvPicPr>
        <xdr:cNvPr id="3" name="image14.png">
          <a:extLst>
            <a:ext uri="{FF2B5EF4-FFF2-40B4-BE49-F238E27FC236}">
              <a16:creationId xmlns:a16="http://schemas.microsoft.com/office/drawing/2014/main" id="{72E53235-539D-8345-8532-8C2D59ED5998}"/>
            </a:ext>
          </a:extLst>
        </xdr:cNvPr>
        <xdr:cNvPicPr/>
      </xdr:nvPicPr>
      <xdr:blipFill>
        <a:blip xmlns:r="http://schemas.openxmlformats.org/officeDocument/2006/relationships" r:embed="rId2"/>
        <a:srcRect/>
        <a:stretch>
          <a:fillRect/>
        </a:stretch>
      </xdr:blipFill>
      <xdr:spPr>
        <a:xfrm>
          <a:off x="2730500" y="5207000"/>
          <a:ext cx="1041400" cy="1079500"/>
        </a:xfrm>
        <a:prstGeom prst="rect">
          <a:avLst/>
        </a:prstGeom>
        <a:ln/>
      </xdr:spPr>
    </xdr:pic>
    <xdr:clientData/>
  </xdr:twoCellAnchor>
  <xdr:twoCellAnchor editAs="oneCell">
    <xdr:from>
      <xdr:col>1</xdr:col>
      <xdr:colOff>2882900</xdr:colOff>
      <xdr:row>27</xdr:row>
      <xdr:rowOff>114300</xdr:rowOff>
    </xdr:from>
    <xdr:to>
      <xdr:col>1</xdr:col>
      <xdr:colOff>5640705</xdr:colOff>
      <xdr:row>29</xdr:row>
      <xdr:rowOff>113030</xdr:rowOff>
    </xdr:to>
    <xdr:pic>
      <xdr:nvPicPr>
        <xdr:cNvPr id="4" name="image8.jpg">
          <a:extLst>
            <a:ext uri="{FF2B5EF4-FFF2-40B4-BE49-F238E27FC236}">
              <a16:creationId xmlns:a16="http://schemas.microsoft.com/office/drawing/2014/main" id="{F4AF5275-E015-E84F-9B85-672637DFE7DF}"/>
            </a:ext>
          </a:extLst>
        </xdr:cNvPr>
        <xdr:cNvPicPr/>
      </xdr:nvPicPr>
      <xdr:blipFill>
        <a:blip xmlns:r="http://schemas.openxmlformats.org/officeDocument/2006/relationships" r:embed="rId3"/>
        <a:srcRect/>
        <a:stretch>
          <a:fillRect/>
        </a:stretch>
      </xdr:blipFill>
      <xdr:spPr>
        <a:xfrm>
          <a:off x="3975100" y="5511800"/>
          <a:ext cx="2757805" cy="379730"/>
        </a:xfrm>
        <a:prstGeom prst="rect">
          <a:avLst/>
        </a:prstGeom>
        <a:ln/>
      </xdr:spPr>
    </xdr:pic>
    <xdr:clientData/>
  </xdr:twoCellAnchor>
  <xdr:twoCellAnchor editAs="oneCell">
    <xdr:from>
      <xdr:col>1</xdr:col>
      <xdr:colOff>5740400</xdr:colOff>
      <xdr:row>25</xdr:row>
      <xdr:rowOff>177800</xdr:rowOff>
    </xdr:from>
    <xdr:to>
      <xdr:col>3</xdr:col>
      <xdr:colOff>81915</xdr:colOff>
      <xdr:row>30</xdr:row>
      <xdr:rowOff>133985</xdr:rowOff>
    </xdr:to>
    <xdr:pic>
      <xdr:nvPicPr>
        <xdr:cNvPr id="5" name="image1.png">
          <a:extLst>
            <a:ext uri="{FF2B5EF4-FFF2-40B4-BE49-F238E27FC236}">
              <a16:creationId xmlns:a16="http://schemas.microsoft.com/office/drawing/2014/main" id="{655908A1-2A28-A740-A5C1-EBC56F8233FA}"/>
            </a:ext>
          </a:extLst>
        </xdr:cNvPr>
        <xdr:cNvPicPr/>
      </xdr:nvPicPr>
      <xdr:blipFill>
        <a:blip xmlns:r="http://schemas.openxmlformats.org/officeDocument/2006/relationships" r:embed="rId4"/>
        <a:srcRect/>
        <a:stretch>
          <a:fillRect/>
        </a:stretch>
      </xdr:blipFill>
      <xdr:spPr>
        <a:xfrm>
          <a:off x="6832600" y="5194300"/>
          <a:ext cx="1301115" cy="908685"/>
        </a:xfrm>
        <a:prstGeom prst="rect">
          <a:avLst/>
        </a:prstGeom>
        <a:ln/>
      </xdr:spPr>
    </xdr:pic>
    <xdr:clientData/>
  </xdr:twoCellAnchor>
  <xdr:twoCellAnchor editAs="oneCell">
    <xdr:from>
      <xdr:col>0</xdr:col>
      <xdr:colOff>317500</xdr:colOff>
      <xdr:row>26</xdr:row>
      <xdr:rowOff>88900</xdr:rowOff>
    </xdr:from>
    <xdr:to>
      <xdr:col>1</xdr:col>
      <xdr:colOff>1151255</xdr:colOff>
      <xdr:row>30</xdr:row>
      <xdr:rowOff>147955</xdr:rowOff>
    </xdr:to>
    <xdr:pic>
      <xdr:nvPicPr>
        <xdr:cNvPr id="6" name="image4.png">
          <a:extLst>
            <a:ext uri="{FF2B5EF4-FFF2-40B4-BE49-F238E27FC236}">
              <a16:creationId xmlns:a16="http://schemas.microsoft.com/office/drawing/2014/main" id="{98B51C41-51E6-0F4C-B0ED-13C0F545CDA2}"/>
            </a:ext>
          </a:extLst>
        </xdr:cNvPr>
        <xdr:cNvPicPr/>
      </xdr:nvPicPr>
      <xdr:blipFill>
        <a:blip xmlns:r="http://schemas.openxmlformats.org/officeDocument/2006/relationships" r:embed="rId5"/>
        <a:srcRect/>
        <a:stretch>
          <a:fillRect/>
        </a:stretch>
      </xdr:blipFill>
      <xdr:spPr>
        <a:xfrm>
          <a:off x="317500" y="5295900"/>
          <a:ext cx="2103755" cy="821055"/>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245045</xdr:colOff>
      <xdr:row>12</xdr:row>
      <xdr:rowOff>391585</xdr:rowOff>
    </xdr:from>
    <xdr:to>
      <xdr:col>9</xdr:col>
      <xdr:colOff>0</xdr:colOff>
      <xdr:row>16</xdr:row>
      <xdr:rowOff>621975</xdr:rowOff>
    </xdr:to>
    <xdr:sp macro="" textlink="">
      <xdr:nvSpPr>
        <xdr:cNvPr id="2" name="Flecha derecha 1">
          <a:extLst>
            <a:ext uri="{FF2B5EF4-FFF2-40B4-BE49-F238E27FC236}">
              <a16:creationId xmlns:a16="http://schemas.microsoft.com/office/drawing/2014/main" id="{24B932B2-413D-57D0-6B4C-F795EC7431AA}"/>
            </a:ext>
          </a:extLst>
        </xdr:cNvPr>
        <xdr:cNvSpPr/>
      </xdr:nvSpPr>
      <xdr:spPr>
        <a:xfrm>
          <a:off x="5914325" y="3424345"/>
          <a:ext cx="2261935" cy="123623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a:p>
          <a:pPr algn="l"/>
          <a:r>
            <a:rPr lang="es-MX" sz="1100"/>
            <a:t>Diesel</a:t>
          </a:r>
          <a:r>
            <a:rPr lang="es-MX" sz="1100" baseline="0"/>
            <a:t> pump--&gt; Solar Pump</a:t>
          </a:r>
          <a:endParaRPr lang="es-MX"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1219200</xdr:colOff>
      <xdr:row>1</xdr:row>
      <xdr:rowOff>101600</xdr:rowOff>
    </xdr:from>
    <xdr:to>
      <xdr:col>0</xdr:col>
      <xdr:colOff>8178800</xdr:colOff>
      <xdr:row>31</xdr:row>
      <xdr:rowOff>181352</xdr:rowOff>
    </xdr:to>
    <xdr:pic>
      <xdr:nvPicPr>
        <xdr:cNvPr id="2" name="Imagen 1">
          <a:extLst>
            <a:ext uri="{FF2B5EF4-FFF2-40B4-BE49-F238E27FC236}">
              <a16:creationId xmlns:a16="http://schemas.microsoft.com/office/drawing/2014/main" id="{86BF6B97-0F80-A496-9183-2297FD3FBD1F}"/>
            </a:ext>
          </a:extLst>
        </xdr:cNvPr>
        <xdr:cNvPicPr>
          <a:picLocks noChangeAspect="1"/>
        </xdr:cNvPicPr>
      </xdr:nvPicPr>
      <xdr:blipFill>
        <a:blip xmlns:r="http://schemas.openxmlformats.org/officeDocument/2006/relationships" r:embed="rId1"/>
        <a:stretch>
          <a:fillRect/>
        </a:stretch>
      </xdr:blipFill>
      <xdr:spPr>
        <a:xfrm>
          <a:off x="1219200" y="1714500"/>
          <a:ext cx="6959600" cy="57947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398584</xdr:colOff>
      <xdr:row>5</xdr:row>
      <xdr:rowOff>87924</xdr:rowOff>
    </xdr:from>
    <xdr:to>
      <xdr:col>5</xdr:col>
      <xdr:colOff>99646</xdr:colOff>
      <xdr:row>5</xdr:row>
      <xdr:rowOff>93785</xdr:rowOff>
    </xdr:to>
    <xdr:cxnSp macro="">
      <xdr:nvCxnSpPr>
        <xdr:cNvPr id="3" name="Straight Arrow Connector 2">
          <a:extLst>
            <a:ext uri="{FF2B5EF4-FFF2-40B4-BE49-F238E27FC236}">
              <a16:creationId xmlns:a16="http://schemas.microsoft.com/office/drawing/2014/main" id="{00000000-0008-0000-0500-000003000000}"/>
            </a:ext>
          </a:extLst>
        </xdr:cNvPr>
        <xdr:cNvCxnSpPr/>
      </xdr:nvCxnSpPr>
      <xdr:spPr>
        <a:xfrm>
          <a:off x="2801815" y="996462"/>
          <a:ext cx="2889739" cy="58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808892</xdr:colOff>
      <xdr:row>5</xdr:row>
      <xdr:rowOff>87924</xdr:rowOff>
    </xdr:from>
    <xdr:to>
      <xdr:col>9</xdr:col>
      <xdr:colOff>263769</xdr:colOff>
      <xdr:row>5</xdr:row>
      <xdr:rowOff>99647</xdr:rowOff>
    </xdr:to>
    <xdr:cxnSp macro="">
      <xdr:nvCxnSpPr>
        <xdr:cNvPr id="4" name="Straight Arrow Connector 3">
          <a:extLst>
            <a:ext uri="{FF2B5EF4-FFF2-40B4-BE49-F238E27FC236}">
              <a16:creationId xmlns:a16="http://schemas.microsoft.com/office/drawing/2014/main" id="{00000000-0008-0000-0500-000004000000}"/>
            </a:ext>
          </a:extLst>
        </xdr:cNvPr>
        <xdr:cNvCxnSpPr/>
      </xdr:nvCxnSpPr>
      <xdr:spPr>
        <a:xfrm flipV="1">
          <a:off x="6400800" y="996462"/>
          <a:ext cx="2614246" cy="117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tefceline/Desktop/Palangata%20surf%20sola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tefceline/Dropbox%20(Compte%20personnel)/Transfert/IRRIS%20Concept%20version2.3_VLIB%20SA.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Documents/Pessoal/Pine3/Clientes/Marco%20Machado/CTCN/2024/Documentos%20Practica/Julho%202024/4.2%20Cost%20estimation%20of%20the%20prioritized%20technologies-V2-24June2024_Trtaduzi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g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and Intro "/>
      <sheetName val="Detailed BOQ"/>
      <sheetName val="Financial Scenario"/>
      <sheetName val="Total Costs Summary "/>
    </sheetNames>
    <sheetDataSet>
      <sheetData sheetId="0"/>
      <sheetData sheetId="1">
        <row r="7">
          <cell r="E7">
            <v>584289.4</v>
          </cell>
        </row>
        <row r="9">
          <cell r="F9">
            <v>413561.11764705885</v>
          </cell>
        </row>
        <row r="53">
          <cell r="F53">
            <v>424231.11764705885</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9"/>
  <sheetViews>
    <sheetView topLeftCell="A18" workbookViewId="0">
      <selection activeCell="A33" sqref="A33:B39"/>
    </sheetView>
  </sheetViews>
  <sheetFormatPr baseColWidth="10" defaultColWidth="11.5" defaultRowHeight="15" x14ac:dyDescent="0.2"/>
  <cols>
    <col min="1" max="1" width="16.6640625" customWidth="1"/>
    <col min="2" max="2" width="80.5" customWidth="1"/>
  </cols>
  <sheetData>
    <row r="1" spans="1:2" ht="16" x14ac:dyDescent="0.2">
      <c r="A1" s="5" t="s">
        <v>27</v>
      </c>
      <c r="B1" s="6" t="s">
        <v>28</v>
      </c>
    </row>
    <row r="2" spans="1:2" ht="31.25" customHeight="1" x14ac:dyDescent="0.2">
      <c r="A2" s="7" t="s">
        <v>29</v>
      </c>
      <c r="B2" s="8" t="s">
        <v>30</v>
      </c>
    </row>
    <row r="3" spans="1:2" ht="16" x14ac:dyDescent="0.2">
      <c r="A3" s="7" t="s">
        <v>31</v>
      </c>
      <c r="B3" s="9" t="s">
        <v>32</v>
      </c>
    </row>
    <row r="4" spans="1:2" x14ac:dyDescent="0.2">
      <c r="A4" s="7" t="s">
        <v>33</v>
      </c>
      <c r="B4" s="6" t="s">
        <v>34</v>
      </c>
    </row>
    <row r="5" spans="1:2" x14ac:dyDescent="0.2">
      <c r="A5" s="7" t="s">
        <v>35</v>
      </c>
      <c r="B5" s="6" t="s">
        <v>36</v>
      </c>
    </row>
    <row r="6" spans="1:2" x14ac:dyDescent="0.2">
      <c r="A6" s="7" t="s">
        <v>37</v>
      </c>
      <c r="B6" s="6" t="s">
        <v>177</v>
      </c>
    </row>
    <row r="7" spans="1:2" x14ac:dyDescent="0.2">
      <c r="A7" s="6"/>
      <c r="B7" s="6"/>
    </row>
    <row r="8" spans="1:2" x14ac:dyDescent="0.2">
      <c r="A8" s="6"/>
      <c r="B8" s="6"/>
    </row>
    <row r="9" spans="1:2" x14ac:dyDescent="0.2">
      <c r="A9" s="6"/>
      <c r="B9" s="6"/>
    </row>
    <row r="10" spans="1:2" x14ac:dyDescent="0.2">
      <c r="A10" s="6"/>
      <c r="B10" s="6"/>
    </row>
    <row r="11" spans="1:2" x14ac:dyDescent="0.2">
      <c r="A11" s="6"/>
      <c r="B11" s="6"/>
    </row>
    <row r="12" spans="1:2" x14ac:dyDescent="0.2">
      <c r="A12" s="6"/>
      <c r="B12" s="6"/>
    </row>
    <row r="13" spans="1:2" x14ac:dyDescent="0.2">
      <c r="A13" s="6"/>
      <c r="B13" s="6"/>
    </row>
    <row r="14" spans="1:2" x14ac:dyDescent="0.2">
      <c r="A14" s="6"/>
      <c r="B14" s="6"/>
    </row>
    <row r="15" spans="1:2" x14ac:dyDescent="0.2">
      <c r="A15" s="6"/>
      <c r="B15" s="6"/>
    </row>
    <row r="16" spans="1:2" x14ac:dyDescent="0.2">
      <c r="A16" s="6"/>
      <c r="B16" s="6"/>
    </row>
    <row r="17" spans="1:2" x14ac:dyDescent="0.2">
      <c r="A17" s="6"/>
      <c r="B17" s="6"/>
    </row>
    <row r="18" spans="1:2" x14ac:dyDescent="0.2">
      <c r="A18" s="6"/>
      <c r="B18" s="6"/>
    </row>
    <row r="19" spans="1:2" x14ac:dyDescent="0.2">
      <c r="A19" s="6"/>
      <c r="B19" s="6"/>
    </row>
    <row r="20" spans="1:2" x14ac:dyDescent="0.2">
      <c r="A20" s="6"/>
      <c r="B20" s="6"/>
    </row>
    <row r="21" spans="1:2" x14ac:dyDescent="0.2">
      <c r="A21" s="6"/>
      <c r="B21" s="6"/>
    </row>
    <row r="22" spans="1:2" x14ac:dyDescent="0.2">
      <c r="A22" s="6"/>
      <c r="B22" s="6"/>
    </row>
    <row r="23" spans="1:2" x14ac:dyDescent="0.2">
      <c r="A23" s="6"/>
      <c r="B23" s="6"/>
    </row>
    <row r="24" spans="1:2" x14ac:dyDescent="0.2">
      <c r="A24" s="67" t="s">
        <v>38</v>
      </c>
      <c r="B24" s="67"/>
    </row>
    <row r="25" spans="1:2" x14ac:dyDescent="0.2">
      <c r="A25" s="68" t="s">
        <v>178</v>
      </c>
      <c r="B25" s="68"/>
    </row>
    <row r="26" spans="1:2" x14ac:dyDescent="0.2">
      <c r="A26" s="6"/>
      <c r="B26" s="6"/>
    </row>
    <row r="27" spans="1:2" x14ac:dyDescent="0.2">
      <c r="A27" s="6"/>
      <c r="B27" s="6"/>
    </row>
    <row r="28" spans="1:2" x14ac:dyDescent="0.2">
      <c r="A28" s="6"/>
      <c r="B28" s="6"/>
    </row>
    <row r="29" spans="1:2" x14ac:dyDescent="0.2">
      <c r="A29" s="6"/>
      <c r="B29" s="6"/>
    </row>
    <row r="30" spans="1:2" x14ac:dyDescent="0.2">
      <c r="A30" s="6"/>
      <c r="B30" s="6"/>
    </row>
    <row r="31" spans="1:2" x14ac:dyDescent="0.2">
      <c r="A31" s="6"/>
      <c r="B31" s="6"/>
    </row>
    <row r="32" spans="1:2" x14ac:dyDescent="0.2">
      <c r="A32" s="6"/>
      <c r="B32" s="6"/>
    </row>
    <row r="33" spans="1:2" x14ac:dyDescent="0.2">
      <c r="A33" s="69" t="s">
        <v>179</v>
      </c>
      <c r="B33" s="70"/>
    </row>
    <row r="34" spans="1:2" x14ac:dyDescent="0.2">
      <c r="A34" s="70"/>
      <c r="B34" s="70"/>
    </row>
    <row r="35" spans="1:2" x14ac:dyDescent="0.2">
      <c r="A35" s="70"/>
      <c r="B35" s="70"/>
    </row>
    <row r="36" spans="1:2" x14ac:dyDescent="0.2">
      <c r="A36" s="70"/>
      <c r="B36" s="70"/>
    </row>
    <row r="37" spans="1:2" x14ac:dyDescent="0.2">
      <c r="A37" s="70"/>
      <c r="B37" s="70"/>
    </row>
    <row r="38" spans="1:2" x14ac:dyDescent="0.2">
      <c r="A38" s="70"/>
      <c r="B38" s="70"/>
    </row>
    <row r="39" spans="1:2" x14ac:dyDescent="0.2">
      <c r="A39" s="70"/>
      <c r="B39" s="70"/>
    </row>
  </sheetData>
  <mergeCells count="3">
    <mergeCell ref="A24:B24"/>
    <mergeCell ref="A25:B25"/>
    <mergeCell ref="A33:B3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9"/>
  <sheetViews>
    <sheetView topLeftCell="A6" zoomScale="125" workbookViewId="0">
      <selection activeCell="B17" sqref="B17"/>
    </sheetView>
  </sheetViews>
  <sheetFormatPr baseColWidth="10" defaultColWidth="11.5" defaultRowHeight="15" x14ac:dyDescent="0.2"/>
  <cols>
    <col min="1" max="1" width="45" customWidth="1"/>
    <col min="2" max="2" width="50.5" customWidth="1"/>
  </cols>
  <sheetData>
    <row r="1" spans="1:2" x14ac:dyDescent="0.2">
      <c r="A1" s="71" t="s">
        <v>39</v>
      </c>
      <c r="B1" s="71"/>
    </row>
    <row r="2" spans="1:2" x14ac:dyDescent="0.2">
      <c r="A2" s="1" t="s">
        <v>0</v>
      </c>
      <c r="B2" s="10">
        <v>25</v>
      </c>
    </row>
    <row r="3" spans="1:2" ht="31.25" customHeight="1" x14ac:dyDescent="0.2">
      <c r="A3" s="1" t="s">
        <v>40</v>
      </c>
      <c r="B3" s="2" t="s">
        <v>1</v>
      </c>
    </row>
    <row r="4" spans="1:2" x14ac:dyDescent="0.2">
      <c r="A4" s="1" t="s">
        <v>41</v>
      </c>
      <c r="B4" s="1" t="s">
        <v>57</v>
      </c>
    </row>
    <row r="5" spans="1:2" x14ac:dyDescent="0.2">
      <c r="A5" s="1" t="s">
        <v>42</v>
      </c>
      <c r="B5" s="1" t="s">
        <v>2</v>
      </c>
    </row>
    <row r="6" spans="1:2" ht="20" customHeight="1" x14ac:dyDescent="0.2">
      <c r="A6" s="1" t="s">
        <v>43</v>
      </c>
      <c r="B6" s="3" t="s">
        <v>58</v>
      </c>
    </row>
    <row r="7" spans="1:2" ht="16" x14ac:dyDescent="0.2">
      <c r="A7" s="1" t="s">
        <v>44</v>
      </c>
      <c r="B7" s="3" t="s">
        <v>59</v>
      </c>
    </row>
    <row r="8" spans="1:2" x14ac:dyDescent="0.2">
      <c r="A8" s="1" t="s">
        <v>45</v>
      </c>
      <c r="B8" s="1" t="s">
        <v>60</v>
      </c>
    </row>
    <row r="9" spans="1:2" x14ac:dyDescent="0.2">
      <c r="A9" s="1" t="s">
        <v>46</v>
      </c>
      <c r="B9" s="1" t="s">
        <v>47</v>
      </c>
    </row>
    <row r="10" spans="1:2" x14ac:dyDescent="0.2">
      <c r="A10" s="1" t="s">
        <v>48</v>
      </c>
      <c r="B10" s="1" t="s">
        <v>5</v>
      </c>
    </row>
    <row r="11" spans="1:2" x14ac:dyDescent="0.2">
      <c r="A11" s="72" t="s">
        <v>49</v>
      </c>
      <c r="B11" s="1" t="s">
        <v>3</v>
      </c>
    </row>
    <row r="12" spans="1:2" x14ac:dyDescent="0.2">
      <c r="A12" s="72"/>
      <c r="B12" s="1" t="s">
        <v>4</v>
      </c>
    </row>
    <row r="13" spans="1:2" x14ac:dyDescent="0.2">
      <c r="A13" s="72"/>
      <c r="B13" s="1" t="s">
        <v>6</v>
      </c>
    </row>
    <row r="14" spans="1:2" x14ac:dyDescent="0.2">
      <c r="A14" s="73" t="s">
        <v>50</v>
      </c>
      <c r="B14" s="1" t="s">
        <v>7</v>
      </c>
    </row>
    <row r="15" spans="1:2" x14ac:dyDescent="0.2">
      <c r="A15" s="73"/>
      <c r="B15" s="1" t="s">
        <v>8</v>
      </c>
    </row>
    <row r="16" spans="1:2" x14ac:dyDescent="0.2">
      <c r="A16" s="73"/>
      <c r="B16" s="1" t="s">
        <v>9</v>
      </c>
    </row>
    <row r="17" spans="1:2" x14ac:dyDescent="0.2">
      <c r="A17" s="73"/>
      <c r="B17" s="1" t="s">
        <v>10</v>
      </c>
    </row>
    <row r="18" spans="1:2" x14ac:dyDescent="0.2">
      <c r="A18" s="73"/>
      <c r="B18" s="1" t="s">
        <v>11</v>
      </c>
    </row>
    <row r="19" spans="1:2" x14ac:dyDescent="0.2">
      <c r="A19" s="72" t="s">
        <v>51</v>
      </c>
      <c r="B19" s="1" t="s">
        <v>56</v>
      </c>
    </row>
    <row r="20" spans="1:2" x14ac:dyDescent="0.2">
      <c r="A20" s="72"/>
      <c r="B20" s="1" t="s">
        <v>12</v>
      </c>
    </row>
    <row r="21" spans="1:2" x14ac:dyDescent="0.2">
      <c r="A21" s="72"/>
      <c r="B21" s="4" t="s">
        <v>13</v>
      </c>
    </row>
    <row r="22" spans="1:2" x14ac:dyDescent="0.2">
      <c r="A22" s="1" t="s">
        <v>52</v>
      </c>
      <c r="B22" s="4" t="s">
        <v>14</v>
      </c>
    </row>
    <row r="23" spans="1:2" x14ac:dyDescent="0.2">
      <c r="A23" s="1" t="s">
        <v>53</v>
      </c>
      <c r="B23" s="1" t="s">
        <v>61</v>
      </c>
    </row>
    <row r="24" spans="1:2" x14ac:dyDescent="0.2">
      <c r="A24" s="1" t="s">
        <v>21</v>
      </c>
      <c r="B24" s="1" t="s">
        <v>22</v>
      </c>
    </row>
    <row r="25" spans="1:2" x14ac:dyDescent="0.2">
      <c r="A25" s="1" t="s">
        <v>23</v>
      </c>
      <c r="B25" s="1" t="s">
        <v>24</v>
      </c>
    </row>
    <row r="26" spans="1:2" ht="31.25" customHeight="1" x14ac:dyDescent="0.2">
      <c r="A26" s="1" t="s">
        <v>15</v>
      </c>
      <c r="B26" s="2" t="s">
        <v>54</v>
      </c>
    </row>
    <row r="27" spans="1:2" x14ac:dyDescent="0.2">
      <c r="A27" s="1" t="s">
        <v>16</v>
      </c>
      <c r="B27" s="1" t="s">
        <v>18</v>
      </c>
    </row>
    <row r="28" spans="1:2" x14ac:dyDescent="0.2">
      <c r="A28" s="1" t="s">
        <v>17</v>
      </c>
      <c r="B28" s="1" t="s">
        <v>55</v>
      </c>
    </row>
    <row r="29" spans="1:2" x14ac:dyDescent="0.2">
      <c r="A29" s="1" t="s">
        <v>19</v>
      </c>
      <c r="B29" s="1" t="s">
        <v>20</v>
      </c>
    </row>
  </sheetData>
  <mergeCells count="4">
    <mergeCell ref="A1:B1"/>
    <mergeCell ref="A19:A21"/>
    <mergeCell ref="A14:A18"/>
    <mergeCell ref="A11:A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3"/>
  <sheetViews>
    <sheetView topLeftCell="C19" zoomScale="150" zoomScaleNormal="110" workbookViewId="0">
      <selection activeCell="B33" sqref="B33:C33"/>
    </sheetView>
  </sheetViews>
  <sheetFormatPr baseColWidth="10" defaultColWidth="12.33203125" defaultRowHeight="16" x14ac:dyDescent="0.2"/>
  <cols>
    <col min="1" max="1" width="17.6640625" style="13" customWidth="1"/>
    <col min="2" max="4" width="12.1640625" style="13" customWidth="1"/>
    <col min="5" max="5" width="15.1640625" style="13" customWidth="1"/>
    <col min="6" max="6" width="13.5" style="13" customWidth="1"/>
    <col min="7" max="7" width="12.1640625" style="13" customWidth="1"/>
    <col min="8" max="11" width="12.33203125" style="13"/>
    <col min="12" max="12" width="13" style="13" bestFit="1" customWidth="1"/>
    <col min="13" max="13" width="12.6640625" style="13" bestFit="1" customWidth="1"/>
    <col min="14" max="16384" width="12.33203125" style="13"/>
  </cols>
  <sheetData>
    <row r="1" spans="1:16" ht="17" thickBot="1" x14ac:dyDescent="0.25">
      <c r="E1" s="13" t="s">
        <v>62</v>
      </c>
      <c r="F1" s="13">
        <v>63.25</v>
      </c>
      <c r="G1" s="13" t="s">
        <v>63</v>
      </c>
    </row>
    <row r="2" spans="1:16" ht="17" thickBot="1" x14ac:dyDescent="0.25">
      <c r="A2" s="74" t="s">
        <v>64</v>
      </c>
      <c r="B2" s="75"/>
      <c r="C2" s="75"/>
      <c r="D2" s="75"/>
      <c r="E2" s="75"/>
      <c r="F2" s="76"/>
      <c r="J2" s="74" t="s">
        <v>65</v>
      </c>
      <c r="K2" s="75"/>
      <c r="L2" s="75"/>
      <c r="M2" s="75"/>
      <c r="N2" s="75"/>
      <c r="O2" s="76"/>
    </row>
    <row r="3" spans="1:16" ht="17" thickBot="1" x14ac:dyDescent="0.25">
      <c r="A3" s="14" t="s">
        <v>66</v>
      </c>
      <c r="B3" s="15" t="s">
        <v>67</v>
      </c>
      <c r="C3" s="77" t="s">
        <v>68</v>
      </c>
      <c r="D3" s="78"/>
      <c r="E3" s="78"/>
      <c r="F3" s="79"/>
      <c r="J3" s="14" t="s">
        <v>66</v>
      </c>
      <c r="K3" s="15" t="s">
        <v>67</v>
      </c>
      <c r="L3" s="77" t="s">
        <v>69</v>
      </c>
      <c r="M3" s="78"/>
      <c r="N3" s="78"/>
      <c r="O3" s="79"/>
    </row>
    <row r="4" spans="1:16" ht="17" thickBot="1" x14ac:dyDescent="0.25">
      <c r="A4" s="14" t="s">
        <v>70</v>
      </c>
      <c r="B4" s="15" t="s">
        <v>71</v>
      </c>
      <c r="C4" s="80"/>
      <c r="D4" s="81"/>
      <c r="E4" s="81"/>
      <c r="F4" s="82"/>
      <c r="J4" s="14" t="s">
        <v>70</v>
      </c>
      <c r="K4" s="15" t="s">
        <v>72</v>
      </c>
      <c r="L4" s="80"/>
      <c r="M4" s="81"/>
      <c r="N4" s="81"/>
      <c r="O4" s="82"/>
    </row>
    <row r="5" spans="1:16" ht="36" customHeight="1" thickBot="1" x14ac:dyDescent="0.25">
      <c r="A5" s="14" t="s">
        <v>73</v>
      </c>
      <c r="B5" s="15" t="s">
        <v>74</v>
      </c>
      <c r="C5" s="80"/>
      <c r="D5" s="81"/>
      <c r="E5" s="81"/>
      <c r="F5" s="82"/>
      <c r="J5" s="14" t="s">
        <v>73</v>
      </c>
      <c r="K5" s="15" t="s">
        <v>75</v>
      </c>
      <c r="L5" s="80"/>
      <c r="M5" s="81"/>
      <c r="N5" s="81"/>
      <c r="O5" s="82"/>
    </row>
    <row r="6" spans="1:16" ht="33" thickBot="1" x14ac:dyDescent="0.25">
      <c r="A6" s="14" t="s">
        <v>76</v>
      </c>
      <c r="B6" s="16">
        <v>25</v>
      </c>
      <c r="C6" s="80"/>
      <c r="D6" s="81"/>
      <c r="E6" s="81"/>
      <c r="F6" s="82"/>
      <c r="J6" s="14" t="s">
        <v>76</v>
      </c>
      <c r="K6" s="17">
        <v>25</v>
      </c>
      <c r="L6" s="80"/>
      <c r="M6" s="81"/>
      <c r="N6" s="81"/>
      <c r="O6" s="82"/>
    </row>
    <row r="7" spans="1:16" ht="33" thickBot="1" x14ac:dyDescent="0.25">
      <c r="A7" s="18" t="s">
        <v>77</v>
      </c>
      <c r="B7" s="19" t="s">
        <v>78</v>
      </c>
      <c r="C7" s="80"/>
      <c r="D7" s="81"/>
      <c r="E7" s="81"/>
      <c r="F7" s="82"/>
      <c r="J7" s="18" t="s">
        <v>77</v>
      </c>
      <c r="K7" s="19" t="s">
        <v>116</v>
      </c>
      <c r="L7" s="80"/>
      <c r="M7" s="81"/>
      <c r="N7" s="81"/>
      <c r="O7" s="82"/>
    </row>
    <row r="8" spans="1:16" x14ac:dyDescent="0.2">
      <c r="A8" s="83"/>
      <c r="B8" s="85" t="s">
        <v>79</v>
      </c>
      <c r="C8" s="85" t="s">
        <v>80</v>
      </c>
      <c r="D8" s="85" t="s">
        <v>81</v>
      </c>
      <c r="E8" s="85" t="s">
        <v>82</v>
      </c>
      <c r="F8" s="20" t="s">
        <v>83</v>
      </c>
      <c r="J8" s="83"/>
      <c r="K8" s="85" t="s">
        <v>79</v>
      </c>
      <c r="L8" s="85" t="s">
        <v>80</v>
      </c>
      <c r="M8" s="85" t="s">
        <v>81</v>
      </c>
      <c r="N8" s="85" t="s">
        <v>82</v>
      </c>
      <c r="O8" s="20" t="s">
        <v>83</v>
      </c>
    </row>
    <row r="9" spans="1:16" ht="33" thickBot="1" x14ac:dyDescent="0.25">
      <c r="A9" s="84"/>
      <c r="B9" s="86"/>
      <c r="C9" s="86"/>
      <c r="D9" s="86"/>
      <c r="E9" s="86"/>
      <c r="F9" s="21" t="s">
        <v>122</v>
      </c>
      <c r="J9" s="84"/>
      <c r="K9" s="86"/>
      <c r="L9" s="86"/>
      <c r="M9" s="86"/>
      <c r="N9" s="86"/>
      <c r="O9" s="21" t="s">
        <v>84</v>
      </c>
    </row>
    <row r="10" spans="1:16" ht="16.5" customHeight="1" thickBot="1" x14ac:dyDescent="0.25">
      <c r="A10" s="74" t="s">
        <v>85</v>
      </c>
      <c r="B10" s="75"/>
      <c r="C10" s="75"/>
      <c r="D10" s="75"/>
      <c r="E10" s="75"/>
      <c r="F10" s="76"/>
      <c r="J10" s="74" t="s">
        <v>85</v>
      </c>
      <c r="K10" s="75"/>
      <c r="L10" s="75"/>
      <c r="M10" s="75"/>
      <c r="N10" s="75"/>
      <c r="O10" s="76"/>
    </row>
    <row r="11" spans="1:16" ht="17" thickBot="1" x14ac:dyDescent="0.25">
      <c r="A11" s="14" t="s">
        <v>86</v>
      </c>
      <c r="B11" s="15" t="s">
        <v>87</v>
      </c>
      <c r="C11" s="22">
        <v>85.34</v>
      </c>
      <c r="D11" s="22">
        <v>540</v>
      </c>
      <c r="E11" s="22">
        <f>C11*D11</f>
        <v>46083.6</v>
      </c>
      <c r="F11" s="22">
        <f>E11/$F$1</f>
        <v>728.59446640316207</v>
      </c>
      <c r="J11" s="14" t="s">
        <v>86</v>
      </c>
      <c r="K11" s="15" t="s">
        <v>87</v>
      </c>
      <c r="L11" s="22">
        <v>85.34</v>
      </c>
      <c r="M11" s="22">
        <v>0</v>
      </c>
      <c r="N11" s="22">
        <f>L11*M11</f>
        <v>0</v>
      </c>
      <c r="O11" s="22">
        <f>N11/$F$1</f>
        <v>0</v>
      </c>
    </row>
    <row r="12" spans="1:16" ht="17" thickBot="1" x14ac:dyDescent="0.25">
      <c r="A12" s="14" t="s">
        <v>88</v>
      </c>
      <c r="B12" s="15" t="s">
        <v>87</v>
      </c>
      <c r="C12" s="22">
        <v>300</v>
      </c>
      <c r="D12" s="22">
        <v>3</v>
      </c>
      <c r="E12" s="22">
        <f>C12*D12</f>
        <v>900</v>
      </c>
      <c r="F12" s="22">
        <f>E12/$F$1</f>
        <v>14.229249011857707</v>
      </c>
      <c r="J12" s="14" t="s">
        <v>88</v>
      </c>
      <c r="K12" s="15" t="s">
        <v>87</v>
      </c>
      <c r="L12" s="22">
        <v>300</v>
      </c>
      <c r="M12" s="22">
        <v>0</v>
      </c>
      <c r="N12" s="22">
        <f>L12*M12</f>
        <v>0</v>
      </c>
      <c r="O12" s="22">
        <f>N12/$F$1</f>
        <v>0</v>
      </c>
    </row>
    <row r="13" spans="1:16" ht="17" thickBot="1" x14ac:dyDescent="0.25">
      <c r="A13" s="14" t="s">
        <v>89</v>
      </c>
      <c r="B13" s="15" t="s">
        <v>90</v>
      </c>
      <c r="C13" s="22">
        <v>2000</v>
      </c>
      <c r="D13" s="22">
        <v>0.25</v>
      </c>
      <c r="E13" s="22">
        <f>C13*D13</f>
        <v>500</v>
      </c>
      <c r="F13" s="22">
        <f>E13/$F$1</f>
        <v>7.9051383399209483</v>
      </c>
      <c r="J13" s="14" t="s">
        <v>89</v>
      </c>
      <c r="K13" s="15" t="s">
        <v>90</v>
      </c>
      <c r="L13" s="22">
        <v>2000</v>
      </c>
      <c r="M13" s="22">
        <f>0.25*2*2</f>
        <v>1</v>
      </c>
      <c r="N13" s="22">
        <f>L13*M13</f>
        <v>2000</v>
      </c>
      <c r="O13" s="22">
        <f>N13/$F$1</f>
        <v>31.620553359683793</v>
      </c>
    </row>
    <row r="14" spans="1:16" ht="17" thickBot="1" x14ac:dyDescent="0.25">
      <c r="A14" s="23"/>
      <c r="B14" s="24"/>
      <c r="C14" s="24"/>
      <c r="D14" s="25" t="s">
        <v>91</v>
      </c>
      <c r="E14" s="26">
        <f>SUM(E11:E13)</f>
        <v>47483.6</v>
      </c>
      <c r="F14" s="26">
        <f>SUM(F11:F13)</f>
        <v>750.72885375494081</v>
      </c>
      <c r="J14" s="23"/>
      <c r="K14" s="24"/>
      <c r="L14" s="24"/>
      <c r="M14" s="25" t="s">
        <v>91</v>
      </c>
      <c r="N14" s="26">
        <f>SUM(N11:N13)</f>
        <v>2000</v>
      </c>
      <c r="O14" s="26">
        <f>SUM(O11:O13)</f>
        <v>31.620553359683793</v>
      </c>
    </row>
    <row r="15" spans="1:16" ht="16.5" customHeight="1" thickBot="1" x14ac:dyDescent="0.25">
      <c r="A15" s="74" t="s">
        <v>92</v>
      </c>
      <c r="B15" s="75"/>
      <c r="C15" s="75"/>
      <c r="D15" s="75"/>
      <c r="E15" s="75"/>
      <c r="F15" s="76"/>
      <c r="J15" s="74" t="s">
        <v>92</v>
      </c>
      <c r="K15" s="75"/>
      <c r="L15" s="75"/>
      <c r="M15" s="75"/>
      <c r="N15" s="75"/>
      <c r="O15" s="76"/>
    </row>
    <row r="16" spans="1:16" ht="17" thickBot="1" x14ac:dyDescent="0.25">
      <c r="A16" s="14" t="s">
        <v>93</v>
      </c>
      <c r="B16" s="15" t="s">
        <v>94</v>
      </c>
      <c r="C16" s="22">
        <v>75</v>
      </c>
      <c r="D16" s="22">
        <v>4000</v>
      </c>
      <c r="E16" s="22">
        <f>C16*D16</f>
        <v>300000</v>
      </c>
      <c r="F16" s="22">
        <f t="shared" ref="F16:F22" si="0">E16/$F$1</f>
        <v>4743.083003952569</v>
      </c>
      <c r="J16" s="14" t="s">
        <v>93</v>
      </c>
      <c r="K16" s="15" t="s">
        <v>94</v>
      </c>
      <c r="L16" s="22">
        <v>75</v>
      </c>
      <c r="M16" s="22">
        <f>4000*2*2</f>
        <v>16000</v>
      </c>
      <c r="N16" s="22">
        <f>L16*M16</f>
        <v>1200000</v>
      </c>
      <c r="O16" s="22">
        <f t="shared" ref="O16:O22" si="1">N16/$F$1</f>
        <v>18972.332015810276</v>
      </c>
      <c r="P16" s="13">
        <f>N16/5</f>
        <v>240000</v>
      </c>
    </row>
    <row r="17" spans="1:17" ht="49" thickBot="1" x14ac:dyDescent="0.25">
      <c r="A17" s="14" t="s">
        <v>95</v>
      </c>
      <c r="B17" s="15" t="s">
        <v>25</v>
      </c>
      <c r="C17" s="22">
        <v>8000</v>
      </c>
      <c r="D17" s="22">
        <v>1</v>
      </c>
      <c r="E17" s="22">
        <f t="shared" ref="E17:E22" si="2">C17*D17</f>
        <v>8000</v>
      </c>
      <c r="F17" s="22">
        <f t="shared" si="0"/>
        <v>126.48221343873517</v>
      </c>
      <c r="J17" s="14" t="s">
        <v>95</v>
      </c>
      <c r="K17" s="15" t="s">
        <v>25</v>
      </c>
      <c r="L17" s="22">
        <v>8000</v>
      </c>
      <c r="M17" s="22">
        <f>1*2*2</f>
        <v>4</v>
      </c>
      <c r="N17" s="22">
        <f t="shared" ref="N17:N22" si="3">L17*M17</f>
        <v>32000</v>
      </c>
      <c r="O17" s="22">
        <f t="shared" si="1"/>
        <v>505.92885375494069</v>
      </c>
    </row>
    <row r="18" spans="1:17" ht="17" thickBot="1" x14ac:dyDescent="0.25">
      <c r="A18" s="14" t="s">
        <v>96</v>
      </c>
      <c r="B18" s="15" t="s">
        <v>97</v>
      </c>
      <c r="C18" s="22">
        <v>4000</v>
      </c>
      <c r="D18" s="22">
        <v>10</v>
      </c>
      <c r="E18" s="22">
        <f t="shared" si="2"/>
        <v>40000</v>
      </c>
      <c r="F18" s="22">
        <f t="shared" si="0"/>
        <v>632.41106719367588</v>
      </c>
      <c r="J18" s="14" t="s">
        <v>96</v>
      </c>
      <c r="K18" s="15" t="s">
        <v>97</v>
      </c>
      <c r="L18" s="22">
        <v>4000</v>
      </c>
      <c r="M18" s="22">
        <f>10*2*2</f>
        <v>40</v>
      </c>
      <c r="N18" s="22">
        <f t="shared" si="3"/>
        <v>160000</v>
      </c>
      <c r="O18" s="22">
        <f t="shared" si="1"/>
        <v>2529.6442687747035</v>
      </c>
    </row>
    <row r="19" spans="1:17" ht="17" thickBot="1" x14ac:dyDescent="0.25">
      <c r="A19" s="14" t="s">
        <v>98</v>
      </c>
      <c r="B19" s="15" t="s">
        <v>25</v>
      </c>
      <c r="C19" s="22">
        <v>110000</v>
      </c>
      <c r="D19" s="22">
        <v>2</v>
      </c>
      <c r="E19" s="22">
        <f t="shared" si="2"/>
        <v>220000</v>
      </c>
      <c r="F19" s="22">
        <f t="shared" si="0"/>
        <v>3478.2608695652175</v>
      </c>
      <c r="J19" s="14" t="s">
        <v>98</v>
      </c>
      <c r="K19" s="15" t="s">
        <v>25</v>
      </c>
      <c r="L19" s="22">
        <v>110000</v>
      </c>
      <c r="M19" s="22">
        <f>2*2*2</f>
        <v>8</v>
      </c>
      <c r="N19" s="22">
        <f t="shared" si="3"/>
        <v>880000</v>
      </c>
      <c r="O19" s="22">
        <f t="shared" si="1"/>
        <v>13913.04347826087</v>
      </c>
    </row>
    <row r="20" spans="1:17" ht="33" thickBot="1" x14ac:dyDescent="0.25">
      <c r="A20" s="14" t="s">
        <v>99</v>
      </c>
      <c r="B20" s="15" t="s">
        <v>100</v>
      </c>
      <c r="C20" s="22">
        <v>250</v>
      </c>
      <c r="D20" s="22">
        <v>80</v>
      </c>
      <c r="E20" s="22">
        <f t="shared" si="2"/>
        <v>20000</v>
      </c>
      <c r="F20" s="22">
        <f t="shared" si="0"/>
        <v>316.20553359683794</v>
      </c>
      <c r="J20" s="14" t="s">
        <v>99</v>
      </c>
      <c r="K20" s="15" t="s">
        <v>100</v>
      </c>
      <c r="L20" s="22">
        <v>250</v>
      </c>
      <c r="M20" s="22">
        <f>80*2*2</f>
        <v>320</v>
      </c>
      <c r="N20" s="22">
        <f t="shared" si="3"/>
        <v>80000</v>
      </c>
      <c r="O20" s="22">
        <f t="shared" si="1"/>
        <v>1264.8221343873518</v>
      </c>
    </row>
    <row r="21" spans="1:17" ht="33" thickBot="1" x14ac:dyDescent="0.25">
      <c r="A21" s="14" t="s">
        <v>101</v>
      </c>
      <c r="B21" s="15" t="s">
        <v>100</v>
      </c>
      <c r="C21" s="22">
        <v>250</v>
      </c>
      <c r="D21" s="22">
        <v>160</v>
      </c>
      <c r="E21" s="22">
        <f t="shared" si="2"/>
        <v>40000</v>
      </c>
      <c r="F21" s="22">
        <f t="shared" si="0"/>
        <v>632.41106719367588</v>
      </c>
      <c r="J21" s="14" t="s">
        <v>101</v>
      </c>
      <c r="K21" s="15" t="s">
        <v>100</v>
      </c>
      <c r="L21" s="22">
        <v>250</v>
      </c>
      <c r="M21" s="22">
        <f>160*2*2</f>
        <v>640</v>
      </c>
      <c r="N21" s="22">
        <f t="shared" si="3"/>
        <v>160000</v>
      </c>
      <c r="O21" s="22">
        <f t="shared" si="1"/>
        <v>2529.6442687747035</v>
      </c>
    </row>
    <row r="22" spans="1:17" ht="33" thickBot="1" x14ac:dyDescent="0.25">
      <c r="A22" s="14" t="s">
        <v>102</v>
      </c>
      <c r="B22" s="15" t="s">
        <v>103</v>
      </c>
      <c r="C22" s="22">
        <v>12000</v>
      </c>
      <c r="D22" s="22">
        <v>10</v>
      </c>
      <c r="E22" s="22">
        <f t="shared" si="2"/>
        <v>120000</v>
      </c>
      <c r="F22" s="22">
        <f t="shared" si="0"/>
        <v>1897.2332015810277</v>
      </c>
      <c r="J22" s="14" t="s">
        <v>102</v>
      </c>
      <c r="K22" s="15" t="s">
        <v>103</v>
      </c>
      <c r="L22" s="22">
        <v>12000</v>
      </c>
      <c r="M22" s="22">
        <v>40</v>
      </c>
      <c r="N22" s="22">
        <f t="shared" si="3"/>
        <v>480000</v>
      </c>
      <c r="O22" s="22">
        <f t="shared" si="1"/>
        <v>7588.932806324111</v>
      </c>
    </row>
    <row r="23" spans="1:17" ht="17" thickBot="1" x14ac:dyDescent="0.25">
      <c r="A23" s="27"/>
      <c r="B23" s="28"/>
      <c r="C23" s="29"/>
      <c r="D23" s="30" t="s">
        <v>91</v>
      </c>
      <c r="E23" s="30">
        <f>SUM(E16:E22)</f>
        <v>748000</v>
      </c>
      <c r="F23" s="30">
        <f>SUM(F16:F22)</f>
        <v>11826.08695652174</v>
      </c>
      <c r="J23" s="27"/>
      <c r="K23" s="28"/>
      <c r="L23" s="28"/>
      <c r="M23" s="31" t="s">
        <v>91</v>
      </c>
      <c r="N23" s="30">
        <f>SUM(N16:N22)</f>
        <v>2992000</v>
      </c>
      <c r="O23" s="30">
        <f>SUM(O16:O22)</f>
        <v>47304.34782608696</v>
      </c>
    </row>
    <row r="24" spans="1:17" ht="16.5" customHeight="1" thickBot="1" x14ac:dyDescent="0.25">
      <c r="A24" s="87" t="s">
        <v>104</v>
      </c>
      <c r="B24" s="88"/>
      <c r="C24" s="88"/>
      <c r="D24" s="89"/>
      <c r="E24" s="32">
        <f>E23+E14</f>
        <v>795483.6</v>
      </c>
      <c r="F24" s="33">
        <f>F23+F14</f>
        <v>12576.815810276681</v>
      </c>
      <c r="J24" s="87" t="s">
        <v>104</v>
      </c>
      <c r="K24" s="88"/>
      <c r="L24" s="88"/>
      <c r="M24" s="89"/>
      <c r="N24" s="33">
        <f>N23+N14</f>
        <v>2994000</v>
      </c>
      <c r="O24" s="33">
        <f>O23+O14</f>
        <v>47335.96837944664</v>
      </c>
    </row>
    <row r="25" spans="1:17" ht="16.5" customHeight="1" thickBot="1" x14ac:dyDescent="0.25">
      <c r="A25" s="74" t="s">
        <v>105</v>
      </c>
      <c r="B25" s="75"/>
      <c r="C25" s="75"/>
      <c r="D25" s="75"/>
      <c r="E25" s="75"/>
      <c r="F25" s="76"/>
      <c r="J25" s="74" t="s">
        <v>105</v>
      </c>
      <c r="K25" s="75"/>
      <c r="L25" s="75"/>
      <c r="M25" s="75"/>
      <c r="N25" s="75"/>
      <c r="O25" s="76"/>
    </row>
    <row r="26" spans="1:17" ht="33" thickBot="1" x14ac:dyDescent="0.25">
      <c r="A26" s="14" t="s">
        <v>115</v>
      </c>
      <c r="B26" s="15" t="s">
        <v>94</v>
      </c>
      <c r="C26" s="22">
        <v>45</v>
      </c>
      <c r="D26" s="22">
        <f>16000*2.5</f>
        <v>40000</v>
      </c>
      <c r="E26" s="34">
        <f>C26*D26</f>
        <v>1800000</v>
      </c>
      <c r="F26" s="22">
        <f>E26/$F$1</f>
        <v>28458.498023715416</v>
      </c>
      <c r="J26" s="14" t="s">
        <v>115</v>
      </c>
      <c r="K26" s="15" t="s">
        <v>94</v>
      </c>
      <c r="L26" s="22">
        <v>45</v>
      </c>
      <c r="M26" s="22">
        <f>16000*5*2</f>
        <v>160000</v>
      </c>
      <c r="N26" s="34">
        <f>L26*M26</f>
        <v>7200000</v>
      </c>
      <c r="O26" s="22">
        <f>N26/$F$1</f>
        <v>113833.99209486166</v>
      </c>
      <c r="Q26" s="13">
        <f>80000/5</f>
        <v>16000</v>
      </c>
    </row>
    <row r="27" spans="1:17" ht="16.5" customHeight="1" thickBot="1" x14ac:dyDescent="0.25">
      <c r="A27" s="87" t="s">
        <v>106</v>
      </c>
      <c r="B27" s="88"/>
      <c r="C27" s="88"/>
      <c r="D27" s="89"/>
      <c r="E27" s="33">
        <f>E26-E24</f>
        <v>1004516.4</v>
      </c>
      <c r="F27" s="33">
        <f>F26-F24</f>
        <v>15881.682213438735</v>
      </c>
      <c r="J27" s="87" t="s">
        <v>106</v>
      </c>
      <c r="K27" s="88"/>
      <c r="L27" s="88"/>
      <c r="M27" s="89"/>
      <c r="N27" s="33">
        <f>N26-N24</f>
        <v>4206000</v>
      </c>
      <c r="O27" s="33">
        <f>O26-O24</f>
        <v>66498.023715415024</v>
      </c>
      <c r="Q27" s="35"/>
    </row>
    <row r="28" spans="1:17" ht="16.5" customHeight="1" thickBot="1" x14ac:dyDescent="0.25">
      <c r="A28" s="74" t="s">
        <v>107</v>
      </c>
      <c r="B28" s="75"/>
      <c r="C28" s="75"/>
      <c r="D28" s="75"/>
      <c r="E28" s="75"/>
      <c r="F28" s="76"/>
      <c r="J28" s="74" t="s">
        <v>107</v>
      </c>
      <c r="K28" s="75"/>
      <c r="L28" s="75"/>
      <c r="M28" s="75"/>
      <c r="N28" s="75"/>
      <c r="O28" s="76"/>
    </row>
    <row r="29" spans="1:17" ht="33" thickBot="1" x14ac:dyDescent="0.25">
      <c r="A29" s="14" t="s">
        <v>108</v>
      </c>
      <c r="B29" s="15" t="s">
        <v>109</v>
      </c>
      <c r="C29" s="22">
        <v>43000</v>
      </c>
      <c r="D29" s="22"/>
      <c r="E29" s="22">
        <f>C29/5</f>
        <v>8600</v>
      </c>
      <c r="F29" s="22">
        <f>E29/$F$1</f>
        <v>135.96837944664031</v>
      </c>
      <c r="J29" s="14" t="s">
        <v>108</v>
      </c>
      <c r="K29" s="15" t="s">
        <v>109</v>
      </c>
      <c r="L29" s="22">
        <f>('[3]Detailed BOQ'!E7)*2</f>
        <v>1168578.8</v>
      </c>
      <c r="M29" s="16"/>
      <c r="N29" s="22">
        <f>L29/10</f>
        <v>116857.88</v>
      </c>
      <c r="O29" s="22">
        <f>N29/$F$1</f>
        <v>1847.5554150197629</v>
      </c>
    </row>
    <row r="30" spans="1:17" ht="49" thickBot="1" x14ac:dyDescent="0.25">
      <c r="A30" s="14" t="s">
        <v>110</v>
      </c>
      <c r="B30" s="15" t="s">
        <v>109</v>
      </c>
      <c r="C30" s="22">
        <v>100000</v>
      </c>
      <c r="D30" s="22"/>
      <c r="E30" s="22">
        <v>5000</v>
      </c>
      <c r="F30" s="22">
        <f>E30/$F$1</f>
        <v>79.051383399209485</v>
      </c>
      <c r="J30" s="14" t="s">
        <v>110</v>
      </c>
      <c r="K30" s="15" t="s">
        <v>109</v>
      </c>
      <c r="L30" s="22">
        <f>('[3]Detailed BOQ'!F9+'[3]Detailed BOQ'!F53)</f>
        <v>837792.23529411771</v>
      </c>
      <c r="M30" s="16"/>
      <c r="N30" s="22">
        <f>L30/10</f>
        <v>83779.223529411771</v>
      </c>
      <c r="O30" s="22">
        <f>N30/$F$1</f>
        <v>1324.5727040223205</v>
      </c>
    </row>
    <row r="31" spans="1:17" ht="17" thickBot="1" x14ac:dyDescent="0.25">
      <c r="A31" s="87" t="s">
        <v>111</v>
      </c>
      <c r="B31" s="88"/>
      <c r="C31" s="88"/>
      <c r="D31" s="89" t="s">
        <v>111</v>
      </c>
      <c r="E31" s="36">
        <f>SUM(E29:E30)</f>
        <v>13600</v>
      </c>
      <c r="F31" s="37">
        <f>SUM(F29:F30)</f>
        <v>215.01976284584981</v>
      </c>
      <c r="J31" s="87" t="s">
        <v>111</v>
      </c>
      <c r="K31" s="88"/>
      <c r="L31" s="88"/>
      <c r="M31" s="89" t="s">
        <v>111</v>
      </c>
      <c r="N31" s="36">
        <f>SUM(N29:N30)</f>
        <v>200637.10352941178</v>
      </c>
      <c r="O31" s="37">
        <f>SUM(O29:O30)</f>
        <v>3172.1281190420832</v>
      </c>
    </row>
    <row r="32" spans="1:17" ht="16.5" customHeight="1" thickBot="1" x14ac:dyDescent="0.25">
      <c r="A32" s="87" t="s">
        <v>112</v>
      </c>
      <c r="B32" s="88"/>
      <c r="C32" s="88"/>
      <c r="D32" s="89"/>
      <c r="E32" s="33">
        <f>E27-E31</f>
        <v>990916.4</v>
      </c>
      <c r="F32" s="33">
        <f>F27-F31</f>
        <v>15666.662450592885</v>
      </c>
      <c r="J32" s="87" t="s">
        <v>112</v>
      </c>
      <c r="K32" s="88"/>
      <c r="L32" s="88"/>
      <c r="M32" s="89"/>
      <c r="N32" s="38">
        <f>N27-N31</f>
        <v>4005362.8964705882</v>
      </c>
      <c r="O32" s="38">
        <f>O27-O31</f>
        <v>63325.895596372939</v>
      </c>
    </row>
    <row r="33" spans="1:15" ht="33" thickBot="1" x14ac:dyDescent="0.25">
      <c r="A33" s="39" t="s">
        <v>113</v>
      </c>
      <c r="B33" s="91">
        <v>2.5</v>
      </c>
      <c r="C33" s="92"/>
      <c r="D33" s="28"/>
      <c r="E33" s="33">
        <f>E32/B33</f>
        <v>396366.56</v>
      </c>
      <c r="F33" s="33">
        <f>F32/B33</f>
        <v>6266.6649802371539</v>
      </c>
      <c r="J33" s="40" t="s">
        <v>114</v>
      </c>
      <c r="K33" s="93">
        <v>5</v>
      </c>
      <c r="L33" s="94"/>
      <c r="M33" s="41"/>
      <c r="N33" s="42">
        <f>N32/K33</f>
        <v>801072.57929411763</v>
      </c>
      <c r="O33" s="42">
        <f>O32/K33</f>
        <v>12665.179119274588</v>
      </c>
    </row>
    <row r="34" spans="1:15" x14ac:dyDescent="0.2">
      <c r="J34" s="43"/>
      <c r="K34" s="43"/>
      <c r="L34" s="43"/>
      <c r="M34" s="43"/>
      <c r="N34" s="43"/>
      <c r="O34" s="44"/>
    </row>
    <row r="35" spans="1:15" ht="32" x14ac:dyDescent="0.2">
      <c r="J35" s="53" t="s">
        <v>117</v>
      </c>
      <c r="K35" s="53">
        <v>220</v>
      </c>
      <c r="L35" s="54" t="s">
        <v>118</v>
      </c>
      <c r="M35" s="43"/>
      <c r="N35" s="43"/>
      <c r="O35" s="44"/>
    </row>
    <row r="36" spans="1:15" ht="64" x14ac:dyDescent="0.2">
      <c r="J36" s="53" t="s">
        <v>121</v>
      </c>
      <c r="K36" s="53">
        <f>90*2</f>
        <v>180</v>
      </c>
      <c r="L36" s="54"/>
      <c r="M36" s="43"/>
      <c r="N36" s="43"/>
      <c r="O36" s="44"/>
    </row>
    <row r="37" spans="1:15" ht="32" x14ac:dyDescent="0.2">
      <c r="J37" s="55" t="s">
        <v>119</v>
      </c>
      <c r="K37" s="56">
        <f>K35*K36</f>
        <v>39600</v>
      </c>
      <c r="L37" s="55" t="s">
        <v>176</v>
      </c>
      <c r="M37" s="52"/>
      <c r="N37" s="45"/>
      <c r="O37" s="46"/>
    </row>
    <row r="38" spans="1:15" x14ac:dyDescent="0.2">
      <c r="J38" s="55" t="s">
        <v>120</v>
      </c>
      <c r="K38" s="56">
        <v>3333371</v>
      </c>
      <c r="L38" s="55"/>
      <c r="M38" s="52"/>
      <c r="N38" s="47"/>
      <c r="O38" s="47"/>
    </row>
    <row r="39" spans="1:15" x14ac:dyDescent="0.2">
      <c r="J39" s="48"/>
      <c r="K39" s="90"/>
      <c r="L39" s="90"/>
      <c r="M39" s="49"/>
      <c r="N39" s="47"/>
      <c r="O39" s="47"/>
    </row>
    <row r="40" spans="1:15" x14ac:dyDescent="0.2">
      <c r="J40" s="90"/>
      <c r="K40" s="90"/>
      <c r="L40" s="49"/>
      <c r="M40" s="50"/>
      <c r="N40" s="50"/>
      <c r="O40" s="51"/>
    </row>
    <row r="41" spans="1:15" x14ac:dyDescent="0.2">
      <c r="J41" s="48"/>
      <c r="L41" s="57"/>
      <c r="M41" s="57"/>
    </row>
    <row r="43" spans="1:15" x14ac:dyDescent="0.2">
      <c r="J43" s="48"/>
      <c r="K43" s="57"/>
      <c r="L43" s="57"/>
      <c r="M43" s="57"/>
    </row>
    <row r="45" spans="1:15" x14ac:dyDescent="0.2">
      <c r="J45" s="48"/>
      <c r="K45" s="57"/>
      <c r="L45" s="57"/>
      <c r="M45" s="57"/>
    </row>
    <row r="47" spans="1:15" x14ac:dyDescent="0.2">
      <c r="J47" s="48"/>
      <c r="K47" s="57"/>
      <c r="L47" s="57"/>
      <c r="M47" s="57"/>
    </row>
    <row r="49" spans="11:14" x14ac:dyDescent="0.2">
      <c r="K49" s="57"/>
      <c r="L49" s="57"/>
      <c r="M49" s="57"/>
    </row>
    <row r="51" spans="11:14" x14ac:dyDescent="0.2">
      <c r="K51" s="57"/>
      <c r="L51" s="57"/>
      <c r="M51" s="57"/>
    </row>
    <row r="53" spans="11:14" x14ac:dyDescent="0.2">
      <c r="K53" s="57"/>
      <c r="L53" s="57"/>
      <c r="M53" s="57"/>
      <c r="N53" s="57"/>
    </row>
  </sheetData>
  <mergeCells count="34">
    <mergeCell ref="A31:D31"/>
    <mergeCell ref="J31:M31"/>
    <mergeCell ref="K39:L39"/>
    <mergeCell ref="J40:K40"/>
    <mergeCell ref="A32:D32"/>
    <mergeCell ref="J32:M32"/>
    <mergeCell ref="B33:C33"/>
    <mergeCell ref="K33:L33"/>
    <mergeCell ref="A25:F25"/>
    <mergeCell ref="J25:O25"/>
    <mergeCell ref="A27:D27"/>
    <mergeCell ref="J27:M27"/>
    <mergeCell ref="A28:F28"/>
    <mergeCell ref="J28:O28"/>
    <mergeCell ref="A10:F10"/>
    <mergeCell ref="J10:O10"/>
    <mergeCell ref="A15:F15"/>
    <mergeCell ref="J15:O15"/>
    <mergeCell ref="A24:D24"/>
    <mergeCell ref="J24:M24"/>
    <mergeCell ref="A2:F2"/>
    <mergeCell ref="J2:O2"/>
    <mergeCell ref="C3:F7"/>
    <mergeCell ref="L3:O7"/>
    <mergeCell ref="A8:A9"/>
    <mergeCell ref="B8:B9"/>
    <mergeCell ref="C8:C9"/>
    <mergeCell ref="D8:D9"/>
    <mergeCell ref="E8:E9"/>
    <mergeCell ref="J8:J9"/>
    <mergeCell ref="K8:K9"/>
    <mergeCell ref="L8:L9"/>
    <mergeCell ref="M8:M9"/>
    <mergeCell ref="N8:N9"/>
  </mergeCells>
  <pageMargins left="0.7" right="0.7" top="0.75" bottom="0.75" header="0.3" footer="0.3"/>
  <pageSetup paperSize="9"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8536B-F80F-3B4D-89F7-8308949A3D08}">
  <dimension ref="A1"/>
  <sheetViews>
    <sheetView workbookViewId="0">
      <selection activeCell="F17" sqref="F17"/>
    </sheetView>
  </sheetViews>
  <sheetFormatPr baseColWidth="10" defaultRowHeight="15" x14ac:dyDescent="0.2"/>
  <cols>
    <col min="1" max="1" width="128.6640625" customWidth="1"/>
  </cols>
  <sheetData>
    <row r="1" spans="1:1" ht="127" customHeight="1" x14ac:dyDescent="0.2">
      <c r="A1" s="66" t="s">
        <v>180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09"/>
  <sheetViews>
    <sheetView tabSelected="1" zoomScale="200" workbookViewId="0">
      <selection activeCell="B11" sqref="B11"/>
    </sheetView>
  </sheetViews>
  <sheetFormatPr baseColWidth="10" defaultColWidth="8.83203125" defaultRowHeight="15" x14ac:dyDescent="0.2"/>
  <cols>
    <col min="1" max="1" width="54.1640625" customWidth="1"/>
    <col min="2" max="3" width="12.1640625" bestFit="1" customWidth="1"/>
    <col min="4" max="6" width="11.6640625" bestFit="1" customWidth="1"/>
    <col min="8" max="8" width="11.33203125" bestFit="1" customWidth="1"/>
    <col min="9" max="9" width="25.83203125" customWidth="1"/>
    <col min="10" max="10" width="9.1640625" bestFit="1" customWidth="1"/>
  </cols>
  <sheetData>
    <row r="1" spans="1:6" x14ac:dyDescent="0.2">
      <c r="A1" s="1"/>
      <c r="B1" s="61" t="s">
        <v>125</v>
      </c>
      <c r="C1" s="61" t="s">
        <v>126</v>
      </c>
      <c r="D1" s="61" t="s">
        <v>127</v>
      </c>
      <c r="E1" s="61" t="s">
        <v>128</v>
      </c>
      <c r="F1" s="61" t="s">
        <v>129</v>
      </c>
    </row>
    <row r="2" spans="1:6" x14ac:dyDescent="0.2">
      <c r="A2" s="1" t="s">
        <v>123</v>
      </c>
      <c r="B2" s="1">
        <v>5</v>
      </c>
      <c r="C2" s="1">
        <v>5</v>
      </c>
      <c r="D2" s="1">
        <v>5</v>
      </c>
      <c r="E2" s="1">
        <v>5</v>
      </c>
      <c r="F2" s="1">
        <v>5</v>
      </c>
    </row>
    <row r="3" spans="1:6" x14ac:dyDescent="0.2">
      <c r="A3" s="1" t="s">
        <v>130</v>
      </c>
      <c r="B3" s="1">
        <v>2</v>
      </c>
      <c r="C3" s="1">
        <v>2</v>
      </c>
      <c r="D3" s="1">
        <v>2</v>
      </c>
      <c r="E3" s="1">
        <v>2</v>
      </c>
      <c r="F3" s="1">
        <v>2</v>
      </c>
    </row>
    <row r="4" spans="1:6" x14ac:dyDescent="0.2">
      <c r="A4" s="1" t="s">
        <v>131</v>
      </c>
      <c r="B4" s="4">
        <v>16000</v>
      </c>
      <c r="C4" s="4">
        <f>B4*1.05</f>
        <v>16800</v>
      </c>
      <c r="D4" s="4">
        <f>C4*1.05</f>
        <v>17640</v>
      </c>
      <c r="E4" s="4">
        <f>D4*1.05</f>
        <v>18522</v>
      </c>
      <c r="F4" s="4">
        <f>E4*1.05</f>
        <v>19448.100000000002</v>
      </c>
    </row>
    <row r="5" spans="1:6" x14ac:dyDescent="0.2">
      <c r="A5" s="1" t="s">
        <v>132</v>
      </c>
      <c r="B5" s="4">
        <f>B2*B3*B4</f>
        <v>160000</v>
      </c>
      <c r="C5" s="4">
        <f>C2*C3*C4</f>
        <v>168000</v>
      </c>
      <c r="D5" s="4">
        <f>D2*D3*D4</f>
        <v>176400</v>
      </c>
      <c r="E5" s="4">
        <f>E2*E3*E4</f>
        <v>185220</v>
      </c>
      <c r="F5" s="4">
        <f>F2*F3*F4</f>
        <v>194481.00000000003</v>
      </c>
    </row>
    <row r="6" spans="1:6" x14ac:dyDescent="0.2">
      <c r="A6" s="1" t="s">
        <v>133</v>
      </c>
      <c r="B6" s="1">
        <v>38</v>
      </c>
      <c r="C6" s="1">
        <v>38</v>
      </c>
      <c r="D6" s="1">
        <v>38</v>
      </c>
      <c r="E6" s="1">
        <v>38</v>
      </c>
      <c r="F6" s="1">
        <v>38</v>
      </c>
    </row>
    <row r="7" spans="1:6" x14ac:dyDescent="0.2">
      <c r="A7" s="58" t="s">
        <v>134</v>
      </c>
      <c r="B7" s="4">
        <f>B5*B6</f>
        <v>6080000</v>
      </c>
      <c r="C7" s="4">
        <f>C5*C6</f>
        <v>6384000</v>
      </c>
      <c r="D7" s="4">
        <f>D5*D6</f>
        <v>6703200</v>
      </c>
      <c r="E7" s="4">
        <f>E5*E6</f>
        <v>7038360</v>
      </c>
      <c r="F7" s="4">
        <f>F5*F6</f>
        <v>7390278.0000000009</v>
      </c>
    </row>
    <row r="8" spans="1:6" x14ac:dyDescent="0.2">
      <c r="A8" s="58" t="s">
        <v>135</v>
      </c>
      <c r="B8" s="1"/>
      <c r="C8" s="1"/>
      <c r="D8" s="1"/>
      <c r="E8" s="1"/>
      <c r="F8" s="1"/>
    </row>
    <row r="9" spans="1:6" x14ac:dyDescent="0.2">
      <c r="A9" s="59" t="s">
        <v>136</v>
      </c>
      <c r="B9" s="4">
        <v>2000</v>
      </c>
      <c r="C9" s="4">
        <v>2000</v>
      </c>
      <c r="D9" s="4">
        <v>2000</v>
      </c>
      <c r="E9" s="4">
        <v>2000</v>
      </c>
      <c r="F9" s="4">
        <v>2000</v>
      </c>
    </row>
    <row r="10" spans="1:6" x14ac:dyDescent="0.2">
      <c r="A10" s="1" t="s">
        <v>26</v>
      </c>
      <c r="B10" s="1"/>
      <c r="C10" s="1"/>
      <c r="D10" s="1"/>
      <c r="E10" s="1"/>
      <c r="F10" s="1"/>
    </row>
    <row r="11" spans="1:6" x14ac:dyDescent="0.2">
      <c r="A11" s="59" t="s">
        <v>137</v>
      </c>
      <c r="B11" s="4">
        <f>'Actual Financial Scenario'!N16</f>
        <v>1200000</v>
      </c>
      <c r="C11" s="4">
        <f>B11</f>
        <v>1200000</v>
      </c>
      <c r="D11" s="4">
        <f>C11</f>
        <v>1200000</v>
      </c>
      <c r="E11" s="4">
        <f>D11</f>
        <v>1200000</v>
      </c>
      <c r="F11" s="4">
        <f>E11</f>
        <v>1200000</v>
      </c>
    </row>
    <row r="12" spans="1:6" x14ac:dyDescent="0.2">
      <c r="A12" s="59" t="s">
        <v>138</v>
      </c>
      <c r="B12" s="4">
        <f>'Actual Financial Scenario'!N18</f>
        <v>160000</v>
      </c>
      <c r="C12" s="4">
        <f t="shared" ref="C12:F13" si="0">B12</f>
        <v>160000</v>
      </c>
      <c r="D12" s="4">
        <f t="shared" si="0"/>
        <v>160000</v>
      </c>
      <c r="E12" s="4">
        <f t="shared" si="0"/>
        <v>160000</v>
      </c>
      <c r="F12" s="4">
        <f t="shared" si="0"/>
        <v>160000</v>
      </c>
    </row>
    <row r="13" spans="1:6" x14ac:dyDescent="0.2">
      <c r="A13" s="59" t="s">
        <v>139</v>
      </c>
      <c r="B13" s="4">
        <f>'Actual Financial Scenario'!N19</f>
        <v>880000</v>
      </c>
      <c r="C13" s="4">
        <f t="shared" si="0"/>
        <v>880000</v>
      </c>
      <c r="D13" s="4">
        <f t="shared" si="0"/>
        <v>880000</v>
      </c>
      <c r="E13" s="4">
        <f t="shared" si="0"/>
        <v>880000</v>
      </c>
      <c r="F13" s="4">
        <f t="shared" si="0"/>
        <v>880000</v>
      </c>
    </row>
    <row r="14" spans="1:6" x14ac:dyDescent="0.2">
      <c r="A14" s="10" t="s">
        <v>140</v>
      </c>
      <c r="B14" s="4">
        <f>'Actual Financial Scenario'!N17</f>
        <v>32000</v>
      </c>
      <c r="C14" s="4">
        <f>B14</f>
        <v>32000</v>
      </c>
      <c r="D14" s="4">
        <f>C14</f>
        <v>32000</v>
      </c>
      <c r="E14" s="4">
        <f>D14</f>
        <v>32000</v>
      </c>
      <c r="F14" s="4">
        <f>E14</f>
        <v>32000</v>
      </c>
    </row>
    <row r="15" spans="1:6" x14ac:dyDescent="0.2">
      <c r="A15" s="10" t="s">
        <v>141</v>
      </c>
      <c r="B15" s="4">
        <f>3*B5</f>
        <v>480000</v>
      </c>
      <c r="C15" s="4">
        <f>3*C5</f>
        <v>504000</v>
      </c>
      <c r="D15" s="4">
        <f>3*D5</f>
        <v>529200</v>
      </c>
      <c r="E15" s="4">
        <f>3*E5</f>
        <v>555660</v>
      </c>
      <c r="F15" s="4">
        <f>3*F5</f>
        <v>583443.00000000012</v>
      </c>
    </row>
    <row r="16" spans="1:6" x14ac:dyDescent="0.2">
      <c r="A16" s="10" t="s">
        <v>142</v>
      </c>
      <c r="B16" s="4">
        <f>'Actual Financial Scenario'!N20</f>
        <v>80000</v>
      </c>
      <c r="C16" s="4">
        <f>B16</f>
        <v>80000</v>
      </c>
      <c r="D16" s="4">
        <f>C16</f>
        <v>80000</v>
      </c>
      <c r="E16" s="4">
        <f>D16</f>
        <v>80000</v>
      </c>
      <c r="F16" s="4">
        <f>E16</f>
        <v>80000</v>
      </c>
    </row>
    <row r="17" spans="1:10" x14ac:dyDescent="0.2">
      <c r="A17" s="10" t="s">
        <v>143</v>
      </c>
      <c r="B17" s="4">
        <f>1*B5</f>
        <v>160000</v>
      </c>
      <c r="C17" s="4">
        <f>1*C5</f>
        <v>168000</v>
      </c>
      <c r="D17" s="4">
        <f>1*D5</f>
        <v>176400</v>
      </c>
      <c r="E17" s="4">
        <f>1*E5</f>
        <v>185220</v>
      </c>
      <c r="F17" s="4">
        <f>1*F5</f>
        <v>194481.00000000003</v>
      </c>
    </row>
    <row r="18" spans="1:10" x14ac:dyDescent="0.2">
      <c r="A18" s="10" t="s">
        <v>144</v>
      </c>
      <c r="B18" s="4">
        <f>SUM(B11:B17,B9)</f>
        <v>2994000</v>
      </c>
      <c r="C18" s="4">
        <f>SUM(C11:C17,C9)</f>
        <v>3026000</v>
      </c>
      <c r="D18" s="4">
        <f>SUM(D11:D17,D9)</f>
        <v>3059600</v>
      </c>
      <c r="E18" s="4">
        <f>SUM(E11:E17,E9)</f>
        <v>3094880</v>
      </c>
      <c r="F18" s="4">
        <f>SUM(F11:F17,F9)</f>
        <v>3131924</v>
      </c>
    </row>
    <row r="19" spans="1:10" x14ac:dyDescent="0.2">
      <c r="A19" s="10" t="s">
        <v>145</v>
      </c>
      <c r="B19" s="4">
        <f>'Actual Financial Scenario'!N31</f>
        <v>200637.10352941178</v>
      </c>
      <c r="C19" s="4">
        <f>B19</f>
        <v>200637.10352941178</v>
      </c>
      <c r="D19" s="4">
        <f>C19</f>
        <v>200637.10352941178</v>
      </c>
      <c r="E19" s="4">
        <f>D19</f>
        <v>200637.10352941178</v>
      </c>
      <c r="F19" s="4">
        <f>E19</f>
        <v>200637.10352941178</v>
      </c>
    </row>
    <row r="20" spans="1:10" x14ac:dyDescent="0.2">
      <c r="A20" s="60" t="s">
        <v>146</v>
      </c>
      <c r="B20" s="4">
        <f>B7-B18-B19</f>
        <v>2885362.8964705882</v>
      </c>
      <c r="C20" s="4">
        <f>C7-C18-C19</f>
        <v>3157362.8964705882</v>
      </c>
      <c r="D20" s="4">
        <f>D7-D18-D19</f>
        <v>3442962.8964705882</v>
      </c>
      <c r="E20" s="4">
        <f>E7-E18-E19</f>
        <v>3742842.8964705882</v>
      </c>
      <c r="F20" s="4">
        <f>F7-F18-F19</f>
        <v>4057716.8964705891</v>
      </c>
    </row>
    <row r="21" spans="1:10" x14ac:dyDescent="0.2">
      <c r="A21" s="10" t="s">
        <v>147</v>
      </c>
      <c r="B21" s="4">
        <f>B20/25</f>
        <v>115414.51585882352</v>
      </c>
      <c r="C21" s="4">
        <f>C20/25</f>
        <v>126294.51585882352</v>
      </c>
      <c r="D21" s="4">
        <f>D20/25</f>
        <v>137718.51585882352</v>
      </c>
      <c r="E21" s="4">
        <f>E20/25</f>
        <v>149713.71585882353</v>
      </c>
      <c r="F21" s="4">
        <f>F20/25</f>
        <v>162308.67585882355</v>
      </c>
    </row>
    <row r="22" spans="1:10" x14ac:dyDescent="0.2">
      <c r="A22" s="10" t="s">
        <v>148</v>
      </c>
      <c r="B22" s="4">
        <f>B21/12</f>
        <v>9617.8763215686267</v>
      </c>
      <c r="C22" s="4">
        <f>C21/12</f>
        <v>10524.542988235293</v>
      </c>
      <c r="D22" s="4">
        <f>D21/12</f>
        <v>11476.542988235293</v>
      </c>
      <c r="E22" s="4">
        <f>E21/12</f>
        <v>12476.142988235295</v>
      </c>
      <c r="F22" s="4">
        <f>F21/12</f>
        <v>13525.722988235297</v>
      </c>
    </row>
    <row r="23" spans="1:10" x14ac:dyDescent="0.2">
      <c r="A23" s="10" t="s">
        <v>149</v>
      </c>
      <c r="B23" s="4">
        <f>(B16+B17)/25</f>
        <v>9600</v>
      </c>
      <c r="C23" s="4">
        <f>(C16+C17)/25</f>
        <v>9920</v>
      </c>
      <c r="D23" s="4">
        <f>(D16+D17)/25</f>
        <v>10256</v>
      </c>
      <c r="E23" s="4">
        <f>(E16+E17)/25</f>
        <v>10608.8</v>
      </c>
      <c r="F23" s="4">
        <f>(F16+F17)/25</f>
        <v>10979.24</v>
      </c>
    </row>
    <row r="24" spans="1:10" x14ac:dyDescent="0.2">
      <c r="A24" s="10" t="s">
        <v>150</v>
      </c>
      <c r="B24" s="4">
        <f>B23/12</f>
        <v>800</v>
      </c>
      <c r="C24" s="4">
        <f>C23/12</f>
        <v>826.66666666666663</v>
      </c>
      <c r="D24" s="4">
        <f>D23/12</f>
        <v>854.66666666666663</v>
      </c>
      <c r="E24" s="4">
        <f>E23/12</f>
        <v>884.06666666666661</v>
      </c>
      <c r="F24" s="4">
        <f>F23/12</f>
        <v>914.93666666666661</v>
      </c>
    </row>
    <row r="25" spans="1:10" x14ac:dyDescent="0.2">
      <c r="A25" s="10" t="s">
        <v>151</v>
      </c>
      <c r="B25" s="4">
        <f>B21+B23</f>
        <v>125014.51585882352</v>
      </c>
      <c r="C25" s="4">
        <f>C21+C23</f>
        <v>136214.51585882352</v>
      </c>
      <c r="D25" s="4">
        <f>D21+D23</f>
        <v>147974.51585882352</v>
      </c>
      <c r="E25" s="4">
        <f>E21+E23</f>
        <v>160322.51585882352</v>
      </c>
      <c r="F25" s="4">
        <f>F21+F23</f>
        <v>173287.91585882354</v>
      </c>
    </row>
    <row r="26" spans="1:10" x14ac:dyDescent="0.2">
      <c r="A26" s="10" t="s">
        <v>152</v>
      </c>
      <c r="B26" s="4">
        <f>B25/12</f>
        <v>10417.876321568627</v>
      </c>
      <c r="C26" s="4">
        <f>C25/12</f>
        <v>11351.209654901961</v>
      </c>
      <c r="D26" s="4">
        <f>D25/12</f>
        <v>12331.209654901961</v>
      </c>
      <c r="E26" s="4">
        <f>E25/12</f>
        <v>13360.209654901961</v>
      </c>
      <c r="F26" s="4">
        <f>F25/12</f>
        <v>14440.659654901961</v>
      </c>
    </row>
    <row r="27" spans="1:10" ht="28" customHeight="1" x14ac:dyDescent="0.2">
      <c r="I27" s="55" t="s">
        <v>181</v>
      </c>
      <c r="J27" s="56">
        <f>'Actual Financial Scenario'!K37</f>
        <v>39600</v>
      </c>
    </row>
    <row r="28" spans="1:10" x14ac:dyDescent="0.2">
      <c r="I28" s="55"/>
      <c r="J28" s="56"/>
    </row>
    <row r="29" spans="1:10" x14ac:dyDescent="0.2">
      <c r="I29" s="55"/>
      <c r="J29" s="56"/>
    </row>
    <row r="30" spans="1:10" x14ac:dyDescent="0.2">
      <c r="A30" s="10" t="s">
        <v>182</v>
      </c>
      <c r="B30" s="61" t="s">
        <v>125</v>
      </c>
      <c r="C30" s="61" t="s">
        <v>126</v>
      </c>
      <c r="D30" s="61" t="s">
        <v>127</v>
      </c>
      <c r="E30" s="61" t="s">
        <v>128</v>
      </c>
      <c r="F30" s="61" t="s">
        <v>129</v>
      </c>
      <c r="I30" s="55"/>
      <c r="J30" s="56"/>
    </row>
    <row r="31" spans="1:10" x14ac:dyDescent="0.2">
      <c r="A31" s="10" t="s">
        <v>174</v>
      </c>
      <c r="B31" s="12">
        <f>'Actual Financial Scenario'!K38*0.5*(1+18%*2)/2</f>
        <v>1133346.1399999999</v>
      </c>
      <c r="C31" s="12">
        <f>B31</f>
        <v>1133346.1399999999</v>
      </c>
      <c r="D31" s="1"/>
      <c r="E31" s="1"/>
      <c r="F31" s="1"/>
      <c r="I31" s="55"/>
      <c r="J31" s="56"/>
    </row>
    <row r="32" spans="1:10" x14ac:dyDescent="0.2">
      <c r="A32" s="10" t="s">
        <v>175</v>
      </c>
      <c r="B32" s="12">
        <f>B31/2</f>
        <v>566673.06999999995</v>
      </c>
      <c r="C32" s="12">
        <f>C31/2</f>
        <v>566673.06999999995</v>
      </c>
      <c r="D32" s="1"/>
      <c r="E32" s="1"/>
      <c r="F32" s="1"/>
      <c r="I32" s="55"/>
      <c r="J32" s="56"/>
    </row>
    <row r="33" spans="1:10" x14ac:dyDescent="0.2">
      <c r="A33" s="10" t="s">
        <v>155</v>
      </c>
      <c r="B33" s="12">
        <f>B31/12</f>
        <v>94445.511666666658</v>
      </c>
      <c r="C33" s="12">
        <f>C31/12</f>
        <v>94445.511666666658</v>
      </c>
      <c r="D33" s="1"/>
      <c r="E33" s="1"/>
      <c r="F33" s="1"/>
      <c r="I33" s="55"/>
      <c r="J33" s="56"/>
    </row>
    <row r="34" spans="1:10" x14ac:dyDescent="0.2">
      <c r="A34" s="10" t="s">
        <v>189</v>
      </c>
      <c r="B34" s="12">
        <f>B31/$J$27</f>
        <v>28.619852020202018</v>
      </c>
      <c r="C34" s="12">
        <f>C31/$J$27</f>
        <v>28.619852020202018</v>
      </c>
      <c r="D34" s="1"/>
      <c r="E34" s="1"/>
      <c r="F34" s="1"/>
      <c r="I34" s="55"/>
      <c r="J34" s="56"/>
    </row>
    <row r="35" spans="1:10" x14ac:dyDescent="0.2">
      <c r="A35" s="10" t="s">
        <v>190</v>
      </c>
      <c r="B35" s="12">
        <f>($B34+$C34)/5</f>
        <v>11.447940808080807</v>
      </c>
      <c r="C35" s="12">
        <f t="shared" ref="C35:F35" si="1">($B34+$C34)/5</f>
        <v>11.447940808080807</v>
      </c>
      <c r="D35" s="12">
        <f t="shared" si="1"/>
        <v>11.447940808080807</v>
      </c>
      <c r="E35" s="12">
        <f t="shared" si="1"/>
        <v>11.447940808080807</v>
      </c>
      <c r="F35" s="12">
        <f t="shared" si="1"/>
        <v>11.447940808080807</v>
      </c>
      <c r="I35" s="55"/>
      <c r="J35" s="56"/>
    </row>
    <row r="36" spans="1:10" x14ac:dyDescent="0.2">
      <c r="A36" s="60" t="s">
        <v>146</v>
      </c>
      <c r="B36" s="12">
        <f>B20-B31</f>
        <v>1752016.7564705883</v>
      </c>
      <c r="C36" s="12">
        <f>C20-C31</f>
        <v>2024016.7564705883</v>
      </c>
      <c r="D36" s="12">
        <f>D20-D31</f>
        <v>3442962.8964705882</v>
      </c>
      <c r="E36" s="12">
        <f>E20-E31</f>
        <v>3742842.8964705882</v>
      </c>
      <c r="F36" s="12">
        <f>F20-F31</f>
        <v>4057716.8964705891</v>
      </c>
      <c r="I36" s="55"/>
      <c r="J36" s="56"/>
    </row>
    <row r="37" spans="1:10" x14ac:dyDescent="0.2">
      <c r="A37" s="10" t="s">
        <v>151</v>
      </c>
      <c r="B37" s="12">
        <f>B36/25+B23</f>
        <v>79680.670258823535</v>
      </c>
      <c r="C37" s="12">
        <f>C36/25+C23</f>
        <v>90880.670258823535</v>
      </c>
      <c r="D37" s="12">
        <f>D36/25+D23</f>
        <v>147974.51585882352</v>
      </c>
      <c r="E37" s="12">
        <f>E36/25+E23</f>
        <v>160322.51585882352</v>
      </c>
      <c r="F37" s="12">
        <f>F36/25+F23</f>
        <v>173287.91585882354</v>
      </c>
      <c r="I37" s="55"/>
      <c r="J37" s="56"/>
    </row>
    <row r="38" spans="1:10" x14ac:dyDescent="0.2">
      <c r="A38" s="10" t="s">
        <v>152</v>
      </c>
      <c r="B38" s="12">
        <f>B37/12</f>
        <v>6640.0558549019615</v>
      </c>
      <c r="C38" s="12">
        <f t="shared" ref="C38:F38" si="2">C37/12</f>
        <v>7573.3891882352946</v>
      </c>
      <c r="D38" s="12">
        <f t="shared" si="2"/>
        <v>12331.209654901961</v>
      </c>
      <c r="E38" s="12">
        <f t="shared" si="2"/>
        <v>13360.209654901961</v>
      </c>
      <c r="F38" s="12">
        <f t="shared" si="2"/>
        <v>14440.659654901961</v>
      </c>
      <c r="I38" s="55"/>
      <c r="J38" s="56"/>
    </row>
    <row r="39" spans="1:10" x14ac:dyDescent="0.2">
      <c r="I39" s="55"/>
      <c r="J39" s="56"/>
    </row>
    <row r="40" spans="1:10" x14ac:dyDescent="0.2">
      <c r="A40" s="10" t="s">
        <v>183</v>
      </c>
      <c r="B40" s="61" t="s">
        <v>125</v>
      </c>
      <c r="C40" s="61" t="s">
        <v>126</v>
      </c>
      <c r="D40" s="61" t="s">
        <v>127</v>
      </c>
      <c r="E40" s="61" t="s">
        <v>128</v>
      </c>
      <c r="F40" s="61" t="s">
        <v>129</v>
      </c>
      <c r="I40" s="55"/>
      <c r="J40" s="56"/>
    </row>
    <row r="41" spans="1:10" x14ac:dyDescent="0.2">
      <c r="A41" s="10" t="s">
        <v>174</v>
      </c>
      <c r="B41" s="12">
        <f>'Actual Financial Scenario'!K38*0.5*(1+25.2%*2)/2</f>
        <v>1253347.496</v>
      </c>
      <c r="C41" s="12">
        <f>B41</f>
        <v>1253347.496</v>
      </c>
      <c r="D41" s="1"/>
      <c r="E41" s="1"/>
      <c r="F41" s="1"/>
      <c r="I41" s="55"/>
      <c r="J41" s="56"/>
    </row>
    <row r="42" spans="1:10" x14ac:dyDescent="0.2">
      <c r="A42" s="10" t="s">
        <v>175</v>
      </c>
      <c r="B42" s="12">
        <f>B41/2</f>
        <v>626673.74800000002</v>
      </c>
      <c r="C42" s="12">
        <f>C41/2</f>
        <v>626673.74800000002</v>
      </c>
      <c r="D42" s="1"/>
      <c r="E42" s="1"/>
      <c r="F42" s="1"/>
      <c r="I42" s="55"/>
      <c r="J42" s="56"/>
    </row>
    <row r="43" spans="1:10" x14ac:dyDescent="0.2">
      <c r="A43" s="10" t="s">
        <v>155</v>
      </c>
      <c r="B43" s="12">
        <f>B41/12</f>
        <v>104445.62466666667</v>
      </c>
      <c r="C43" s="12">
        <f>C41/12</f>
        <v>104445.62466666667</v>
      </c>
      <c r="D43" s="1"/>
      <c r="E43" s="1"/>
      <c r="F43" s="1"/>
      <c r="I43" s="55"/>
      <c r="J43" s="56"/>
    </row>
    <row r="44" spans="1:10" x14ac:dyDescent="0.2">
      <c r="A44" s="10" t="s">
        <v>189</v>
      </c>
      <c r="B44" s="12">
        <f>B41/$J$27</f>
        <v>31.650189292929294</v>
      </c>
      <c r="C44" s="12">
        <f>C41/$J$27</f>
        <v>31.650189292929294</v>
      </c>
      <c r="D44" s="1"/>
      <c r="E44" s="1"/>
      <c r="F44" s="1"/>
      <c r="I44" s="55"/>
      <c r="J44" s="56"/>
    </row>
    <row r="45" spans="1:10" x14ac:dyDescent="0.2">
      <c r="A45" s="10" t="s">
        <v>190</v>
      </c>
      <c r="B45" s="12">
        <f>($B44+$C44)/5</f>
        <v>12.660075717171718</v>
      </c>
      <c r="C45" s="12">
        <f t="shared" ref="C45:F45" si="3">($B44+$C44)/5</f>
        <v>12.660075717171718</v>
      </c>
      <c r="D45" s="12">
        <f t="shared" si="3"/>
        <v>12.660075717171718</v>
      </c>
      <c r="E45" s="12">
        <f t="shared" si="3"/>
        <v>12.660075717171718</v>
      </c>
      <c r="F45" s="12">
        <f t="shared" si="3"/>
        <v>12.660075717171718</v>
      </c>
      <c r="I45" s="55"/>
      <c r="J45" s="56"/>
    </row>
    <row r="46" spans="1:10" x14ac:dyDescent="0.2">
      <c r="A46" s="60" t="s">
        <v>146</v>
      </c>
      <c r="B46" s="12">
        <f>B20-B41</f>
        <v>1632015.4004705881</v>
      </c>
      <c r="C46" s="12">
        <f>C20-C41</f>
        <v>1904015.4004705881</v>
      </c>
      <c r="D46" s="12">
        <f t="shared" ref="D46:F46" si="4">D20-D41</f>
        <v>3442962.8964705882</v>
      </c>
      <c r="E46" s="12">
        <f t="shared" si="4"/>
        <v>3742842.8964705882</v>
      </c>
      <c r="F46" s="12">
        <f t="shared" si="4"/>
        <v>4057716.8964705891</v>
      </c>
      <c r="I46" s="55"/>
      <c r="J46" s="56"/>
    </row>
    <row r="47" spans="1:10" x14ac:dyDescent="0.2">
      <c r="A47" s="10" t="s">
        <v>151</v>
      </c>
      <c r="B47" s="12">
        <f>B46/25+B23</f>
        <v>74880.616018823523</v>
      </c>
      <c r="C47" s="12">
        <f>C46/25+C23</f>
        <v>86080.616018823523</v>
      </c>
      <c r="D47" s="12">
        <f t="shared" ref="D47:F47" si="5">D46/25+D23</f>
        <v>147974.51585882352</v>
      </c>
      <c r="E47" s="12">
        <f t="shared" si="5"/>
        <v>160322.51585882352</v>
      </c>
      <c r="F47" s="12">
        <f t="shared" si="5"/>
        <v>173287.91585882354</v>
      </c>
      <c r="I47" s="55"/>
      <c r="J47" s="56"/>
    </row>
    <row r="48" spans="1:10" x14ac:dyDescent="0.2">
      <c r="A48" s="10" t="s">
        <v>152</v>
      </c>
      <c r="B48" s="12">
        <f>B47/12</f>
        <v>6240.0513349019602</v>
      </c>
      <c r="C48" s="12">
        <f t="shared" ref="C48:F48" si="6">C47/12</f>
        <v>7173.3846682352932</v>
      </c>
      <c r="D48" s="12">
        <f t="shared" si="6"/>
        <v>12331.209654901961</v>
      </c>
      <c r="E48" s="12">
        <f t="shared" si="6"/>
        <v>13360.209654901961</v>
      </c>
      <c r="F48" s="12">
        <f t="shared" si="6"/>
        <v>14440.659654901961</v>
      </c>
      <c r="I48" s="55"/>
      <c r="J48" s="56"/>
    </row>
    <row r="49" spans="1:10" x14ac:dyDescent="0.2">
      <c r="I49" s="55"/>
      <c r="J49" s="56"/>
    </row>
    <row r="50" spans="1:10" x14ac:dyDescent="0.2">
      <c r="A50" s="10" t="s">
        <v>188</v>
      </c>
      <c r="B50" s="61" t="s">
        <v>125</v>
      </c>
      <c r="C50" s="61" t="s">
        <v>126</v>
      </c>
      <c r="D50" s="61" t="s">
        <v>127</v>
      </c>
      <c r="E50" s="61" t="s">
        <v>128</v>
      </c>
      <c r="F50" s="61" t="s">
        <v>129</v>
      </c>
      <c r="I50" s="55"/>
      <c r="J50" s="56"/>
    </row>
    <row r="51" spans="1:10" x14ac:dyDescent="0.2">
      <c r="A51" s="10" t="s">
        <v>174</v>
      </c>
      <c r="B51" s="12">
        <f>'Actual Financial Scenario'!K38*0.3*(1+18%*2)/2</f>
        <v>680007.68399999989</v>
      </c>
      <c r="C51" s="12">
        <f>B51</f>
        <v>680007.68399999989</v>
      </c>
      <c r="D51" s="1"/>
      <c r="E51" s="1"/>
      <c r="F51" s="1"/>
      <c r="I51" s="55"/>
      <c r="J51" s="56"/>
    </row>
    <row r="52" spans="1:10" x14ac:dyDescent="0.2">
      <c r="A52" s="10" t="s">
        <v>175</v>
      </c>
      <c r="B52" s="12">
        <f>B51/2</f>
        <v>340003.84199999995</v>
      </c>
      <c r="C52" s="12">
        <f>C51/2</f>
        <v>340003.84199999995</v>
      </c>
      <c r="D52" s="1"/>
      <c r="E52" s="1"/>
      <c r="F52" s="1"/>
      <c r="I52" s="55"/>
      <c r="J52" s="56"/>
    </row>
    <row r="53" spans="1:10" x14ac:dyDescent="0.2">
      <c r="A53" s="10" t="s">
        <v>155</v>
      </c>
      <c r="B53" s="12">
        <f>B51/12</f>
        <v>56667.306999999993</v>
      </c>
      <c r="C53" s="12">
        <f>C51/12</f>
        <v>56667.306999999993</v>
      </c>
      <c r="D53" s="1"/>
      <c r="E53" s="1"/>
      <c r="F53" s="1"/>
      <c r="I53" s="55"/>
      <c r="J53" s="56"/>
    </row>
    <row r="54" spans="1:10" x14ac:dyDescent="0.2">
      <c r="A54" s="10" t="s">
        <v>189</v>
      </c>
      <c r="B54" s="12">
        <f>B51/$J$27</f>
        <v>17.171911212121209</v>
      </c>
      <c r="C54" s="12">
        <f>C51/$J$27</f>
        <v>17.171911212121209</v>
      </c>
      <c r="D54" s="1"/>
      <c r="E54" s="1"/>
      <c r="F54" s="1"/>
      <c r="I54" s="55"/>
      <c r="J54" s="56"/>
    </row>
    <row r="55" spans="1:10" x14ac:dyDescent="0.2">
      <c r="A55" s="10" t="s">
        <v>190</v>
      </c>
      <c r="B55" s="12">
        <f>($B54+$C54)/5</f>
        <v>6.8687644848484837</v>
      </c>
      <c r="C55" s="12">
        <f t="shared" ref="C55:F55" si="7">($B54+$C54)/5</f>
        <v>6.8687644848484837</v>
      </c>
      <c r="D55" s="12">
        <f t="shared" si="7"/>
        <v>6.8687644848484837</v>
      </c>
      <c r="E55" s="12">
        <f t="shared" si="7"/>
        <v>6.8687644848484837</v>
      </c>
      <c r="F55" s="12">
        <f t="shared" si="7"/>
        <v>6.8687644848484837</v>
      </c>
      <c r="I55" s="55"/>
      <c r="J55" s="56"/>
    </row>
    <row r="56" spans="1:10" x14ac:dyDescent="0.2">
      <c r="A56" s="60" t="s">
        <v>146</v>
      </c>
      <c r="B56" s="12">
        <f>B20-B51</f>
        <v>2205355.2124705883</v>
      </c>
      <c r="C56" s="12">
        <f t="shared" ref="C56:F56" si="8">C20-C51</f>
        <v>2477355.2124705883</v>
      </c>
      <c r="D56" s="12">
        <f t="shared" si="8"/>
        <v>3442962.8964705882</v>
      </c>
      <c r="E56" s="12">
        <f t="shared" si="8"/>
        <v>3742842.8964705882</v>
      </c>
      <c r="F56" s="12">
        <f t="shared" si="8"/>
        <v>4057716.8964705891</v>
      </c>
      <c r="I56" s="55"/>
      <c r="J56" s="56"/>
    </row>
    <row r="57" spans="1:10" x14ac:dyDescent="0.2">
      <c r="A57" s="10" t="s">
        <v>151</v>
      </c>
      <c r="B57" s="12">
        <f>B56/25+B23</f>
        <v>97814.208498823529</v>
      </c>
      <c r="C57" s="12">
        <f t="shared" ref="C57:F57" si="9">C56/25+C23</f>
        <v>109014.20849882353</v>
      </c>
      <c r="D57" s="12">
        <f t="shared" si="9"/>
        <v>147974.51585882352</v>
      </c>
      <c r="E57" s="12">
        <f t="shared" si="9"/>
        <v>160322.51585882352</v>
      </c>
      <c r="F57" s="12">
        <f t="shared" si="9"/>
        <v>173287.91585882354</v>
      </c>
      <c r="I57" s="55"/>
      <c r="J57" s="56"/>
    </row>
    <row r="58" spans="1:10" x14ac:dyDescent="0.2">
      <c r="A58" s="10" t="s">
        <v>152</v>
      </c>
      <c r="B58" s="12">
        <f>B57/12</f>
        <v>8151.1840415686274</v>
      </c>
      <c r="C58" s="12">
        <f t="shared" ref="C58:F58" si="10">C57/12</f>
        <v>9084.5173749019614</v>
      </c>
      <c r="D58" s="12">
        <f t="shared" si="10"/>
        <v>12331.209654901961</v>
      </c>
      <c r="E58" s="12">
        <f t="shared" si="10"/>
        <v>13360.209654901961</v>
      </c>
      <c r="F58" s="12">
        <f t="shared" si="10"/>
        <v>14440.659654901961</v>
      </c>
      <c r="I58" s="55"/>
      <c r="J58" s="56"/>
    </row>
    <row r="59" spans="1:10" x14ac:dyDescent="0.2">
      <c r="I59" s="55"/>
      <c r="J59" s="56"/>
    </row>
    <row r="60" spans="1:10" x14ac:dyDescent="0.2">
      <c r="A60" s="10" t="s">
        <v>184</v>
      </c>
      <c r="B60" s="61" t="s">
        <v>125</v>
      </c>
      <c r="C60" s="61" t="s">
        <v>126</v>
      </c>
      <c r="D60" s="61" t="s">
        <v>127</v>
      </c>
      <c r="E60" s="61" t="s">
        <v>128</v>
      </c>
      <c r="F60" s="61" t="s">
        <v>129</v>
      </c>
      <c r="I60" s="55"/>
      <c r="J60" s="56"/>
    </row>
    <row r="61" spans="1:10" x14ac:dyDescent="0.2">
      <c r="A61" s="10" t="s">
        <v>174</v>
      </c>
      <c r="B61" s="12">
        <f>'Actual Financial Scenario'!K38*0.3*(1+25.2%*2)/2</f>
        <v>752008.4976</v>
      </c>
      <c r="C61" s="12">
        <f>B61</f>
        <v>752008.4976</v>
      </c>
      <c r="D61" s="1"/>
      <c r="E61" s="1"/>
      <c r="F61" s="1"/>
      <c r="I61" s="55"/>
      <c r="J61" s="56"/>
    </row>
    <row r="62" spans="1:10" x14ac:dyDescent="0.2">
      <c r="A62" s="10" t="s">
        <v>175</v>
      </c>
      <c r="B62" s="12">
        <f>B61/2</f>
        <v>376004.2488</v>
      </c>
      <c r="C62" s="12">
        <f>C61/2</f>
        <v>376004.2488</v>
      </c>
      <c r="D62" s="1"/>
      <c r="E62" s="1"/>
      <c r="F62" s="1"/>
      <c r="I62" s="55"/>
      <c r="J62" s="56"/>
    </row>
    <row r="63" spans="1:10" x14ac:dyDescent="0.2">
      <c r="A63" s="10" t="s">
        <v>155</v>
      </c>
      <c r="B63" s="12">
        <f>B61/12</f>
        <v>62667.374799999998</v>
      </c>
      <c r="C63" s="12">
        <f>C61/12</f>
        <v>62667.374799999998</v>
      </c>
      <c r="D63" s="1"/>
      <c r="E63" s="1"/>
      <c r="F63" s="1"/>
      <c r="I63" s="55"/>
      <c r="J63" s="56"/>
    </row>
    <row r="64" spans="1:10" x14ac:dyDescent="0.2">
      <c r="A64" s="10" t="s">
        <v>189</v>
      </c>
      <c r="B64" s="12">
        <f>B61/$J$27</f>
        <v>18.990113575757576</v>
      </c>
      <c r="C64" s="12">
        <f>C61/$J$27</f>
        <v>18.990113575757576</v>
      </c>
      <c r="D64" s="1"/>
      <c r="E64" s="1"/>
      <c r="F64" s="1"/>
      <c r="I64" s="55"/>
      <c r="J64" s="56"/>
    </row>
    <row r="65" spans="1:10" x14ac:dyDescent="0.2">
      <c r="A65" s="10" t="s">
        <v>190</v>
      </c>
      <c r="B65" s="12">
        <f>($B64+$C64)/5</f>
        <v>7.5960454303030307</v>
      </c>
      <c r="C65" s="12">
        <f t="shared" ref="C65:F65" si="11">($B64+$C64)/5</f>
        <v>7.5960454303030307</v>
      </c>
      <c r="D65" s="12">
        <f t="shared" si="11"/>
        <v>7.5960454303030307</v>
      </c>
      <c r="E65" s="12">
        <f t="shared" si="11"/>
        <v>7.5960454303030307</v>
      </c>
      <c r="F65" s="12">
        <f t="shared" si="11"/>
        <v>7.5960454303030307</v>
      </c>
      <c r="I65" s="55"/>
      <c r="J65" s="56"/>
    </row>
    <row r="66" spans="1:10" x14ac:dyDescent="0.2">
      <c r="A66" s="60" t="s">
        <v>146</v>
      </c>
      <c r="B66" s="12">
        <f>B20-B61</f>
        <v>2133354.3988705883</v>
      </c>
      <c r="C66" s="12">
        <f>C20-C61</f>
        <v>2405354.3988705883</v>
      </c>
      <c r="D66" s="12">
        <f>D20-D61</f>
        <v>3442962.8964705882</v>
      </c>
      <c r="E66" s="12">
        <f>E20-E61</f>
        <v>3742842.8964705882</v>
      </c>
      <c r="F66" s="12">
        <f>F20-F61</f>
        <v>4057716.8964705891</v>
      </c>
      <c r="I66" s="55"/>
      <c r="J66" s="56"/>
    </row>
    <row r="67" spans="1:10" x14ac:dyDescent="0.2">
      <c r="A67" s="10" t="s">
        <v>151</v>
      </c>
      <c r="B67" s="12">
        <f>B66/25+B23</f>
        <v>94934.175954823528</v>
      </c>
      <c r="C67" s="12">
        <f>C66/25+C23</f>
        <v>106134.17595482353</v>
      </c>
      <c r="D67" s="12">
        <f>D66/25+D23</f>
        <v>147974.51585882352</v>
      </c>
      <c r="E67" s="12">
        <f>E66/25+E23</f>
        <v>160322.51585882352</v>
      </c>
      <c r="F67" s="12">
        <f>F66/25+F23</f>
        <v>173287.91585882354</v>
      </c>
      <c r="I67" s="55"/>
      <c r="J67" s="56"/>
    </row>
    <row r="68" spans="1:10" x14ac:dyDescent="0.2">
      <c r="A68" s="10" t="s">
        <v>152</v>
      </c>
      <c r="B68" s="12">
        <f>B67/12</f>
        <v>7911.181329568627</v>
      </c>
      <c r="C68" s="12">
        <f t="shared" ref="C68:F68" si="12">C67/12</f>
        <v>8844.51466290196</v>
      </c>
      <c r="D68" s="12">
        <f t="shared" si="12"/>
        <v>12331.209654901961</v>
      </c>
      <c r="E68" s="12">
        <f t="shared" si="12"/>
        <v>13360.209654901961</v>
      </c>
      <c r="F68" s="12">
        <f t="shared" si="12"/>
        <v>14440.659654901961</v>
      </c>
      <c r="I68" s="55"/>
      <c r="J68" s="56"/>
    </row>
    <row r="69" spans="1:10" x14ac:dyDescent="0.2">
      <c r="I69" s="55"/>
      <c r="J69" s="56"/>
    </row>
    <row r="70" spans="1:10" x14ac:dyDescent="0.2">
      <c r="A70" s="10" t="s">
        <v>185</v>
      </c>
      <c r="B70" s="61" t="s">
        <v>125</v>
      </c>
      <c r="C70" s="61" t="s">
        <v>126</v>
      </c>
      <c r="D70" s="61" t="s">
        <v>127</v>
      </c>
      <c r="E70" s="61" t="s">
        <v>128</v>
      </c>
      <c r="F70" s="61" t="s">
        <v>129</v>
      </c>
      <c r="I70" s="55"/>
      <c r="J70" s="56"/>
    </row>
    <row r="71" spans="1:10" x14ac:dyDescent="0.2">
      <c r="A71" s="10" t="s">
        <v>174</v>
      </c>
      <c r="B71" s="12">
        <f>'Actual Financial Scenario'!K38*0.8*(1+18%*5)/5</f>
        <v>1013344.784</v>
      </c>
      <c r="C71" s="12">
        <f>B71</f>
        <v>1013344.784</v>
      </c>
      <c r="D71" s="12">
        <f>C71</f>
        <v>1013344.784</v>
      </c>
      <c r="E71" s="12">
        <f>D71</f>
        <v>1013344.784</v>
      </c>
      <c r="F71" s="12">
        <f>E71</f>
        <v>1013344.784</v>
      </c>
      <c r="I71" s="55"/>
      <c r="J71" s="56"/>
    </row>
    <row r="72" spans="1:10" x14ac:dyDescent="0.2">
      <c r="A72" s="10" t="s">
        <v>175</v>
      </c>
      <c r="B72" s="12">
        <f>B71/2</f>
        <v>506672.39199999999</v>
      </c>
      <c r="C72" s="12">
        <f t="shared" ref="C72:F72" si="13">C71/2</f>
        <v>506672.39199999999</v>
      </c>
      <c r="D72" s="12">
        <f t="shared" si="13"/>
        <v>506672.39199999999</v>
      </c>
      <c r="E72" s="12">
        <f t="shared" si="13"/>
        <v>506672.39199999999</v>
      </c>
      <c r="F72" s="12">
        <f t="shared" si="13"/>
        <v>506672.39199999999</v>
      </c>
      <c r="I72" s="55"/>
      <c r="J72" s="56"/>
    </row>
    <row r="73" spans="1:10" x14ac:dyDescent="0.2">
      <c r="A73" s="10" t="s">
        <v>154</v>
      </c>
      <c r="B73" s="12">
        <f>B71/12</f>
        <v>84445.398666666661</v>
      </c>
      <c r="C73" s="12">
        <f t="shared" ref="C73:F73" si="14">C71/12</f>
        <v>84445.398666666661</v>
      </c>
      <c r="D73" s="12">
        <f t="shared" si="14"/>
        <v>84445.398666666661</v>
      </c>
      <c r="E73" s="12">
        <f t="shared" si="14"/>
        <v>84445.398666666661</v>
      </c>
      <c r="F73" s="12">
        <f t="shared" si="14"/>
        <v>84445.398666666661</v>
      </c>
      <c r="I73" s="55"/>
      <c r="J73" s="56"/>
    </row>
    <row r="74" spans="1:10" x14ac:dyDescent="0.2">
      <c r="A74" s="10" t="s">
        <v>153</v>
      </c>
      <c r="B74" s="12">
        <f>B71/$J$27</f>
        <v>25.589514747474748</v>
      </c>
      <c r="C74" s="12">
        <f t="shared" ref="C74:F74" si="15">C71/$J$27</f>
        <v>25.589514747474748</v>
      </c>
      <c r="D74" s="12">
        <f t="shared" si="15"/>
        <v>25.589514747474748</v>
      </c>
      <c r="E74" s="12">
        <f t="shared" si="15"/>
        <v>25.589514747474748</v>
      </c>
      <c r="F74" s="12">
        <f t="shared" si="15"/>
        <v>25.589514747474748</v>
      </c>
      <c r="I74" s="55"/>
      <c r="J74" s="56"/>
    </row>
    <row r="75" spans="1:10" x14ac:dyDescent="0.2">
      <c r="A75" s="60" t="s">
        <v>146</v>
      </c>
      <c r="B75" s="12">
        <f>B20-B71</f>
        <v>1872018.1124705882</v>
      </c>
      <c r="C75" s="12">
        <f t="shared" ref="C75:F75" si="16">C20-C71</f>
        <v>2144018.1124705882</v>
      </c>
      <c r="D75" s="12">
        <f t="shared" si="16"/>
        <v>2429618.1124705882</v>
      </c>
      <c r="E75" s="12">
        <f t="shared" si="16"/>
        <v>2729498.1124705882</v>
      </c>
      <c r="F75" s="12">
        <f t="shared" si="16"/>
        <v>3044372.1124705891</v>
      </c>
      <c r="I75" s="55"/>
      <c r="J75" s="56"/>
    </row>
    <row r="76" spans="1:10" x14ac:dyDescent="0.2">
      <c r="A76" s="10" t="s">
        <v>151</v>
      </c>
      <c r="B76" s="12">
        <f>B75/25+B23</f>
        <v>84480.724498823532</v>
      </c>
      <c r="C76" s="12">
        <f t="shared" ref="C76:F76" si="17">C75/25+C23</f>
        <v>95680.724498823532</v>
      </c>
      <c r="D76" s="12">
        <f t="shared" si="17"/>
        <v>107440.72449882353</v>
      </c>
      <c r="E76" s="12">
        <f t="shared" si="17"/>
        <v>119788.72449882353</v>
      </c>
      <c r="F76" s="12">
        <f t="shared" si="17"/>
        <v>132754.12449882357</v>
      </c>
      <c r="I76" s="55"/>
      <c r="J76" s="56"/>
    </row>
    <row r="77" spans="1:10" x14ac:dyDescent="0.2">
      <c r="A77" s="10" t="s">
        <v>152</v>
      </c>
      <c r="B77" s="12">
        <f>B76/12</f>
        <v>7040.060374901961</v>
      </c>
      <c r="C77" s="12">
        <f t="shared" ref="C77:F77" si="18">C76/12</f>
        <v>7973.3937082352941</v>
      </c>
      <c r="D77" s="12">
        <f t="shared" si="18"/>
        <v>8953.393708235295</v>
      </c>
      <c r="E77" s="12">
        <f t="shared" si="18"/>
        <v>9982.393708235295</v>
      </c>
      <c r="F77" s="12">
        <f t="shared" si="18"/>
        <v>11062.843708235298</v>
      </c>
      <c r="I77" s="55"/>
      <c r="J77" s="56"/>
    </row>
    <row r="78" spans="1:10" x14ac:dyDescent="0.2">
      <c r="A78" s="10" t="s">
        <v>124</v>
      </c>
      <c r="B78" s="12">
        <f>'Actual Financial Scenario'!K38*0.2/25</f>
        <v>26666.968000000004</v>
      </c>
      <c r="C78" s="12"/>
      <c r="D78" s="12"/>
      <c r="E78" s="12"/>
      <c r="F78" s="12"/>
      <c r="I78" s="55"/>
      <c r="J78" s="56"/>
    </row>
    <row r="79" spans="1:10" x14ac:dyDescent="0.2">
      <c r="I79" s="55"/>
      <c r="J79" s="56"/>
    </row>
    <row r="80" spans="1:10" x14ac:dyDescent="0.2">
      <c r="A80" s="10" t="s">
        <v>187</v>
      </c>
      <c r="B80" s="61" t="s">
        <v>125</v>
      </c>
      <c r="C80" s="61" t="s">
        <v>126</v>
      </c>
      <c r="D80" s="61" t="s">
        <v>127</v>
      </c>
      <c r="E80" s="61" t="s">
        <v>128</v>
      </c>
      <c r="F80" s="61" t="s">
        <v>129</v>
      </c>
      <c r="H80" s="11"/>
    </row>
    <row r="81" spans="1:8" x14ac:dyDescent="0.2">
      <c r="A81" s="10" t="s">
        <v>174</v>
      </c>
      <c r="B81" s="12">
        <f>'Actual Financial Scenario'!K38*0.8*(1+25.2%*5)/5</f>
        <v>1205346.9536000001</v>
      </c>
      <c r="C81" s="12">
        <f>B81</f>
        <v>1205346.9536000001</v>
      </c>
      <c r="D81" s="12">
        <f>C81</f>
        <v>1205346.9536000001</v>
      </c>
      <c r="E81" s="12">
        <f>D81</f>
        <v>1205346.9536000001</v>
      </c>
      <c r="F81" s="12">
        <f>E81</f>
        <v>1205346.9536000001</v>
      </c>
      <c r="H81" s="11"/>
    </row>
    <row r="82" spans="1:8" x14ac:dyDescent="0.2">
      <c r="A82" s="10" t="s">
        <v>175</v>
      </c>
      <c r="B82" s="12">
        <f>B81/2</f>
        <v>602673.47680000006</v>
      </c>
      <c r="C82" s="12">
        <f t="shared" ref="C82:F82" si="19">C81/2</f>
        <v>602673.47680000006</v>
      </c>
      <c r="D82" s="12">
        <f t="shared" si="19"/>
        <v>602673.47680000006</v>
      </c>
      <c r="E82" s="12">
        <f t="shared" si="19"/>
        <v>602673.47680000006</v>
      </c>
      <c r="F82" s="12">
        <f t="shared" si="19"/>
        <v>602673.47680000006</v>
      </c>
      <c r="H82" s="11"/>
    </row>
    <row r="83" spans="1:8" x14ac:dyDescent="0.2">
      <c r="A83" s="10" t="s">
        <v>154</v>
      </c>
      <c r="B83" s="12">
        <f>B81/12</f>
        <v>100445.57946666668</v>
      </c>
      <c r="C83" s="12">
        <f t="shared" ref="C83:F83" si="20">C81/12</f>
        <v>100445.57946666668</v>
      </c>
      <c r="D83" s="12">
        <f t="shared" si="20"/>
        <v>100445.57946666668</v>
      </c>
      <c r="E83" s="12">
        <f t="shared" si="20"/>
        <v>100445.57946666668</v>
      </c>
      <c r="F83" s="12">
        <f t="shared" si="20"/>
        <v>100445.57946666668</v>
      </c>
      <c r="H83" s="11"/>
    </row>
    <row r="84" spans="1:8" x14ac:dyDescent="0.2">
      <c r="A84" s="10" t="s">
        <v>153</v>
      </c>
      <c r="B84" s="12">
        <f>B81/$J$27</f>
        <v>30.438054383838388</v>
      </c>
      <c r="C84" s="12">
        <f t="shared" ref="C84:F84" si="21">C81/$J$27</f>
        <v>30.438054383838388</v>
      </c>
      <c r="D84" s="12">
        <f t="shared" si="21"/>
        <v>30.438054383838388</v>
      </c>
      <c r="E84" s="12">
        <f t="shared" si="21"/>
        <v>30.438054383838388</v>
      </c>
      <c r="F84" s="12">
        <f t="shared" si="21"/>
        <v>30.438054383838388</v>
      </c>
      <c r="H84" s="11"/>
    </row>
    <row r="85" spans="1:8" x14ac:dyDescent="0.2">
      <c r="A85" s="60" t="s">
        <v>146</v>
      </c>
      <c r="B85" s="12">
        <f>B20-B81</f>
        <v>1680015.942870588</v>
      </c>
      <c r="C85" s="12">
        <f>C20-C81</f>
        <v>1952015.942870588</v>
      </c>
      <c r="D85" s="12">
        <f>D20-D81</f>
        <v>2237615.942870588</v>
      </c>
      <c r="E85" s="12">
        <f>E20-E81</f>
        <v>2537495.942870588</v>
      </c>
      <c r="F85" s="12">
        <f>F20-F81</f>
        <v>2852369.942870589</v>
      </c>
    </row>
    <row r="86" spans="1:8" x14ac:dyDescent="0.2">
      <c r="A86" s="10" t="s">
        <v>151</v>
      </c>
      <c r="B86" s="12">
        <f>B85/25+B23</f>
        <v>76800.637714823519</v>
      </c>
      <c r="C86" s="12">
        <f>C85/25+C23</f>
        <v>88000.637714823519</v>
      </c>
      <c r="D86" s="12">
        <f>D85/25+D23</f>
        <v>99760.637714823519</v>
      </c>
      <c r="E86" s="12">
        <f>E85/25+E23</f>
        <v>112108.63771482352</v>
      </c>
      <c r="F86" s="12">
        <f>F85/25+F23</f>
        <v>125074.03771482357</v>
      </c>
    </row>
    <row r="87" spans="1:8" x14ac:dyDescent="0.2">
      <c r="A87" s="10" t="s">
        <v>152</v>
      </c>
      <c r="B87" s="12">
        <f>B86/12</f>
        <v>6400.0531429019602</v>
      </c>
      <c r="C87" s="12">
        <f t="shared" ref="C87:F87" si="22">C86/12</f>
        <v>7333.3864762352932</v>
      </c>
      <c r="D87" s="12">
        <f t="shared" si="22"/>
        <v>8313.3864762352932</v>
      </c>
      <c r="E87" s="12">
        <f t="shared" si="22"/>
        <v>9342.3864762352932</v>
      </c>
      <c r="F87" s="12">
        <f t="shared" si="22"/>
        <v>10422.836476235298</v>
      </c>
    </row>
    <row r="88" spans="1:8" x14ac:dyDescent="0.2">
      <c r="A88" s="10" t="s">
        <v>186</v>
      </c>
      <c r="B88" s="12">
        <f>'Actual Financial Scenario'!K38*0.2/25</f>
        <v>26666.968000000004</v>
      </c>
      <c r="C88" s="12"/>
      <c r="D88" s="12"/>
      <c r="E88" s="12"/>
      <c r="F88" s="12"/>
    </row>
    <row r="98" spans="1:6" x14ac:dyDescent="0.2">
      <c r="A98" s="62"/>
      <c r="B98" s="11"/>
      <c r="C98" s="11"/>
      <c r="D98" s="11"/>
      <c r="E98" s="11"/>
      <c r="F98" s="11"/>
    </row>
    <row r="107" spans="1:6" x14ac:dyDescent="0.2">
      <c r="A107" s="62"/>
      <c r="B107" s="11"/>
      <c r="C107" s="11"/>
      <c r="D107" s="11"/>
      <c r="E107" s="11"/>
      <c r="F107" s="11"/>
    </row>
    <row r="108" spans="1:6" x14ac:dyDescent="0.2">
      <c r="A108" s="62"/>
      <c r="B108" s="11"/>
      <c r="C108" s="11"/>
      <c r="D108" s="11"/>
      <c r="E108" s="11"/>
      <c r="F108" s="11"/>
    </row>
    <row r="109" spans="1:6" x14ac:dyDescent="0.2">
      <c r="A109" s="62"/>
      <c r="B109" s="11"/>
      <c r="C109" s="11"/>
      <c r="D109" s="11"/>
      <c r="E109" s="11"/>
      <c r="F109" s="1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8"/>
  <sheetViews>
    <sheetView topLeftCell="A12" zoomScale="142" zoomScaleNormal="130" workbookViewId="0">
      <selection activeCell="L21" sqref="L21"/>
    </sheetView>
  </sheetViews>
  <sheetFormatPr baseColWidth="10" defaultColWidth="8.83203125" defaultRowHeight="15" x14ac:dyDescent="0.2"/>
  <cols>
    <col min="1" max="1" width="35" bestFit="1" customWidth="1"/>
    <col min="2" max="4" width="12" bestFit="1" customWidth="1"/>
    <col min="5" max="5" width="10.5" bestFit="1" customWidth="1"/>
    <col min="6" max="6" width="12" bestFit="1" customWidth="1"/>
    <col min="7" max="13" width="11.33203125" bestFit="1" customWidth="1"/>
  </cols>
  <sheetData>
    <row r="1" spans="1:13" x14ac:dyDescent="0.2">
      <c r="A1" s="1"/>
      <c r="B1" s="1" t="s">
        <v>159</v>
      </c>
      <c r="C1" s="1" t="s">
        <v>160</v>
      </c>
      <c r="D1" s="1" t="s">
        <v>161</v>
      </c>
      <c r="E1" s="1" t="s">
        <v>162</v>
      </c>
      <c r="F1" s="1" t="s">
        <v>163</v>
      </c>
      <c r="G1" s="1" t="s">
        <v>164</v>
      </c>
      <c r="H1" s="1" t="s">
        <v>165</v>
      </c>
      <c r="I1" s="1" t="s">
        <v>166</v>
      </c>
      <c r="J1" s="1" t="s">
        <v>167</v>
      </c>
      <c r="K1" s="1" t="s">
        <v>156</v>
      </c>
      <c r="L1" s="1" t="s">
        <v>157</v>
      </c>
      <c r="M1" s="1" t="s">
        <v>158</v>
      </c>
    </row>
    <row r="2" spans="1:13" x14ac:dyDescent="0.2">
      <c r="A2" s="58" t="s">
        <v>134</v>
      </c>
      <c r="B2" s="4"/>
      <c r="C2" s="4"/>
      <c r="D2" s="4"/>
      <c r="E2" s="4">
        <f>'Financial Scenarios'!B7/2/3</f>
        <v>1013333.3333333334</v>
      </c>
      <c r="F2" s="4">
        <f>E2</f>
        <v>1013333.3333333334</v>
      </c>
      <c r="G2" s="4">
        <f>F2</f>
        <v>1013333.3333333334</v>
      </c>
      <c r="H2" s="4"/>
      <c r="I2" s="4">
        <f>E2</f>
        <v>1013333.3333333334</v>
      </c>
      <c r="J2" s="4">
        <f>F2</f>
        <v>1013333.3333333334</v>
      </c>
      <c r="K2" s="4">
        <f>G2</f>
        <v>1013333.3333333334</v>
      </c>
      <c r="L2" s="4"/>
      <c r="M2" s="4"/>
    </row>
    <row r="3" spans="1:13" x14ac:dyDescent="0.2">
      <c r="A3" s="58" t="s">
        <v>135</v>
      </c>
      <c r="B3" s="4"/>
      <c r="C3" s="4"/>
      <c r="D3" s="4"/>
      <c r="E3" s="4"/>
      <c r="F3" s="4"/>
      <c r="G3" s="4"/>
      <c r="H3" s="4"/>
      <c r="I3" s="4"/>
      <c r="J3" s="4"/>
      <c r="K3" s="4"/>
      <c r="L3" s="4"/>
      <c r="M3" s="4"/>
    </row>
    <row r="4" spans="1:13" x14ac:dyDescent="0.2">
      <c r="A4" s="59" t="s">
        <v>136</v>
      </c>
      <c r="B4" s="4"/>
      <c r="C4" s="4"/>
      <c r="D4" s="4"/>
      <c r="E4" s="4"/>
      <c r="F4" s="4"/>
      <c r="G4" s="4">
        <f>'Financial Scenarios'!B9/2</f>
        <v>1000</v>
      </c>
      <c r="H4" s="4"/>
      <c r="I4" s="4"/>
      <c r="J4" s="4"/>
      <c r="K4" s="4">
        <f>G4</f>
        <v>1000</v>
      </c>
      <c r="L4" s="4"/>
      <c r="M4" s="4"/>
    </row>
    <row r="5" spans="1:13" x14ac:dyDescent="0.2">
      <c r="A5" s="1" t="s">
        <v>26</v>
      </c>
      <c r="B5" s="4"/>
      <c r="C5" s="4"/>
      <c r="D5" s="4"/>
      <c r="E5" s="4"/>
      <c r="F5" s="4"/>
      <c r="G5" s="4"/>
      <c r="H5" s="4"/>
      <c r="I5" s="4"/>
      <c r="J5" s="4"/>
      <c r="K5" s="4"/>
      <c r="L5" s="4"/>
      <c r="M5" s="4"/>
    </row>
    <row r="6" spans="1:13" x14ac:dyDescent="0.2">
      <c r="A6" s="59" t="s">
        <v>137</v>
      </c>
      <c r="B6" s="64"/>
      <c r="C6" s="4"/>
      <c r="D6" s="4"/>
      <c r="E6" s="4"/>
      <c r="F6" s="64">
        <f>'Financial Scenarios'!B11/2</f>
        <v>600000</v>
      </c>
      <c r="G6" s="4"/>
      <c r="H6" s="4"/>
      <c r="I6" s="4"/>
      <c r="J6" s="64">
        <f>F6</f>
        <v>600000</v>
      </c>
      <c r="K6" s="4"/>
      <c r="L6" s="4"/>
      <c r="M6" s="4"/>
    </row>
    <row r="7" spans="1:13" x14ac:dyDescent="0.2">
      <c r="A7" s="59" t="s">
        <v>138</v>
      </c>
      <c r="B7" s="4">
        <f>'Financial Scenarios'!B12/2</f>
        <v>80000</v>
      </c>
      <c r="C7" s="4"/>
      <c r="D7" s="4"/>
      <c r="E7" s="4"/>
      <c r="F7" s="4">
        <f t="shared" ref="F7:F9" si="0">B7</f>
        <v>80000</v>
      </c>
      <c r="G7" s="4"/>
      <c r="H7" s="4"/>
      <c r="I7" s="4"/>
      <c r="J7" s="4"/>
      <c r="K7" s="4"/>
      <c r="L7" s="4"/>
      <c r="M7" s="4"/>
    </row>
    <row r="8" spans="1:13" x14ac:dyDescent="0.2">
      <c r="A8" s="59" t="s">
        <v>139</v>
      </c>
      <c r="B8" s="4">
        <f>'Financial Scenarios'!B13/2</f>
        <v>440000</v>
      </c>
      <c r="C8" s="4"/>
      <c r="D8" s="4"/>
      <c r="E8" s="4"/>
      <c r="F8" s="4">
        <f t="shared" si="0"/>
        <v>440000</v>
      </c>
      <c r="G8" s="4"/>
      <c r="H8" s="4"/>
      <c r="I8" s="4"/>
      <c r="J8" s="4"/>
      <c r="K8" s="4"/>
      <c r="L8" s="4"/>
      <c r="M8" s="4"/>
    </row>
    <row r="9" spans="1:13" x14ac:dyDescent="0.2">
      <c r="A9" s="10" t="s">
        <v>140</v>
      </c>
      <c r="B9" s="4">
        <f>'Financial Scenarios'!B14/2</f>
        <v>16000</v>
      </c>
      <c r="C9" s="4"/>
      <c r="D9" s="4"/>
      <c r="E9" s="4"/>
      <c r="F9" s="4">
        <f t="shared" si="0"/>
        <v>16000</v>
      </c>
      <c r="G9" s="4"/>
      <c r="H9" s="4"/>
      <c r="I9" s="4"/>
      <c r="J9" s="4"/>
      <c r="K9" s="4"/>
      <c r="L9" s="4"/>
      <c r="M9" s="4"/>
    </row>
    <row r="10" spans="1:13" x14ac:dyDescent="0.2">
      <c r="A10" s="10" t="s">
        <v>141</v>
      </c>
      <c r="B10" s="4"/>
      <c r="C10" s="4"/>
      <c r="D10" s="4"/>
      <c r="E10" s="4">
        <f>'Financial Scenarios'!B15/2/3</f>
        <v>80000</v>
      </c>
      <c r="F10" s="4">
        <f>E10</f>
        <v>80000</v>
      </c>
      <c r="G10" s="4">
        <f>F10</f>
        <v>80000</v>
      </c>
      <c r="H10" s="4"/>
      <c r="I10" s="4"/>
      <c r="J10" s="4">
        <f>G10</f>
        <v>80000</v>
      </c>
      <c r="K10" s="4">
        <f>J10</f>
        <v>80000</v>
      </c>
      <c r="L10" s="4">
        <f>K10</f>
        <v>80000</v>
      </c>
      <c r="M10" s="4"/>
    </row>
    <row r="11" spans="1:13" x14ac:dyDescent="0.2">
      <c r="A11" s="10" t="s">
        <v>142</v>
      </c>
      <c r="B11" s="4"/>
      <c r="C11" s="4"/>
      <c r="D11" s="4"/>
      <c r="E11" s="4">
        <f>'Financial Scenarios'!B16/2</f>
        <v>40000</v>
      </c>
      <c r="F11" s="4"/>
      <c r="G11" s="4"/>
      <c r="H11" s="4"/>
      <c r="I11" s="4"/>
      <c r="J11" s="4">
        <f>E11</f>
        <v>40000</v>
      </c>
      <c r="K11" s="4"/>
      <c r="L11" s="4"/>
      <c r="M11" s="4"/>
    </row>
    <row r="12" spans="1:13" x14ac:dyDescent="0.2">
      <c r="A12" s="10" t="s">
        <v>143</v>
      </c>
      <c r="B12" s="4"/>
      <c r="C12" s="4"/>
      <c r="D12" s="4"/>
      <c r="E12" s="4">
        <f>'Financial Scenarios'!B17/2</f>
        <v>80000</v>
      </c>
      <c r="F12" s="4"/>
      <c r="G12" s="4"/>
      <c r="H12" s="4"/>
      <c r="I12" s="4"/>
      <c r="J12" s="4">
        <f>E12</f>
        <v>80000</v>
      </c>
      <c r="K12" s="4"/>
      <c r="L12" s="4"/>
      <c r="M12" s="4"/>
    </row>
    <row r="13" spans="1:13" x14ac:dyDescent="0.2">
      <c r="A13" s="10" t="s">
        <v>144</v>
      </c>
      <c r="B13" s="4">
        <f>SUM(B6:B12,B4)</f>
        <v>536000</v>
      </c>
      <c r="C13" s="4">
        <f t="shared" ref="C13:M13" si="1">SUM(C6:C12,C4)</f>
        <v>0</v>
      </c>
      <c r="D13" s="4">
        <f t="shared" si="1"/>
        <v>0</v>
      </c>
      <c r="E13" s="4">
        <f t="shared" si="1"/>
        <v>200000</v>
      </c>
      <c r="F13" s="4">
        <f t="shared" si="1"/>
        <v>1216000</v>
      </c>
      <c r="G13" s="4">
        <f t="shared" si="1"/>
        <v>81000</v>
      </c>
      <c r="H13" s="4">
        <f t="shared" si="1"/>
        <v>0</v>
      </c>
      <c r="I13" s="4">
        <f t="shared" si="1"/>
        <v>0</v>
      </c>
      <c r="J13" s="4">
        <f t="shared" si="1"/>
        <v>800000</v>
      </c>
      <c r="K13" s="4">
        <f t="shared" si="1"/>
        <v>81000</v>
      </c>
      <c r="L13" s="4">
        <f t="shared" si="1"/>
        <v>80000</v>
      </c>
      <c r="M13" s="4">
        <f t="shared" si="1"/>
        <v>0</v>
      </c>
    </row>
    <row r="14" spans="1:13" x14ac:dyDescent="0.2">
      <c r="A14" s="10" t="s">
        <v>168</v>
      </c>
      <c r="B14" s="4">
        <f t="shared" ref="B14:M14" si="2">B2-B13</f>
        <v>-536000</v>
      </c>
      <c r="C14" s="4">
        <f t="shared" si="2"/>
        <v>0</v>
      </c>
      <c r="D14" s="4">
        <f t="shared" si="2"/>
        <v>0</v>
      </c>
      <c r="E14" s="4">
        <f t="shared" si="2"/>
        <v>813333.33333333337</v>
      </c>
      <c r="F14" s="4">
        <f t="shared" si="2"/>
        <v>-202666.66666666663</v>
      </c>
      <c r="G14" s="4">
        <f t="shared" si="2"/>
        <v>932333.33333333337</v>
      </c>
      <c r="H14" s="4">
        <f t="shared" si="2"/>
        <v>0</v>
      </c>
      <c r="I14" s="4">
        <f t="shared" si="2"/>
        <v>1013333.3333333334</v>
      </c>
      <c r="J14" s="4">
        <f t="shared" si="2"/>
        <v>213333.33333333337</v>
      </c>
      <c r="K14" s="4">
        <f t="shared" si="2"/>
        <v>932333.33333333337</v>
      </c>
      <c r="L14" s="4">
        <f t="shared" si="2"/>
        <v>-80000</v>
      </c>
      <c r="M14" s="4">
        <f t="shared" si="2"/>
        <v>0</v>
      </c>
    </row>
    <row r="15" spans="1:13" x14ac:dyDescent="0.2">
      <c r="A15" s="10" t="s">
        <v>169</v>
      </c>
      <c r="B15" s="65">
        <f>B14</f>
        <v>-536000</v>
      </c>
      <c r="C15" s="65">
        <f>B15+C14</f>
        <v>-536000</v>
      </c>
      <c r="D15" s="65">
        <f t="shared" ref="D15:M15" si="3">C15+D14</f>
        <v>-536000</v>
      </c>
      <c r="E15" s="4">
        <f t="shared" si="3"/>
        <v>277333.33333333337</v>
      </c>
      <c r="F15" s="4">
        <f t="shared" si="3"/>
        <v>74666.666666666744</v>
      </c>
      <c r="G15" s="4">
        <f t="shared" si="3"/>
        <v>1007000.0000000001</v>
      </c>
      <c r="H15" s="4">
        <f t="shared" si="3"/>
        <v>1007000.0000000001</v>
      </c>
      <c r="I15" s="4">
        <f t="shared" si="3"/>
        <v>2020333.3333333335</v>
      </c>
      <c r="J15" s="4">
        <f t="shared" si="3"/>
        <v>2233666.666666667</v>
      </c>
      <c r="K15" s="4">
        <f t="shared" si="3"/>
        <v>3166000.0000000005</v>
      </c>
      <c r="L15" s="4">
        <f t="shared" si="3"/>
        <v>3086000.0000000005</v>
      </c>
      <c r="M15" s="4">
        <f t="shared" si="3"/>
        <v>3086000.0000000005</v>
      </c>
    </row>
    <row r="16" spans="1:13" x14ac:dyDescent="0.2">
      <c r="A16" s="1"/>
      <c r="B16" s="4"/>
      <c r="C16" s="4"/>
      <c r="D16" s="4"/>
      <c r="E16" s="4"/>
      <c r="F16" s="4"/>
      <c r="G16" s="4"/>
      <c r="H16" s="4"/>
      <c r="I16" s="4"/>
      <c r="J16" s="4"/>
      <c r="K16" s="4"/>
      <c r="L16" s="4"/>
      <c r="M16" s="4"/>
    </row>
    <row r="17" spans="1:13" x14ac:dyDescent="0.2">
      <c r="A17" s="10" t="s">
        <v>170</v>
      </c>
      <c r="B17" s="4"/>
      <c r="C17" s="4"/>
      <c r="D17" s="4"/>
      <c r="E17" s="4"/>
      <c r="F17" s="4">
        <f>'Financial Scenarios'!B31/2</f>
        <v>566673.06999999995</v>
      </c>
      <c r="G17" s="4"/>
      <c r="H17" s="4"/>
      <c r="I17" s="4"/>
      <c r="J17" s="4"/>
      <c r="K17" s="4">
        <f>F17</f>
        <v>566673.06999999995</v>
      </c>
      <c r="L17" s="4"/>
      <c r="M17" s="4"/>
    </row>
    <row r="18" spans="1:13" x14ac:dyDescent="0.2">
      <c r="A18" s="10" t="s">
        <v>168</v>
      </c>
      <c r="B18" s="4">
        <f>B14-B17</f>
        <v>-536000</v>
      </c>
      <c r="C18" s="4">
        <f t="shared" ref="C18:M18" si="4">C14-C17</f>
        <v>0</v>
      </c>
      <c r="D18" s="4">
        <f t="shared" si="4"/>
        <v>0</v>
      </c>
      <c r="E18" s="4">
        <f t="shared" si="4"/>
        <v>813333.33333333337</v>
      </c>
      <c r="F18" s="4">
        <f t="shared" si="4"/>
        <v>-769339.73666666658</v>
      </c>
      <c r="G18" s="4">
        <f t="shared" si="4"/>
        <v>932333.33333333337</v>
      </c>
      <c r="H18" s="4">
        <f t="shared" si="4"/>
        <v>0</v>
      </c>
      <c r="I18" s="4">
        <f t="shared" si="4"/>
        <v>1013333.3333333334</v>
      </c>
      <c r="J18" s="4">
        <f t="shared" si="4"/>
        <v>213333.33333333337</v>
      </c>
      <c r="K18" s="4">
        <f t="shared" si="4"/>
        <v>365660.26333333342</v>
      </c>
      <c r="L18" s="4">
        <f t="shared" si="4"/>
        <v>-80000</v>
      </c>
      <c r="M18" s="4">
        <f t="shared" si="4"/>
        <v>0</v>
      </c>
    </row>
    <row r="19" spans="1:13" x14ac:dyDescent="0.2">
      <c r="A19" s="10" t="s">
        <v>169</v>
      </c>
      <c r="B19" s="65">
        <f>B18</f>
        <v>-536000</v>
      </c>
      <c r="C19" s="65">
        <f>B19+C18</f>
        <v>-536000</v>
      </c>
      <c r="D19" s="65">
        <f t="shared" ref="D19:M19" si="5">C19+D18</f>
        <v>-536000</v>
      </c>
      <c r="E19" s="4">
        <f t="shared" si="5"/>
        <v>277333.33333333337</v>
      </c>
      <c r="F19" s="65">
        <f t="shared" si="5"/>
        <v>-492006.4033333332</v>
      </c>
      <c r="G19" s="4">
        <f t="shared" si="5"/>
        <v>440326.93000000017</v>
      </c>
      <c r="H19" s="4">
        <f t="shared" si="5"/>
        <v>440326.93000000017</v>
      </c>
      <c r="I19" s="4">
        <f t="shared" si="5"/>
        <v>1453660.2633333337</v>
      </c>
      <c r="J19" s="4">
        <f t="shared" si="5"/>
        <v>1666993.5966666671</v>
      </c>
      <c r="K19" s="4">
        <f t="shared" si="5"/>
        <v>2032653.8600000006</v>
      </c>
      <c r="L19" s="4">
        <f t="shared" si="5"/>
        <v>1952653.8600000006</v>
      </c>
      <c r="M19" s="4">
        <f t="shared" si="5"/>
        <v>1952653.8600000006</v>
      </c>
    </row>
    <row r="20" spans="1:13" x14ac:dyDescent="0.2">
      <c r="A20" s="10" t="s">
        <v>171</v>
      </c>
      <c r="B20" s="4"/>
      <c r="C20" s="4"/>
      <c r="D20" s="4"/>
      <c r="E20" s="4"/>
      <c r="F20" s="4">
        <f>'Financial Scenarios'!B51/2</f>
        <v>340003.84199999995</v>
      </c>
      <c r="G20" s="4"/>
      <c r="H20" s="4"/>
      <c r="I20" s="4"/>
      <c r="J20" s="4"/>
      <c r="K20" s="4">
        <f>'Yearly Cash Flow'!F20</f>
        <v>340003.84199999995</v>
      </c>
      <c r="L20" s="4"/>
      <c r="M20" s="4"/>
    </row>
    <row r="21" spans="1:13" x14ac:dyDescent="0.2">
      <c r="A21" s="10" t="s">
        <v>168</v>
      </c>
      <c r="B21" s="4">
        <f>B14-B20</f>
        <v>-536000</v>
      </c>
      <c r="C21" s="4">
        <f t="shared" ref="C21:M21" si="6">C14-C20</f>
        <v>0</v>
      </c>
      <c r="D21" s="4">
        <f t="shared" si="6"/>
        <v>0</v>
      </c>
      <c r="E21" s="4">
        <f t="shared" si="6"/>
        <v>813333.33333333337</v>
      </c>
      <c r="F21" s="4">
        <f t="shared" si="6"/>
        <v>-542670.50866666657</v>
      </c>
      <c r="G21" s="4">
        <f t="shared" si="6"/>
        <v>932333.33333333337</v>
      </c>
      <c r="H21" s="4">
        <f t="shared" si="6"/>
        <v>0</v>
      </c>
      <c r="I21" s="4">
        <f t="shared" si="6"/>
        <v>1013333.3333333334</v>
      </c>
      <c r="J21" s="4">
        <f t="shared" si="6"/>
        <v>213333.33333333337</v>
      </c>
      <c r="K21" s="4">
        <f t="shared" si="6"/>
        <v>592329.49133333343</v>
      </c>
      <c r="L21" s="4">
        <f t="shared" si="6"/>
        <v>-80000</v>
      </c>
      <c r="M21" s="4">
        <f t="shared" si="6"/>
        <v>0</v>
      </c>
    </row>
    <row r="22" spans="1:13" x14ac:dyDescent="0.2">
      <c r="A22" s="10" t="s">
        <v>169</v>
      </c>
      <c r="B22" s="65">
        <f>B21</f>
        <v>-536000</v>
      </c>
      <c r="C22" s="65">
        <f>B22+C21</f>
        <v>-536000</v>
      </c>
      <c r="D22" s="65">
        <f t="shared" ref="D22:M22" si="7">C22+D21</f>
        <v>-536000</v>
      </c>
      <c r="E22" s="4">
        <f t="shared" si="7"/>
        <v>277333.33333333337</v>
      </c>
      <c r="F22" s="65">
        <f t="shared" si="7"/>
        <v>-265337.1753333332</v>
      </c>
      <c r="G22" s="4">
        <f t="shared" si="7"/>
        <v>666996.15800000017</v>
      </c>
      <c r="H22" s="4">
        <f t="shared" si="7"/>
        <v>666996.15800000017</v>
      </c>
      <c r="I22" s="4">
        <f t="shared" si="7"/>
        <v>1680329.4913333335</v>
      </c>
      <c r="J22" s="4">
        <f t="shared" si="7"/>
        <v>1893662.8246666668</v>
      </c>
      <c r="K22" s="4">
        <f t="shared" si="7"/>
        <v>2485992.3160000001</v>
      </c>
      <c r="L22" s="4">
        <f t="shared" si="7"/>
        <v>2405992.3160000001</v>
      </c>
      <c r="M22" s="4">
        <f t="shared" si="7"/>
        <v>2405992.3160000001</v>
      </c>
    </row>
    <row r="23" spans="1:13" x14ac:dyDescent="0.2">
      <c r="A23" s="1" t="s">
        <v>172</v>
      </c>
      <c r="B23" s="4"/>
      <c r="C23" s="4"/>
      <c r="D23" s="4"/>
      <c r="E23" s="4"/>
      <c r="F23" s="4">
        <f>'Financial Scenarios'!B81/2</f>
        <v>602673.47680000006</v>
      </c>
      <c r="G23" s="4"/>
      <c r="H23" s="4"/>
      <c r="I23" s="4"/>
      <c r="J23" s="4"/>
      <c r="K23" s="4">
        <f>F23</f>
        <v>602673.47680000006</v>
      </c>
      <c r="L23" s="4"/>
      <c r="M23" s="4"/>
    </row>
    <row r="24" spans="1:13" x14ac:dyDescent="0.2">
      <c r="A24" s="10" t="s">
        <v>168</v>
      </c>
      <c r="B24" s="4">
        <f>B14-B23</f>
        <v>-536000</v>
      </c>
      <c r="C24" s="4">
        <f t="shared" ref="C24:M24" si="8">C14-C23</f>
        <v>0</v>
      </c>
      <c r="D24" s="4">
        <f t="shared" si="8"/>
        <v>0</v>
      </c>
      <c r="E24" s="4">
        <f t="shared" si="8"/>
        <v>813333.33333333337</v>
      </c>
      <c r="F24" s="4">
        <f t="shared" si="8"/>
        <v>-805340.14346666669</v>
      </c>
      <c r="G24" s="4">
        <f t="shared" si="8"/>
        <v>932333.33333333337</v>
      </c>
      <c r="H24" s="4">
        <f t="shared" si="8"/>
        <v>0</v>
      </c>
      <c r="I24" s="4">
        <f t="shared" si="8"/>
        <v>1013333.3333333334</v>
      </c>
      <c r="J24" s="4">
        <f t="shared" si="8"/>
        <v>213333.33333333337</v>
      </c>
      <c r="K24" s="4">
        <f t="shared" si="8"/>
        <v>329659.85653333331</v>
      </c>
      <c r="L24" s="4">
        <f t="shared" si="8"/>
        <v>-80000</v>
      </c>
      <c r="M24" s="4">
        <f t="shared" si="8"/>
        <v>0</v>
      </c>
    </row>
    <row r="25" spans="1:13" x14ac:dyDescent="0.2">
      <c r="A25" s="10" t="s">
        <v>169</v>
      </c>
      <c r="B25" s="65">
        <f>B24</f>
        <v>-536000</v>
      </c>
      <c r="C25" s="65">
        <f>B25+C24</f>
        <v>-536000</v>
      </c>
      <c r="D25" s="65">
        <f t="shared" ref="D25:M25" si="9">C25+D24</f>
        <v>-536000</v>
      </c>
      <c r="E25" s="4">
        <f t="shared" si="9"/>
        <v>277333.33333333337</v>
      </c>
      <c r="F25" s="65">
        <f t="shared" si="9"/>
        <v>-528006.81013333332</v>
      </c>
      <c r="G25" s="4">
        <f t="shared" si="9"/>
        <v>404326.52320000005</v>
      </c>
      <c r="H25" s="4">
        <f t="shared" si="9"/>
        <v>404326.52320000005</v>
      </c>
      <c r="I25" s="4">
        <f t="shared" si="9"/>
        <v>1417659.8565333334</v>
      </c>
      <c r="J25" s="4">
        <f t="shared" si="9"/>
        <v>1630993.1898666667</v>
      </c>
      <c r="K25" s="4">
        <f t="shared" si="9"/>
        <v>1960653.0463999999</v>
      </c>
      <c r="L25" s="4">
        <f t="shared" si="9"/>
        <v>1880653.0463999999</v>
      </c>
      <c r="M25" s="4">
        <f t="shared" si="9"/>
        <v>1880653.0463999999</v>
      </c>
    </row>
    <row r="28" spans="1:13" x14ac:dyDescent="0.2">
      <c r="A28" s="63" t="s">
        <v>173</v>
      </c>
    </row>
  </sheetData>
  <pageMargins left="0.7" right="0.7" top="0.75" bottom="0.75" header="0.3" footer="0.3"/>
  <pageSetup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 and Intro </vt:lpstr>
      <vt:lpstr>Data for business model </vt:lpstr>
      <vt:lpstr>Actual Financial Scenario</vt:lpstr>
      <vt:lpstr>Explanation financial scenarios</vt:lpstr>
      <vt:lpstr>Financial Scenarios</vt:lpstr>
      <vt:lpstr>Yearly Cash Flow</vt:lpstr>
      <vt:lpstr>'Yearly Cash Flow'!Print_Area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Sharone Molly</cp:lastModifiedBy>
  <dcterms:created xsi:type="dcterms:W3CDTF">2024-08-06T10:20:26Z</dcterms:created>
  <dcterms:modified xsi:type="dcterms:W3CDTF">2024-12-18T11:18:58Z</dcterms:modified>
</cp:coreProperties>
</file>