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C:\Users\Ken\Desktop\Tonga feasibility package\"/>
    </mc:Choice>
  </mc:AlternateContent>
  <xr:revisionPtr revIDLastSave="0" documentId="13_ncr:1_{24D7BFE7-5B06-48E7-A31F-E9FA6F93C981}" xr6:coauthVersionLast="46" xr6:coauthVersionMax="46" xr10:uidLastSave="{00000000-0000-0000-0000-000000000000}"/>
  <bookViews>
    <workbookView xWindow="-120" yWindow="-120" windowWidth="20730" windowHeight="11160" xr2:uid="{00000000-000D-0000-FFFF-FFFF00000000}"/>
  </bookViews>
  <sheets>
    <sheet name="Cover" sheetId="4" r:id="rId1"/>
    <sheet name="Baseline calcs " sheetId="1" r:id="rId2"/>
    <sheet name="Crude oil comparison1" sheetId="13" r:id="rId3"/>
    <sheet name="Crude oil comparison2" sheetId="16" r:id="rId4"/>
    <sheet name="Crude oil comparison3" sheetId="19" r:id="rId5"/>
    <sheet name="2017 &amp; 2030 Energy flows" sheetId="20" r:id="rId6"/>
    <sheet name=" HTG silage strategic reserve" sheetId="15" r:id="rId7"/>
    <sheet name="Model inputs " sheetId="22" r:id="rId8"/>
    <sheet name="Tonnes and Hectares of HTG" sheetId="21" r:id="rId9"/>
    <sheet name="CAPEX Perspectives" sheetId="17" r:id="rId10"/>
    <sheet name="CAPEX" sheetId="25" r:id="rId11"/>
    <sheet name="Economic Model " sheetId="24" r:id="rId12"/>
  </sheets>
  <externalReferences>
    <externalReference r:id="rId13"/>
  </externalReferences>
  <definedNames>
    <definedName name="CURRENTYEAR" localSheetId="11">#REF!</definedName>
    <definedName name="CURRENTYEAR">#REF!</definedName>
    <definedName name="jan" localSheetId="11">#REF!</definedName>
    <definedName name="jan">#REF!</definedName>
    <definedName name="LOOKUPMTH" localSheetId="11">#REF!</definedName>
    <definedName name="LOOKUPMTH">#REF!</definedName>
    <definedName name="Month" localSheetId="11">#REF!</definedName>
    <definedName name="Mont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22" l="1"/>
  <c r="C12" i="25" l="1"/>
  <c r="D12" i="25" s="1"/>
  <c r="C10" i="25"/>
  <c r="D10" i="25" s="1"/>
  <c r="C8" i="25"/>
  <c r="C6" i="25"/>
  <c r="D6" i="25" s="1"/>
  <c r="C16" i="25" s="1"/>
  <c r="C4" i="25"/>
  <c r="C13" i="25" l="1"/>
  <c r="C14" i="25" s="1"/>
  <c r="B55" i="24"/>
  <c r="C15" i="25" l="1"/>
  <c r="B40" i="24"/>
  <c r="B71" i="24"/>
  <c r="B68" i="24"/>
  <c r="B65" i="24"/>
  <c r="B59" i="24"/>
  <c r="A97" i="24"/>
  <c r="H62" i="24"/>
  <c r="G60" i="24"/>
  <c r="H52" i="24"/>
  <c r="H48" i="24"/>
  <c r="R35" i="24"/>
  <c r="M35" i="24"/>
  <c r="K33" i="24"/>
  <c r="I34" i="24" s="1"/>
  <c r="B25" i="24"/>
  <c r="B24" i="24"/>
  <c r="B23" i="24"/>
  <c r="B22" i="24"/>
  <c r="B21" i="24"/>
  <c r="C12" i="24"/>
  <c r="C11" i="24"/>
  <c r="B97" i="24" s="1"/>
  <c r="C17" i="25" l="1"/>
  <c r="B6" i="24" s="1"/>
  <c r="H49" i="24"/>
  <c r="D11" i="24"/>
  <c r="C97" i="24" s="1"/>
  <c r="B42" i="24"/>
  <c r="D12" i="24"/>
  <c r="E12" i="24" s="1"/>
  <c r="F12" i="24" s="1"/>
  <c r="G12" i="24" s="1"/>
  <c r="H12" i="24" s="1"/>
  <c r="I12" i="24" s="1"/>
  <c r="J12" i="24" s="1"/>
  <c r="K12" i="24" s="1"/>
  <c r="L12" i="24" s="1"/>
  <c r="M12" i="24" s="1"/>
  <c r="N12" i="24" s="1"/>
  <c r="O12" i="24" s="1"/>
  <c r="P12" i="24" s="1"/>
  <c r="Q12" i="24" s="1"/>
  <c r="R12" i="24" s="1"/>
  <c r="S12" i="24" s="1"/>
  <c r="T12" i="24" s="1"/>
  <c r="U12" i="24" s="1"/>
  <c r="V12" i="24" s="1"/>
  <c r="E11" i="24" l="1"/>
  <c r="F11" i="24" s="1"/>
  <c r="D97" i="24" l="1"/>
  <c r="E97" i="24"/>
  <c r="G11" i="24"/>
  <c r="F97" i="24" l="1"/>
  <c r="H11" i="24"/>
  <c r="G97" i="24" l="1"/>
  <c r="I11" i="24"/>
  <c r="J11" i="24" l="1"/>
  <c r="H97" i="24"/>
  <c r="I97" i="24" l="1"/>
  <c r="K11" i="24"/>
  <c r="J97" i="24" l="1"/>
  <c r="L11" i="24"/>
  <c r="K97" i="24" l="1"/>
  <c r="M11" i="24"/>
  <c r="L97" i="24" l="1"/>
  <c r="N11" i="24"/>
  <c r="M97" i="24" l="1"/>
  <c r="O11" i="24"/>
  <c r="N97" i="24" l="1"/>
  <c r="P11" i="24"/>
  <c r="O97" i="24" l="1"/>
  <c r="Q11" i="24"/>
  <c r="R11" i="24" l="1"/>
  <c r="P97" i="24"/>
  <c r="Q97" i="24" l="1"/>
  <c r="S11" i="24"/>
  <c r="R97" i="24" l="1"/>
  <c r="T11" i="24"/>
  <c r="S97" i="24" l="1"/>
  <c r="U11" i="24"/>
  <c r="T97" i="24" l="1"/>
  <c r="V11" i="24"/>
  <c r="U97" i="24" s="1"/>
  <c r="E30" i="22" l="1"/>
  <c r="E28" i="22" l="1"/>
  <c r="A39" i="22" s="1"/>
  <c r="E17" i="22"/>
  <c r="C17" i="22"/>
  <c r="G15" i="22"/>
  <c r="A22" i="22" s="1"/>
  <c r="A23" i="22" s="1"/>
  <c r="C49" i="22"/>
  <c r="A37" i="22" l="1"/>
  <c r="H41" i="24"/>
  <c r="H43" i="24" s="1"/>
  <c r="H50" i="24" s="1"/>
  <c r="G17" i="22"/>
  <c r="D19" i="22" s="1"/>
  <c r="A19" i="22"/>
  <c r="E22" i="22"/>
  <c r="C23" i="22" s="1"/>
  <c r="E23" i="22" s="1"/>
  <c r="B45" i="24" s="1"/>
  <c r="B47" i="24" s="1"/>
  <c r="C19" i="1"/>
  <c r="E19" i="1" s="1"/>
  <c r="C20" i="1"/>
  <c r="E20" i="1" s="1"/>
  <c r="C21" i="1"/>
  <c r="E21" i="1" s="1"/>
  <c r="C22" i="1"/>
  <c r="E22" i="1" s="1"/>
  <c r="C23" i="1"/>
  <c r="E23" i="1" s="1"/>
  <c r="C24" i="1"/>
  <c r="E24" i="1" s="1"/>
  <c r="C25" i="1"/>
  <c r="E25" i="1" s="1"/>
  <c r="C26" i="1"/>
  <c r="E26" i="1" s="1"/>
  <c r="C27" i="1"/>
  <c r="E27" i="1" s="1"/>
  <c r="C28" i="1"/>
  <c r="E28" i="1" s="1"/>
  <c r="C29" i="1"/>
  <c r="E29" i="1" s="1"/>
  <c r="C30" i="1"/>
  <c r="E30" i="1" s="1"/>
  <c r="C31" i="1"/>
  <c r="E31" i="1" s="1"/>
  <c r="C32" i="1"/>
  <c r="E32" i="1" s="1"/>
  <c r="C33" i="1"/>
  <c r="E33" i="1" s="1"/>
  <c r="C34" i="1"/>
  <c r="E34" i="1" s="1"/>
  <c r="C35" i="1"/>
  <c r="E35" i="1" s="1"/>
  <c r="A25" i="22" l="1"/>
  <c r="G19" i="22"/>
  <c r="E25" i="22"/>
  <c r="C26" i="22" s="1"/>
  <c r="A26" i="22"/>
  <c r="E26" i="22" s="1"/>
  <c r="B49" i="24" s="1"/>
  <c r="B51" i="24" s="1"/>
  <c r="G22" i="1"/>
  <c r="H22" i="1" s="1"/>
  <c r="J22" i="1" s="1"/>
  <c r="G30" i="1"/>
  <c r="H30" i="1" s="1"/>
  <c r="J30" i="1" s="1"/>
  <c r="G33" i="1"/>
  <c r="H33" i="1" s="1"/>
  <c r="J33" i="1" s="1"/>
  <c r="G29" i="1"/>
  <c r="H29" i="1" s="1"/>
  <c r="J29" i="1" s="1"/>
  <c r="G21" i="1"/>
  <c r="H21" i="1" s="1"/>
  <c r="J21" i="1" s="1"/>
  <c r="G28" i="1"/>
  <c r="H28" i="1" s="1"/>
  <c r="J28" i="1" s="1"/>
  <c r="G34" i="1"/>
  <c r="H34" i="1" s="1"/>
  <c r="J34" i="1" s="1"/>
  <c r="G26" i="1"/>
  <c r="H26" i="1" s="1"/>
  <c r="J26" i="1" s="1"/>
  <c r="G25" i="1"/>
  <c r="H25" i="1" s="1"/>
  <c r="J25" i="1" s="1"/>
  <c r="G32" i="1"/>
  <c r="H32" i="1" s="1"/>
  <c r="J32" i="1" s="1"/>
  <c r="G24" i="1"/>
  <c r="H24" i="1" s="1"/>
  <c r="J24" i="1" s="1"/>
  <c r="G19" i="1"/>
  <c r="H19" i="1" s="1"/>
  <c r="J19" i="1" s="1"/>
  <c r="G35" i="1"/>
  <c r="H35" i="1" s="1"/>
  <c r="J35" i="1" s="1"/>
  <c r="G31" i="1"/>
  <c r="H31" i="1" s="1"/>
  <c r="J31" i="1" s="1"/>
  <c r="G27" i="1"/>
  <c r="H27" i="1" s="1"/>
  <c r="J27" i="1" s="1"/>
  <c r="G23" i="1"/>
  <c r="H23" i="1" s="1"/>
  <c r="J23" i="1" s="1"/>
  <c r="G20" i="1"/>
  <c r="H20" i="1" s="1"/>
  <c r="J20" i="1" s="1"/>
  <c r="N35" i="1" l="1"/>
  <c r="K35" i="1"/>
  <c r="M35" i="1" s="1"/>
  <c r="N32" i="1"/>
  <c r="K32" i="1"/>
  <c r="M32" i="1" s="1"/>
  <c r="N30" i="1"/>
  <c r="K30" i="1"/>
  <c r="M30" i="1" s="1"/>
  <c r="N23" i="1"/>
  <c r="K23" i="1"/>
  <c r="M23" i="1" s="1"/>
  <c r="N19" i="1"/>
  <c r="K19" i="1"/>
  <c r="M19" i="1" s="1"/>
  <c r="N34" i="1"/>
  <c r="K34" i="1"/>
  <c r="M34" i="1" s="1"/>
  <c r="N29" i="1"/>
  <c r="K29" i="1"/>
  <c r="M29" i="1" s="1"/>
  <c r="N27" i="1"/>
  <c r="K27" i="1"/>
  <c r="M27" i="1" s="1"/>
  <c r="N25" i="1"/>
  <c r="K25" i="1"/>
  <c r="M25" i="1" s="1"/>
  <c r="N28" i="1"/>
  <c r="K28" i="1"/>
  <c r="M28" i="1" s="1"/>
  <c r="N24" i="1"/>
  <c r="K24" i="1"/>
  <c r="M24" i="1" s="1"/>
  <c r="N26" i="1"/>
  <c r="K26" i="1"/>
  <c r="M26" i="1" s="1"/>
  <c r="N31" i="1"/>
  <c r="K31" i="1"/>
  <c r="M31" i="1" s="1"/>
  <c r="N21" i="1"/>
  <c r="K21" i="1"/>
  <c r="M21" i="1" s="1"/>
  <c r="N33" i="1"/>
  <c r="K33" i="1"/>
  <c r="M33" i="1" s="1"/>
  <c r="N22" i="1"/>
  <c r="K22" i="1"/>
  <c r="M22" i="1" s="1"/>
  <c r="N20" i="1"/>
  <c r="K20" i="1"/>
  <c r="M20" i="1" s="1"/>
  <c r="C2" i="1" l="1"/>
  <c r="E2" i="1" s="1"/>
  <c r="A38" i="1"/>
  <c r="A2" i="22" s="1"/>
  <c r="C12" i="22" s="1"/>
  <c r="D38" i="1"/>
  <c r="D2" i="22" s="1"/>
  <c r="C45" i="22" s="1"/>
  <c r="M38" i="1"/>
  <c r="M2" i="22" s="1"/>
  <c r="G38" i="1"/>
  <c r="G2" i="22" s="1"/>
  <c r="C3" i="1"/>
  <c r="E3" i="1" s="1"/>
  <c r="C4" i="1"/>
  <c r="E4" i="1" s="1"/>
  <c r="C5" i="1"/>
  <c r="E5" i="1" s="1"/>
  <c r="C6" i="1"/>
  <c r="E6" i="1" s="1"/>
  <c r="G6" i="1" s="1"/>
  <c r="C7" i="1"/>
  <c r="E7" i="1" s="1"/>
  <c r="G7" i="1" s="1"/>
  <c r="C8" i="1"/>
  <c r="E8" i="1" s="1"/>
  <c r="G8" i="1" s="1"/>
  <c r="C9" i="1"/>
  <c r="E9" i="1" s="1"/>
  <c r="C10" i="1"/>
  <c r="E10" i="1" s="1"/>
  <c r="G10" i="1" s="1"/>
  <c r="C11" i="1"/>
  <c r="E11" i="1" s="1"/>
  <c r="C12" i="1"/>
  <c r="E12" i="1" s="1"/>
  <c r="C13" i="1"/>
  <c r="E13" i="1" s="1"/>
  <c r="G13" i="1" s="1"/>
  <c r="C14" i="1"/>
  <c r="E14" i="1" s="1"/>
  <c r="C15" i="1"/>
  <c r="E15" i="1" s="1"/>
  <c r="G15" i="1" s="1"/>
  <c r="C16" i="1"/>
  <c r="E16" i="1" s="1"/>
  <c r="C17" i="1"/>
  <c r="E17" i="1" s="1"/>
  <c r="G17" i="1" s="1"/>
  <c r="C18" i="1"/>
  <c r="E18" i="1" s="1"/>
  <c r="C4" i="22" l="1"/>
  <c r="C2" i="22"/>
  <c r="C6" i="22"/>
  <c r="C10" i="22"/>
  <c r="C47" i="22"/>
  <c r="E38" i="1"/>
  <c r="E2" i="22" s="1"/>
  <c r="G4" i="1"/>
  <c r="H4" i="1" s="1"/>
  <c r="J4" i="1" s="1"/>
  <c r="G11" i="1"/>
  <c r="H11" i="1" s="1"/>
  <c r="J11" i="1" s="1"/>
  <c r="G9" i="1"/>
  <c r="H9" i="1" s="1"/>
  <c r="J9" i="1" s="1"/>
  <c r="G16" i="1"/>
  <c r="H16" i="1" s="1"/>
  <c r="J16" i="1" s="1"/>
  <c r="G12" i="1"/>
  <c r="H12" i="1" s="1"/>
  <c r="J12" i="1" s="1"/>
  <c r="G14" i="1"/>
  <c r="H14" i="1" s="1"/>
  <c r="J14" i="1" s="1"/>
  <c r="G3" i="1"/>
  <c r="H3" i="1" s="1"/>
  <c r="J3" i="1" s="1"/>
  <c r="G18" i="1"/>
  <c r="H18" i="1" s="1"/>
  <c r="J18" i="1" s="1"/>
  <c r="N18" i="1" s="1"/>
  <c r="G5" i="1"/>
  <c r="H5" i="1" s="1"/>
  <c r="J5" i="1" s="1"/>
  <c r="G2" i="1"/>
  <c r="J38" i="1" s="1"/>
  <c r="J2" i="22" s="1"/>
  <c r="H38" i="1"/>
  <c r="H2" i="22" s="1"/>
  <c r="H15" i="1"/>
  <c r="J15" i="1" s="1"/>
  <c r="H10" i="1"/>
  <c r="J10" i="1" s="1"/>
  <c r="N10" i="1" s="1"/>
  <c r="C38" i="1"/>
  <c r="R21" i="13" s="1"/>
  <c r="H17" i="1"/>
  <c r="J17" i="1" s="1"/>
  <c r="H13" i="1"/>
  <c r="J13" i="1" s="1"/>
  <c r="N13" i="1" s="1"/>
  <c r="H8" i="1"/>
  <c r="J8" i="1" s="1"/>
  <c r="N8" i="1" s="1"/>
  <c r="H7" i="1"/>
  <c r="J7" i="1" s="1"/>
  <c r="H6" i="1"/>
  <c r="J6" i="1" s="1"/>
  <c r="N6" i="1" s="1"/>
  <c r="R18" i="13"/>
  <c r="K10" i="1" l="1"/>
  <c r="M10" i="1" s="1"/>
  <c r="N5" i="1"/>
  <c r="K5" i="1"/>
  <c r="M5" i="1" s="1"/>
  <c r="K4" i="1"/>
  <c r="M4" i="1" s="1"/>
  <c r="N4" i="1"/>
  <c r="N9" i="1"/>
  <c r="K9" i="1"/>
  <c r="M9" i="1" s="1"/>
  <c r="K12" i="1"/>
  <c r="M12" i="1" s="1"/>
  <c r="N12" i="1"/>
  <c r="K3" i="1"/>
  <c r="M3" i="1" s="1"/>
  <c r="N3" i="1"/>
  <c r="K17" i="1"/>
  <c r="M17" i="1" s="1"/>
  <c r="N17" i="1"/>
  <c r="K15" i="1"/>
  <c r="M15" i="1" s="1"/>
  <c r="N15" i="1"/>
  <c r="K7" i="1"/>
  <c r="M7" i="1" s="1"/>
  <c r="N7" i="1"/>
  <c r="K14" i="1"/>
  <c r="M14" i="1" s="1"/>
  <c r="N14" i="1"/>
  <c r="K16" i="1"/>
  <c r="M16" i="1" s="1"/>
  <c r="N16" i="1"/>
  <c r="K11" i="1"/>
  <c r="M11" i="1" s="1"/>
  <c r="N11" i="1"/>
  <c r="H2" i="1"/>
  <c r="K38" i="1" s="1"/>
  <c r="K2" i="22" s="1"/>
  <c r="I38" i="1"/>
  <c r="I2" i="22" s="1"/>
  <c r="F38" i="1"/>
  <c r="F2" i="22" s="1"/>
  <c r="K13" i="1"/>
  <c r="M13" i="1" s="1"/>
  <c r="K6" i="1"/>
  <c r="M6" i="1" s="1"/>
  <c r="K18" i="1"/>
  <c r="M18" i="1" s="1"/>
  <c r="K8" i="1"/>
  <c r="M8" i="1" s="1"/>
  <c r="L38" i="1" l="1"/>
  <c r="L2" i="22" s="1"/>
  <c r="J2" i="1"/>
  <c r="K2" i="1" s="1"/>
  <c r="M2" i="1" s="1"/>
  <c r="N2" i="1" l="1"/>
  <c r="N38" i="1"/>
  <c r="P38" i="1"/>
  <c r="P2" i="22" s="1"/>
  <c r="A4" i="22" l="1"/>
  <c r="G4" i="22" s="1"/>
  <c r="A6" i="22"/>
  <c r="G6" i="22" s="1"/>
  <c r="C8" i="22" s="1"/>
  <c r="R38" i="1"/>
  <c r="R2" i="22" s="1"/>
  <c r="A12" i="22" s="1"/>
  <c r="E12" i="22" s="1"/>
  <c r="A34" i="22" s="1"/>
  <c r="N2" i="22"/>
  <c r="A10" i="22" s="1"/>
  <c r="E10" i="22" s="1"/>
  <c r="D39" i="22" s="1"/>
  <c r="F39" i="22" s="1"/>
  <c r="C41" i="22" s="1"/>
  <c r="R19" i="13"/>
  <c r="O38" i="1"/>
  <c r="Q38" i="1"/>
  <c r="Q2" i="22" s="1"/>
  <c r="R24" i="13" l="1"/>
  <c r="R26" i="13" s="1"/>
  <c r="Q14" i="16" s="1"/>
  <c r="O2" i="22"/>
  <c r="D37" i="22"/>
  <c r="F37" i="22" s="1"/>
  <c r="A41" i="22" s="1"/>
  <c r="E41" i="22" s="1"/>
  <c r="A8" i="22"/>
  <c r="E8" i="22" s="1"/>
  <c r="A43" i="22" l="1"/>
  <c r="E43" i="22" s="1"/>
  <c r="A45" i="22" s="1"/>
  <c r="E45" i="22" s="1"/>
  <c r="A22" i="15" s="1"/>
  <c r="A49" i="22"/>
  <c r="E49" i="22" s="1"/>
  <c r="H39" i="24" s="1"/>
  <c r="A47" i="22"/>
  <c r="E47" i="22" s="1"/>
  <c r="C34" i="22"/>
  <c r="E34" i="22" s="1"/>
  <c r="B76" i="24" s="1"/>
  <c r="B78" i="24" s="1"/>
  <c r="C38" i="24" s="1"/>
  <c r="C13" i="24" s="1"/>
  <c r="K22" i="15"/>
  <c r="D13" i="24" l="1"/>
  <c r="B98" i="24"/>
  <c r="E22" i="21"/>
  <c r="E23" i="21" s="1"/>
  <c r="A30" i="22"/>
  <c r="G30" i="22" s="1"/>
  <c r="A32" i="22" s="1"/>
  <c r="E32" i="22" s="1"/>
  <c r="C98" i="24" l="1"/>
  <c r="E13" i="24"/>
  <c r="F13" i="24" l="1"/>
  <c r="D98" i="24"/>
  <c r="E98" i="24" l="1"/>
  <c r="G13" i="24"/>
  <c r="F98" i="24" l="1"/>
  <c r="H13" i="24"/>
  <c r="H57" i="24"/>
  <c r="H38" i="24"/>
  <c r="C14" i="24" s="1"/>
  <c r="B16" i="24"/>
  <c r="A101" i="24"/>
  <c r="B20" i="24"/>
  <c r="H61" i="24"/>
  <c r="B18" i="24"/>
  <c r="O43" i="24" l="1"/>
  <c r="N43" i="24" s="1"/>
  <c r="G100" i="24" s="1"/>
  <c r="P53" i="24"/>
  <c r="M53" i="24" s="1"/>
  <c r="P50" i="24"/>
  <c r="M50" i="24" s="1"/>
  <c r="O45" i="24"/>
  <c r="N45" i="24" s="1"/>
  <c r="I100" i="24" s="1"/>
  <c r="O48" i="24"/>
  <c r="N48" i="24" s="1"/>
  <c r="L100" i="24" s="1"/>
  <c r="O52" i="24"/>
  <c r="N52" i="24" s="1"/>
  <c r="P100" i="24" s="1"/>
  <c r="O38" i="24"/>
  <c r="N38" i="24" s="1"/>
  <c r="O53" i="24"/>
  <c r="N53" i="24" s="1"/>
  <c r="Q100" i="24" s="1"/>
  <c r="O50" i="24"/>
  <c r="N50" i="24" s="1"/>
  <c r="N100" i="24" s="1"/>
  <c r="O49" i="24"/>
  <c r="N49" i="24" s="1"/>
  <c r="M100" i="24" s="1"/>
  <c r="O51" i="24"/>
  <c r="N51" i="24" s="1"/>
  <c r="O100" i="24" s="1"/>
  <c r="P40" i="24"/>
  <c r="M40" i="24" s="1"/>
  <c r="P38" i="24"/>
  <c r="M38" i="24" s="1"/>
  <c r="P42" i="24"/>
  <c r="M42" i="24" s="1"/>
  <c r="O57" i="24"/>
  <c r="N57" i="24" s="1"/>
  <c r="U100" i="24" s="1"/>
  <c r="P44" i="24"/>
  <c r="M44" i="24" s="1"/>
  <c r="P51" i="24"/>
  <c r="M51" i="24" s="1"/>
  <c r="O47" i="24"/>
  <c r="N47" i="24" s="1"/>
  <c r="K100" i="24" s="1"/>
  <c r="O46" i="24"/>
  <c r="N46" i="24" s="1"/>
  <c r="J100" i="24" s="1"/>
  <c r="P45" i="24"/>
  <c r="M45" i="24" s="1"/>
  <c r="P49" i="24"/>
  <c r="M49" i="24" s="1"/>
  <c r="O56" i="24"/>
  <c r="N56" i="24" s="1"/>
  <c r="T100" i="24" s="1"/>
  <c r="P52" i="24"/>
  <c r="M52" i="24" s="1"/>
  <c r="O55" i="24"/>
  <c r="N55" i="24" s="1"/>
  <c r="S100" i="24" s="1"/>
  <c r="P41" i="24"/>
  <c r="M41" i="24" s="1"/>
  <c r="O41" i="24"/>
  <c r="N41" i="24" s="1"/>
  <c r="E100" i="24" s="1"/>
  <c r="O42" i="24"/>
  <c r="N42" i="24" s="1"/>
  <c r="F100" i="24" s="1"/>
  <c r="O44" i="24"/>
  <c r="N44" i="24" s="1"/>
  <c r="H100" i="24" s="1"/>
  <c r="P43" i="24"/>
  <c r="M43" i="24" s="1"/>
  <c r="O40" i="24"/>
  <c r="N40" i="24" s="1"/>
  <c r="D100" i="24" s="1"/>
  <c r="O54" i="24"/>
  <c r="N54" i="24" s="1"/>
  <c r="R100" i="24" s="1"/>
  <c r="P55" i="24"/>
  <c r="M55" i="24" s="1"/>
  <c r="O39" i="24"/>
  <c r="N39" i="24" s="1"/>
  <c r="C100" i="24" s="1"/>
  <c r="P56" i="24"/>
  <c r="M56" i="24" s="1"/>
  <c r="P57" i="24"/>
  <c r="M57" i="24" s="1"/>
  <c r="P39" i="24"/>
  <c r="M39" i="24" s="1"/>
  <c r="P47" i="24"/>
  <c r="M47" i="24" s="1"/>
  <c r="P48" i="24"/>
  <c r="M48" i="24" s="1"/>
  <c r="P54" i="24"/>
  <c r="M54" i="24" s="1"/>
  <c r="P46" i="24"/>
  <c r="M46" i="24" s="1"/>
  <c r="R57" i="24"/>
  <c r="R47" i="24"/>
  <c r="R43" i="24"/>
  <c r="R42" i="24"/>
  <c r="R38" i="24"/>
  <c r="S56" i="24"/>
  <c r="R48" i="24"/>
  <c r="S57" i="24"/>
  <c r="R40" i="24"/>
  <c r="S41" i="24"/>
  <c r="S45" i="24"/>
  <c r="S53" i="24"/>
  <c r="S47" i="24"/>
  <c r="R41" i="24"/>
  <c r="R39" i="24"/>
  <c r="R56" i="24"/>
  <c r="S49" i="24"/>
  <c r="R46" i="24"/>
  <c r="R50" i="24"/>
  <c r="S44" i="24"/>
  <c r="S52" i="24"/>
  <c r="R53" i="24"/>
  <c r="R54" i="24"/>
  <c r="S42" i="24"/>
  <c r="R45" i="24"/>
  <c r="S39" i="24"/>
  <c r="S51" i="24"/>
  <c r="S38" i="24"/>
  <c r="R52" i="24"/>
  <c r="R49" i="24"/>
  <c r="R55" i="24"/>
  <c r="R51" i="24"/>
  <c r="S50" i="24"/>
  <c r="S40" i="24"/>
  <c r="S46" i="24"/>
  <c r="S48" i="24"/>
  <c r="B28" i="24"/>
  <c r="S54" i="24"/>
  <c r="R44" i="24"/>
  <c r="S55" i="24"/>
  <c r="S43" i="24"/>
  <c r="G98" i="24"/>
  <c r="I13" i="24"/>
  <c r="B99" i="24"/>
  <c r="D14" i="24"/>
  <c r="H98" i="24" l="1"/>
  <c r="J13" i="24"/>
  <c r="T46" i="24"/>
  <c r="K17" i="24"/>
  <c r="T51" i="24"/>
  <c r="P17" i="24"/>
  <c r="T45" i="24"/>
  <c r="J17" i="24"/>
  <c r="D15" i="24"/>
  <c r="D16" i="24" s="1"/>
  <c r="Q39" i="24"/>
  <c r="I15" i="24"/>
  <c r="Q44" i="24"/>
  <c r="T40" i="24"/>
  <c r="E17" i="24"/>
  <c r="T41" i="24"/>
  <c r="F17" i="24"/>
  <c r="S15" i="24"/>
  <c r="Q54" i="24"/>
  <c r="N59" i="24"/>
  <c r="B100" i="24"/>
  <c r="B101" i="24" s="1"/>
  <c r="C99" i="24"/>
  <c r="C101" i="24" s="1"/>
  <c r="E14" i="24"/>
  <c r="O17" i="24"/>
  <c r="T50" i="24"/>
  <c r="T52" i="24"/>
  <c r="Q17" i="24"/>
  <c r="U15" i="24"/>
  <c r="Q56" i="24"/>
  <c r="G15" i="24"/>
  <c r="Q42" i="24"/>
  <c r="Q53" i="24"/>
  <c r="R15" i="24"/>
  <c r="Q46" i="24"/>
  <c r="K15" i="24"/>
  <c r="T15" i="24"/>
  <c r="Q55" i="24"/>
  <c r="Q45" i="24"/>
  <c r="J15" i="24"/>
  <c r="E15" i="24"/>
  <c r="Q40" i="24"/>
  <c r="T54" i="24"/>
  <c r="S17" i="24"/>
  <c r="T39" i="24"/>
  <c r="D17" i="24"/>
  <c r="U17" i="24"/>
  <c r="T56" i="24"/>
  <c r="Q57" i="24"/>
  <c r="V15" i="24"/>
  <c r="Q52" i="24"/>
  <c r="Q15" i="24"/>
  <c r="O15" i="24"/>
  <c r="Q50" i="24"/>
  <c r="T43" i="24"/>
  <c r="H17" i="24"/>
  <c r="T49" i="24"/>
  <c r="N17" i="24"/>
  <c r="L17" i="24"/>
  <c r="T47" i="24"/>
  <c r="R59" i="24"/>
  <c r="M15" i="24"/>
  <c r="Q48" i="24"/>
  <c r="T17" i="24"/>
  <c r="T55" i="24"/>
  <c r="T48" i="24"/>
  <c r="M17" i="24"/>
  <c r="S59" i="24"/>
  <c r="T38" i="24"/>
  <c r="C17" i="24"/>
  <c r="T42" i="24"/>
  <c r="G17" i="24"/>
  <c r="I17" i="24"/>
  <c r="T44" i="24"/>
  <c r="R17" i="24"/>
  <c r="T53" i="24"/>
  <c r="T57" i="24"/>
  <c r="V17" i="24"/>
  <c r="L15" i="24"/>
  <c r="Q47" i="24"/>
  <c r="Q43" i="24"/>
  <c r="H15" i="24"/>
  <c r="F15" i="24"/>
  <c r="Q41" i="24"/>
  <c r="N15" i="24"/>
  <c r="Q49" i="24"/>
  <c r="Q51" i="24"/>
  <c r="P15" i="24"/>
  <c r="M59" i="24"/>
  <c r="H59" i="24" s="1"/>
  <c r="C15" i="24"/>
  <c r="Q38" i="24"/>
  <c r="D18" i="24" l="1"/>
  <c r="D19" i="24" s="1"/>
  <c r="D21" i="24" s="1"/>
  <c r="Q59" i="24"/>
  <c r="W17" i="24"/>
  <c r="I98" i="24"/>
  <c r="K13" i="24"/>
  <c r="D99" i="24"/>
  <c r="D101" i="24" s="1"/>
  <c r="E16" i="24"/>
  <c r="E18" i="24" s="1"/>
  <c r="F14" i="24"/>
  <c r="W15" i="24"/>
  <c r="C16" i="24"/>
  <c r="C18" i="24" s="1"/>
  <c r="T59" i="24"/>
  <c r="D20" i="24" l="1"/>
  <c r="D22" i="24" s="1"/>
  <c r="D23" i="24" s="1"/>
  <c r="D25" i="24" s="1"/>
  <c r="E19" i="24"/>
  <c r="E21" i="24" s="1"/>
  <c r="C19" i="24"/>
  <c r="C21" i="24" s="1"/>
  <c r="J98" i="24"/>
  <c r="L13" i="24"/>
  <c r="F16" i="24"/>
  <c r="F18" i="24" s="1"/>
  <c r="E99" i="24"/>
  <c r="E101" i="24" s="1"/>
  <c r="G14" i="24"/>
  <c r="E20" i="24" l="1"/>
  <c r="E22" i="24" s="1"/>
  <c r="E23" i="24" s="1"/>
  <c r="E25" i="24" s="1"/>
  <c r="C20" i="24"/>
  <c r="C22" i="24" s="1"/>
  <c r="C23" i="24" s="1"/>
  <c r="F19" i="24"/>
  <c r="F21" i="24" s="1"/>
  <c r="F99" i="24"/>
  <c r="F101" i="24" s="1"/>
  <c r="H14" i="24"/>
  <c r="G16" i="24"/>
  <c r="G18" i="24" s="1"/>
  <c r="G19" i="24" s="1"/>
  <c r="K98" i="24"/>
  <c r="M13" i="24"/>
  <c r="F20" i="24" l="1"/>
  <c r="F22" i="24" s="1"/>
  <c r="F23" i="24" s="1"/>
  <c r="F25" i="24" s="1"/>
  <c r="C25" i="24"/>
  <c r="C24" i="24"/>
  <c r="G99" i="24"/>
  <c r="G101" i="24" s="1"/>
  <c r="I14" i="24"/>
  <c r="H16" i="24"/>
  <c r="H18" i="24" s="1"/>
  <c r="N13" i="24"/>
  <c r="L98" i="24"/>
  <c r="G20" i="24"/>
  <c r="G21" i="24"/>
  <c r="A95" i="24" l="1"/>
  <c r="D24" i="24"/>
  <c r="G22" i="24"/>
  <c r="G23" i="24" s="1"/>
  <c r="G25" i="24" s="1"/>
  <c r="H19" i="24"/>
  <c r="H21" i="24" s="1"/>
  <c r="M98" i="24"/>
  <c r="O13" i="24"/>
  <c r="H99" i="24"/>
  <c r="H101" i="24" s="1"/>
  <c r="J14" i="24"/>
  <c r="I16" i="24"/>
  <c r="I18" i="24" s="1"/>
  <c r="B95" i="24" l="1"/>
  <c r="E24" i="24"/>
  <c r="I99" i="24"/>
  <c r="I101" i="24" s="1"/>
  <c r="K14" i="24"/>
  <c r="J16" i="24"/>
  <c r="J18" i="24" s="1"/>
  <c r="N98" i="24"/>
  <c r="P13" i="24"/>
  <c r="H20" i="24"/>
  <c r="H22" i="24" s="1"/>
  <c r="H23" i="24" s="1"/>
  <c r="H25" i="24" s="1"/>
  <c r="I19" i="24"/>
  <c r="I21" i="24" s="1"/>
  <c r="I20" i="24" l="1"/>
  <c r="I22" i="24" s="1"/>
  <c r="I23" i="24" s="1"/>
  <c r="I25" i="24" s="1"/>
  <c r="C95" i="24"/>
  <c r="F24" i="24"/>
  <c r="J19" i="24"/>
  <c r="J21" i="24" s="1"/>
  <c r="L14" i="24"/>
  <c r="J99" i="24"/>
  <c r="J101" i="24" s="1"/>
  <c r="K16" i="24"/>
  <c r="K18" i="24" s="1"/>
  <c r="O98" i="24"/>
  <c r="Q13" i="24"/>
  <c r="J20" i="24" l="1"/>
  <c r="J22" i="24" s="1"/>
  <c r="J23" i="24" s="1"/>
  <c r="J25" i="24" s="1"/>
  <c r="D95" i="24"/>
  <c r="G24" i="24"/>
  <c r="P98" i="24"/>
  <c r="R13" i="24"/>
  <c r="M14" i="24"/>
  <c r="K99" i="24"/>
  <c r="K101" i="24" s="1"/>
  <c r="L16" i="24"/>
  <c r="L18" i="24" s="1"/>
  <c r="K19" i="24"/>
  <c r="K21" i="24" s="1"/>
  <c r="E95" i="24" l="1"/>
  <c r="H24" i="24"/>
  <c r="K20" i="24"/>
  <c r="K22" i="24" s="1"/>
  <c r="L99" i="24"/>
  <c r="L101" i="24" s="1"/>
  <c r="N14" i="24"/>
  <c r="M16" i="24"/>
  <c r="M18" i="24" s="1"/>
  <c r="Q98" i="24"/>
  <c r="S13" i="24"/>
  <c r="L19" i="24"/>
  <c r="L21" i="24" s="1"/>
  <c r="K23" i="24" l="1"/>
  <c r="K25" i="24" s="1"/>
  <c r="F95" i="24"/>
  <c r="I24" i="24"/>
  <c r="R98" i="24"/>
  <c r="T13" i="24"/>
  <c r="M99" i="24"/>
  <c r="M101" i="24" s="1"/>
  <c r="N16" i="24"/>
  <c r="N18" i="24" s="1"/>
  <c r="O14" i="24"/>
  <c r="L20" i="24"/>
  <c r="M19" i="24"/>
  <c r="M21" i="24" s="1"/>
  <c r="M20" i="24" l="1"/>
  <c r="M22" i="24" s="1"/>
  <c r="M23" i="24" s="1"/>
  <c r="M25" i="24" s="1"/>
  <c r="J24" i="24"/>
  <c r="G95" i="24"/>
  <c r="N19" i="24"/>
  <c r="N21" i="24" s="1"/>
  <c r="L22" i="24"/>
  <c r="L23" i="24" s="1"/>
  <c r="L25" i="24" s="1"/>
  <c r="S98" i="24"/>
  <c r="U13" i="24"/>
  <c r="P14" i="24"/>
  <c r="O16" i="24"/>
  <c r="O18" i="24" s="1"/>
  <c r="N99" i="24"/>
  <c r="N101" i="24" s="1"/>
  <c r="N20" i="24" l="1"/>
  <c r="N22" i="24" s="1"/>
  <c r="N23" i="24" s="1"/>
  <c r="N25" i="24" s="1"/>
  <c r="H95" i="24"/>
  <c r="K24" i="24"/>
  <c r="I95" i="24" s="1"/>
  <c r="O19" i="24"/>
  <c r="O21" i="24" s="1"/>
  <c r="O99" i="24"/>
  <c r="O101" i="24" s="1"/>
  <c r="P16" i="24"/>
  <c r="P18" i="24" s="1"/>
  <c r="Q14" i="24"/>
  <c r="V13" i="24"/>
  <c r="T98" i="24"/>
  <c r="L24" i="24" l="1"/>
  <c r="B34" i="24" s="1"/>
  <c r="O20" i="24"/>
  <c r="O22" i="24" s="1"/>
  <c r="O23" i="24" s="1"/>
  <c r="O25" i="24" s="1"/>
  <c r="J94" i="24"/>
  <c r="J85" i="24"/>
  <c r="P19" i="24"/>
  <c r="P21" i="24" s="1"/>
  <c r="U98" i="24"/>
  <c r="W13" i="24"/>
  <c r="R14" i="24"/>
  <c r="P99" i="24"/>
  <c r="P101" i="24" s="1"/>
  <c r="Q16" i="24"/>
  <c r="Q18" i="24" s="1"/>
  <c r="M24" i="24" l="1"/>
  <c r="N24" i="24" s="1"/>
  <c r="G34" i="24"/>
  <c r="L34" i="24" s="1"/>
  <c r="P20" i="24"/>
  <c r="P22" i="24" s="1"/>
  <c r="P23" i="24" s="1"/>
  <c r="O24" i="24"/>
  <c r="Q99" i="24"/>
  <c r="Q101" i="24" s="1"/>
  <c r="S14" i="24"/>
  <c r="R16" i="24"/>
  <c r="R18" i="24" s="1"/>
  <c r="Q19" i="24"/>
  <c r="Q21" i="24" s="1"/>
  <c r="Q20" i="24" l="1"/>
  <c r="Q22" i="24" s="1"/>
  <c r="Q23" i="24" s="1"/>
  <c r="Q25" i="24" s="1"/>
  <c r="P25" i="24"/>
  <c r="P24" i="24"/>
  <c r="R99" i="24"/>
  <c r="R101" i="24" s="1"/>
  <c r="T14" i="24"/>
  <c r="S16" i="24"/>
  <c r="S18" i="24" s="1"/>
  <c r="R19" i="24"/>
  <c r="R21" i="24" s="1"/>
  <c r="Q24" i="24" l="1"/>
  <c r="R20" i="24"/>
  <c r="R22" i="24" s="1"/>
  <c r="R23" i="24" s="1"/>
  <c r="R25" i="24" s="1"/>
  <c r="S99" i="24"/>
  <c r="S101" i="24" s="1"/>
  <c r="T16" i="24"/>
  <c r="U14" i="24"/>
  <c r="S19" i="24"/>
  <c r="S21" i="24" s="1"/>
  <c r="R24" i="24" l="1"/>
  <c r="S20" i="24"/>
  <c r="S22" i="24" s="1"/>
  <c r="S23" i="24" s="1"/>
  <c r="T18" i="24"/>
  <c r="T99" i="24"/>
  <c r="T101" i="24" s="1"/>
  <c r="V14" i="24"/>
  <c r="U16" i="24"/>
  <c r="U18" i="24" s="1"/>
  <c r="S24" i="24" l="1"/>
  <c r="S25" i="24"/>
  <c r="V16" i="24"/>
  <c r="V18" i="24" s="1"/>
  <c r="V19" i="24" s="1"/>
  <c r="U99" i="24"/>
  <c r="U101" i="24" s="1"/>
  <c r="A102" i="24" s="1"/>
  <c r="B33" i="24" s="1"/>
  <c r="T19" i="24"/>
  <c r="T20" i="24" s="1"/>
  <c r="U19" i="24"/>
  <c r="U21" i="24" s="1"/>
  <c r="W14" i="24"/>
  <c r="W18" i="24" l="1"/>
  <c r="W16" i="24"/>
  <c r="U20" i="24"/>
  <c r="U22" i="24" s="1"/>
  <c r="U23" i="24" s="1"/>
  <c r="U25" i="24" s="1"/>
  <c r="T22" i="24"/>
  <c r="T23" i="24" s="1"/>
  <c r="T21" i="24"/>
  <c r="W19" i="24"/>
  <c r="V20" i="24"/>
  <c r="V22" i="24" s="1"/>
  <c r="V23" i="24" s="1"/>
  <c r="V21" i="24"/>
  <c r="W21" i="24" l="1"/>
  <c r="B29" i="24" s="1"/>
  <c r="B30" i="24" s="1"/>
  <c r="W20" i="24"/>
  <c r="V25" i="24"/>
  <c r="T25" i="24"/>
  <c r="T24" i="24"/>
  <c r="U24" i="24" s="1"/>
  <c r="V24" i="24" s="1"/>
  <c r="W24" i="24" s="1"/>
  <c r="B31" i="24" l="1"/>
  <c r="W25" i="24"/>
  <c r="B32" i="24" s="1"/>
  <c r="D31" i="24" s="1"/>
  <c r="W22" i="24"/>
  <c r="W23" i="24" s="1"/>
  <c r="B27" i="24" l="1"/>
  <c r="H6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author>
  </authors>
  <commentList>
    <comment ref="A22" authorId="0" shapeId="0" xr:uid="{00000000-0006-0000-0600-000001000000}">
      <text>
        <r>
          <rPr>
            <b/>
            <sz val="9"/>
            <color indexed="81"/>
            <rFont val="Tahoma"/>
            <family val="2"/>
          </rPr>
          <t>Ken:</t>
        </r>
        <r>
          <rPr>
            <sz val="9"/>
            <color indexed="81"/>
            <rFont val="Tahoma"/>
            <family val="2"/>
          </rPr>
          <t xml:space="preserve">
</t>
        </r>
        <r>
          <rPr>
            <sz val="12"/>
            <color indexed="81"/>
            <rFont val="Verdana"/>
            <family val="2"/>
          </rPr>
          <t xml:space="preserve">Dry matter/day  </t>
        </r>
      </text>
    </comment>
    <comment ref="H22" authorId="0" shapeId="0" xr:uid="{00000000-0006-0000-0600-000002000000}">
      <text>
        <r>
          <rPr>
            <sz val="12"/>
            <color indexed="81"/>
            <rFont val="Verdana"/>
            <family val="2"/>
          </rPr>
          <t xml:space="preserve">Ken:
This relates to 370kg of dry-matter stored in each m3 of silage clamp space.
In Tonga, we would look to increase this dry-matter amount/m3 to further protect against aerobic degradation.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Sanita</author>
  </authors>
  <commentList>
    <comment ref="A17" authorId="0" shapeId="0" xr:uid="{00000000-0006-0000-0B00-000001000000}">
      <text>
        <r>
          <rPr>
            <b/>
            <sz val="9"/>
            <color indexed="81"/>
            <rFont val="Tahoma"/>
            <family val="2"/>
          </rPr>
          <t>Ken:</t>
        </r>
        <r>
          <rPr>
            <sz val="9"/>
            <color indexed="81"/>
            <rFont val="Tahoma"/>
            <family val="2"/>
          </rPr>
          <t xml:space="preserve">
</t>
        </r>
        <r>
          <rPr>
            <sz val="12"/>
            <color indexed="81"/>
            <rFont val="Verdana"/>
            <family val="2"/>
          </rPr>
          <t xml:space="preserve">This fixed portion of the return to equity investors equals what would have been paid to the debt financier had the equity investment been covered by debt financing. </t>
        </r>
      </text>
    </comment>
    <comment ref="A20" authorId="0" shapeId="0" xr:uid="{00000000-0006-0000-0B00-000002000000}">
      <text>
        <r>
          <rPr>
            <b/>
            <sz val="9"/>
            <color indexed="81"/>
            <rFont val="Tahoma"/>
            <family val="2"/>
          </rPr>
          <t xml:space="preserve">Ken:
</t>
        </r>
        <r>
          <rPr>
            <sz val="12"/>
            <color indexed="81"/>
            <rFont val="Verdana"/>
            <family val="2"/>
          </rPr>
          <t>The profit held over by the company will be determined by the directors of the company each year in consultation with the equity investors. This decision will be influenced by tax considerations and reinvestment considerations to grow the company.</t>
        </r>
      </text>
    </comment>
    <comment ref="A22" authorId="0" shapeId="0" xr:uid="{00000000-0006-0000-0B00-000003000000}">
      <text>
        <r>
          <rPr>
            <b/>
            <sz val="9"/>
            <color indexed="81"/>
            <rFont val="Tahoma"/>
            <family val="2"/>
          </rPr>
          <t>Ken:</t>
        </r>
        <r>
          <rPr>
            <sz val="9"/>
            <color indexed="81"/>
            <rFont val="Tahoma"/>
            <family val="2"/>
          </rPr>
          <t xml:space="preserve">
</t>
        </r>
        <r>
          <rPr>
            <sz val="12"/>
            <color indexed="81"/>
            <rFont val="Verdana"/>
            <family val="2"/>
          </rPr>
          <t xml:space="preserve">In addition to the substrate suppliers being paid for the provision of substrates, a further financial reward is provided by a discretionary annual return from the company annual profits.
</t>
        </r>
      </text>
    </comment>
    <comment ref="A23" authorId="0" shapeId="0" xr:uid="{00000000-0006-0000-0B00-000004000000}">
      <text>
        <r>
          <rPr>
            <b/>
            <sz val="9"/>
            <color indexed="81"/>
            <rFont val="Tahoma"/>
            <family val="2"/>
          </rPr>
          <t xml:space="preserve">Ken:
</t>
        </r>
        <r>
          <rPr>
            <sz val="12"/>
            <color indexed="81"/>
            <rFont val="Verdana"/>
            <family val="2"/>
          </rPr>
          <t>The profit held over by the company will be determined by the directors of the company each year in consultation with the equity investors. This decision will be influenced by tax considerations and reinvestment considerations to grow the company.</t>
        </r>
      </text>
    </comment>
    <comment ref="H60" authorId="0" shapeId="0" xr:uid="{00000000-0006-0000-0B00-000005000000}">
      <text>
        <r>
          <rPr>
            <b/>
            <sz val="9"/>
            <color indexed="81"/>
            <rFont val="Tahoma"/>
            <family val="2"/>
          </rPr>
          <t>Ken:</t>
        </r>
        <r>
          <rPr>
            <sz val="9"/>
            <color indexed="81"/>
            <rFont val="Tahoma"/>
            <family val="2"/>
          </rPr>
          <t xml:space="preserve">
</t>
        </r>
        <r>
          <rPr>
            <sz val="12"/>
            <color indexed="81"/>
            <rFont val="Verdana"/>
            <family val="2"/>
          </rPr>
          <t xml:space="preserve">This % relates to the discretionary return to the equity investors. 
This discretionary return is in addition to the fixed return captured within line 17 of the analysis.
This % will be determined by the directors of the company each year in consultation with the investors. This decision will be influenced by tax considerations and reinvestment considerations to grow the company.
</t>
        </r>
      </text>
    </comment>
  </commentList>
</comments>
</file>

<file path=xl/sharedStrings.xml><?xml version="1.0" encoding="utf-8"?>
<sst xmlns="http://schemas.openxmlformats.org/spreadsheetml/2006/main" count="423" uniqueCount="284">
  <si>
    <t>Fresh Matter tonnes/ha/yr</t>
  </si>
  <si>
    <t>Percentage Dry Matter</t>
  </si>
  <si>
    <t>Volatile Solids %</t>
  </si>
  <si>
    <t>Volatile Solids tonnes/ha/yr</t>
  </si>
  <si>
    <t>Volatile Solids after loses tonnes/ha/yr</t>
  </si>
  <si>
    <t>CH4 yield/tonne Volatile solids in m3</t>
  </si>
  <si>
    <t>CH4 yield/ha/yr in m3</t>
  </si>
  <si>
    <t>Energy as CH4 in kWh/ha/yr</t>
  </si>
  <si>
    <t>Crop related OPEX in $/ha/yr</t>
  </si>
  <si>
    <t>CO2 Yields in kg/ha</t>
  </si>
  <si>
    <t>Amount paid/tonne of substrates</t>
  </si>
  <si>
    <t>Cost of substrates on dry matter basis</t>
  </si>
  <si>
    <t>Cost of substrates on a volatile solids basis</t>
  </si>
  <si>
    <t>Cost of volatile solids/tonne after loses</t>
  </si>
  <si>
    <t>Hybrid Tropical Grass</t>
  </si>
  <si>
    <t>÷</t>
  </si>
  <si>
    <t>x</t>
  </si>
  <si>
    <t>=</t>
  </si>
  <si>
    <t>kWh/year</t>
  </si>
  <si>
    <t>tonnes/year</t>
  </si>
  <si>
    <t>Annual treatment capacity</t>
  </si>
  <si>
    <t>Gatefee</t>
  </si>
  <si>
    <t>Annual output</t>
  </si>
  <si>
    <t>Selling price</t>
  </si>
  <si>
    <t>Average interest from loan</t>
  </si>
  <si>
    <t>years</t>
  </si>
  <si>
    <t>Loan payback time</t>
  </si>
  <si>
    <t>Total loan (% from investment)</t>
  </si>
  <si>
    <t>Revenue from thermal energy</t>
  </si>
  <si>
    <t>%/year</t>
  </si>
  <si>
    <t>Loan interest</t>
  </si>
  <si>
    <t>Thermal enery</t>
  </si>
  <si>
    <t>Revenue from electricity</t>
  </si>
  <si>
    <t>Total labour cost</t>
  </si>
  <si>
    <t>day/year</t>
  </si>
  <si>
    <t>Number of days</t>
  </si>
  <si>
    <t>Electricity</t>
  </si>
  <si>
    <t>h/day</t>
  </si>
  <si>
    <t>Operating hour/day</t>
  </si>
  <si>
    <t>Energy</t>
  </si>
  <si>
    <t>Loan payback</t>
  </si>
  <si>
    <t>Total</t>
  </si>
  <si>
    <t>Expense</t>
  </si>
  <si>
    <t>Financial cost</t>
  </si>
  <si>
    <t>Interest</t>
  </si>
  <si>
    <t>Annual financial cost including interest</t>
  </si>
  <si>
    <t>Year</t>
  </si>
  <si>
    <t>YEAR</t>
  </si>
  <si>
    <t>The initial bank loan period is</t>
  </si>
  <si>
    <t>IRR</t>
  </si>
  <si>
    <t>Additional analysis</t>
  </si>
  <si>
    <t>Net Present Value</t>
  </si>
  <si>
    <t>Present Value</t>
  </si>
  <si>
    <t>Year #</t>
  </si>
  <si>
    <t>Annual change in expense (+ for increase; - for decrease)</t>
  </si>
  <si>
    <t>Annual change in revenue (+ for increase; - for decrease)</t>
  </si>
  <si>
    <t>Inflation rate (%)</t>
  </si>
  <si>
    <t>Data in blue cells can be edited</t>
  </si>
  <si>
    <t>tonnes/yr</t>
  </si>
  <si>
    <t xml:space="preserve">Carbon Dioxide  </t>
  </si>
  <si>
    <t xml:space="preserve">Annual CO2 production </t>
  </si>
  <si>
    <t>kg/year</t>
  </si>
  <si>
    <t>Revenue from selling CO2</t>
  </si>
  <si>
    <t>PROJECT PAYBACK (YEARS) =</t>
  </si>
  <si>
    <t>+</t>
  </si>
  <si>
    <t>kWhe/year</t>
  </si>
  <si>
    <t>kWhth/year</t>
  </si>
  <si>
    <t>-</t>
  </si>
  <si>
    <t>Number of employees</t>
  </si>
  <si>
    <t xml:space="preserve">Solid digestate </t>
  </si>
  <si>
    <t xml:space="preserve">Liquid digestate </t>
  </si>
  <si>
    <t>At a cost of</t>
  </si>
  <si>
    <r>
      <rPr>
        <b/>
        <sz val="12"/>
        <color theme="1"/>
        <rFont val="Verdana"/>
        <family val="2"/>
      </rPr>
      <t>/</t>
    </r>
    <r>
      <rPr>
        <sz val="12"/>
        <color theme="1"/>
        <rFont val="Verdana"/>
        <family val="2"/>
      </rPr>
      <t>barrel of crude oil.</t>
    </r>
  </si>
  <si>
    <t>Revenues</t>
  </si>
  <si>
    <t>OPEX</t>
  </si>
  <si>
    <t>Total including interest</t>
  </si>
  <si>
    <t xml:space="preserve">Net thermal enery/year </t>
  </si>
  <si>
    <t xml:space="preserve">Revenues and expenses </t>
  </si>
  <si>
    <t xml:space="preserve">CHP maintenance </t>
  </si>
  <si>
    <t>Annual cost of CHP maintenance</t>
  </si>
  <si>
    <t>Model developed by:</t>
  </si>
  <si>
    <t>Assumed amount of LPG to be replaced =</t>
  </si>
  <si>
    <t>1 kg LPG =</t>
  </si>
  <si>
    <t>13.6kWh</t>
  </si>
  <si>
    <t>2,500,000kg =</t>
  </si>
  <si>
    <t>34,000,000kWh</t>
  </si>
  <si>
    <t>TOP $3.73 =</t>
  </si>
  <si>
    <t>$USD1.60</t>
  </si>
  <si>
    <t>Calculation: $USD$1.60/kg ÷ 13.6kWh/kg =</t>
  </si>
  <si>
    <t>LPG Replacement Assumption (Combined Utilities Business Plan 2018 - 2022)</t>
  </si>
  <si>
    <t>CH4 yield</t>
  </si>
  <si>
    <t>dry matter</t>
  </si>
  <si>
    <t>$ paid/tonne substrates</t>
  </si>
  <si>
    <t>fresh matter</t>
  </si>
  <si>
    <t>volatile solids</t>
  </si>
  <si>
    <t>2,500 tonnes/year (2,500,000kg)</t>
  </si>
  <si>
    <t>days</t>
  </si>
  <si>
    <t>crop related capex $</t>
  </si>
  <si>
    <t>m3</t>
  </si>
  <si>
    <t xml:space="preserve">Just like the oil refinery, the Tongan biogas based biorefinery will </t>
  </si>
  <si>
    <r>
      <rPr>
        <b/>
        <sz val="12"/>
        <color rgb="FF0000FF"/>
        <rFont val="Verdana"/>
        <family val="2"/>
      </rPr>
      <t xml:space="preserve">produce multiple products. </t>
    </r>
    <r>
      <rPr>
        <sz val="12"/>
        <rFont val="Verdana"/>
        <family val="2"/>
      </rPr>
      <t xml:space="preserve">However, unlike the products from the </t>
    </r>
  </si>
  <si>
    <r>
      <t xml:space="preserve">Target wholesale price for replacement biomethane = </t>
    </r>
    <r>
      <rPr>
        <b/>
        <sz val="12"/>
        <color rgb="FFFF0000"/>
        <rFont val="Verdana"/>
        <family val="2"/>
      </rPr>
      <t>9cents/ kWh</t>
    </r>
  </si>
  <si>
    <t>Revenue from gatefee</t>
  </si>
  <si>
    <t xml:space="preserve">Revenue from selling biomethane </t>
  </si>
  <si>
    <t xml:space="preserve">At a yield of </t>
  </si>
  <si>
    <r>
      <t xml:space="preserve">tonnes/ha, this </t>
    </r>
    <r>
      <rPr>
        <b/>
        <sz val="12"/>
        <color rgb="FF0000FF"/>
        <rFont val="Verdana"/>
        <family val="2"/>
      </rPr>
      <t>HTG crude biomass</t>
    </r>
  </si>
  <si>
    <t xml:space="preserve">costs approx. </t>
  </si>
  <si>
    <t xml:space="preserve">Equivalent to </t>
  </si>
  <si>
    <t>11.764USA cents/kWh</t>
  </si>
  <si>
    <r>
      <t xml:space="preserve">This is why the Tongan economy </t>
    </r>
    <r>
      <rPr>
        <b/>
        <sz val="12"/>
        <color rgb="FF0000FF"/>
        <rFont val="Verdana"/>
        <family val="2"/>
      </rPr>
      <t xml:space="preserve">should be methanised. </t>
    </r>
  </si>
  <si>
    <r>
      <t xml:space="preserve">oil refinery, the biogas and digestate based prodcuts are </t>
    </r>
    <r>
      <rPr>
        <b/>
        <sz val="12"/>
        <color rgb="FF0000FF"/>
        <rFont val="Verdana"/>
        <family val="2"/>
      </rPr>
      <t xml:space="preserve">100% </t>
    </r>
  </si>
  <si>
    <t>% allowance for harvesting &amp; silage loses</t>
  </si>
  <si>
    <t>% allowance loses</t>
  </si>
  <si>
    <t xml:space="preserve">feeding into a local </t>
  </si>
  <si>
    <t xml:space="preserve">has total control over </t>
  </si>
  <si>
    <t>at USD$</t>
  </si>
  <si>
    <t xml:space="preserve">Locally grown biomass </t>
  </si>
  <si>
    <t>/Barrel</t>
  </si>
  <si>
    <t>provides approx.</t>
  </si>
  <si>
    <r>
      <t xml:space="preserve"> project based</t>
    </r>
    <r>
      <rPr>
        <b/>
        <sz val="26"/>
        <color rgb="FF0000FF"/>
        <rFont val="Verdana"/>
        <family val="2"/>
      </rPr>
      <t xml:space="preserve"> initially</t>
    </r>
    <r>
      <rPr>
        <b/>
        <sz val="26"/>
        <color theme="1"/>
        <rFont val="Verdana"/>
        <family val="2"/>
      </rPr>
      <t xml:space="preserve"> on</t>
    </r>
  </si>
  <si>
    <t>Harvesting &amp; silage loses in tonnes/ha</t>
  </si>
  <si>
    <t>Harvesting &amp; Silage Loses in tonnes/ha</t>
  </si>
  <si>
    <t>Selling price US cents/kg</t>
  </si>
  <si>
    <t>US cents/kg</t>
  </si>
  <si>
    <t>Biomethane</t>
  </si>
  <si>
    <t>US cents/kWh</t>
  </si>
  <si>
    <t>Selling price US cents/kWhe</t>
  </si>
  <si>
    <t>Selling price US cents/kWhth</t>
  </si>
  <si>
    <t>Maintenance cost in cents/kWhe</t>
  </si>
  <si>
    <t>2017 and 2030 Energy Flows</t>
  </si>
  <si>
    <t>Electricity/tonne Fresh Matter in kWh</t>
  </si>
  <si>
    <t>kWh/tonne</t>
  </si>
  <si>
    <t>Thermal Energy/tonne Fresh Matter in  kWh</t>
  </si>
  <si>
    <t>Total Electrical and Thermal Energy/tonne Fresh Matter</t>
  </si>
  <si>
    <t>m3/tonne</t>
  </si>
  <si>
    <t>Green Carbon Dioxide/tonne Fresh Matter:</t>
  </si>
  <si>
    <t>kg/tonne</t>
  </si>
  <si>
    <t>kWhe</t>
  </si>
  <si>
    <t>kWhth</t>
  </si>
  <si>
    <t>m3 of CH4</t>
  </si>
  <si>
    <t>Substrate inputs</t>
  </si>
  <si>
    <t xml:space="preserve">Fresh matter in tonnes/year in support of CHP's </t>
  </si>
  <si>
    <t>kWh/yr</t>
  </si>
  <si>
    <t>m3 CH4</t>
  </si>
  <si>
    <t xml:space="preserve">Fresh matter total inputs in tonnes/year </t>
  </si>
  <si>
    <t xml:space="preserve"> </t>
  </si>
  <si>
    <t>Tonnes/day Fresh Matter</t>
  </si>
  <si>
    <t>tonnes/day</t>
  </si>
  <si>
    <t>Tonnes/day Dry Matter</t>
  </si>
  <si>
    <t>Hectares of HTG required</t>
  </si>
  <si>
    <t>net electricity</t>
  </si>
  <si>
    <t>net themal</t>
  </si>
  <si>
    <t>fresh matter/tonnes</t>
  </si>
  <si>
    <t>Elect &amp; therm yeild fresh matter</t>
  </si>
  <si>
    <t xml:space="preserve">CHP availability </t>
  </si>
  <si>
    <t>CHP elec/therm gen</t>
  </si>
  <si>
    <t>Hectares required for HTG</t>
  </si>
  <si>
    <t>Fallow land on Tongatapu in hectares</t>
  </si>
  <si>
    <t>% of fallow land used for HTG</t>
  </si>
  <si>
    <t>Biomethane/tonne of Fresh Matter</t>
  </si>
  <si>
    <t>kWh methane/yr</t>
  </si>
  <si>
    <t>kWe</t>
  </si>
  <si>
    <t>Servicing debt financing principal + interest</t>
  </si>
  <si>
    <t>Gross Profit</t>
  </si>
  <si>
    <t>Fixed portion of the return to equity investors</t>
  </si>
  <si>
    <t>Profit after fixed portion of the return to equity investors</t>
  </si>
  <si>
    <t>Total amount directed to equity investors</t>
  </si>
  <si>
    <t>Final Profit held over by the company (see note)</t>
  </si>
  <si>
    <t>Accumulated</t>
  </si>
  <si>
    <r>
      <t xml:space="preserve">Total return of profit to </t>
    </r>
    <r>
      <rPr>
        <b/>
        <sz val="14"/>
        <color rgb="FFFF0000"/>
        <rFont val="Verdana"/>
        <family val="2"/>
      </rPr>
      <t>substrate</t>
    </r>
    <r>
      <rPr>
        <b/>
        <sz val="14"/>
        <rFont val="Verdana"/>
        <family val="2"/>
      </rPr>
      <t xml:space="preserve"> suppliers</t>
    </r>
  </si>
  <si>
    <r>
      <t xml:space="preserve">% increase on </t>
    </r>
    <r>
      <rPr>
        <b/>
        <sz val="14"/>
        <color rgb="FFFF0000"/>
        <rFont val="Verdana"/>
        <family val="2"/>
      </rPr>
      <t>equity</t>
    </r>
    <r>
      <rPr>
        <b/>
        <sz val="14"/>
        <rFont val="Verdana"/>
        <family val="2"/>
      </rPr>
      <t xml:space="preserve"> investment</t>
    </r>
  </si>
  <si>
    <t>Equal to a compound interest rate of</t>
  </si>
  <si>
    <r>
      <t xml:space="preserve">Number of years until Accumulated income becomes positive, </t>
    </r>
    <r>
      <rPr>
        <sz val="12"/>
        <color theme="1"/>
        <rFont val="Verdana"/>
        <family val="2"/>
      </rPr>
      <t>if this value = 0 (zero), it means there is loan money involved</t>
    </r>
  </si>
  <si>
    <t>Annual financial cost excluding interest (principal)</t>
  </si>
  <si>
    <t>Annual Cost including interest</t>
  </si>
  <si>
    <t>Principal</t>
  </si>
  <si>
    <t>Revenue                                                                                    Total</t>
  </si>
  <si>
    <t>Labour cost for biogas plant and supply chains</t>
  </si>
  <si>
    <t>Net electricity/year for grid export</t>
  </si>
  <si>
    <t>Processing plant labour</t>
  </si>
  <si>
    <t>Employees</t>
  </si>
  <si>
    <t>Other OPEX</t>
  </si>
  <si>
    <t xml:space="preserve">Digestate </t>
  </si>
  <si>
    <t>Equity investor returns</t>
  </si>
  <si>
    <t>Total equity (% from equity investment)</t>
  </si>
  <si>
    <t>Discretionary return on investment</t>
  </si>
  <si>
    <t>Nitrogen</t>
  </si>
  <si>
    <t>Revenue from selling nitrogen</t>
  </si>
  <si>
    <t>Phospherous</t>
  </si>
  <si>
    <t>Revenue from selling phospherous</t>
  </si>
  <si>
    <t>Potassium</t>
  </si>
  <si>
    <t>Revenue fron selling potassium</t>
  </si>
  <si>
    <t xml:space="preserve">Annual Biochar production potential </t>
  </si>
  <si>
    <t>Revenue from selling Biochar</t>
  </si>
  <si>
    <t>CO2</t>
  </si>
  <si>
    <t>CHP maintenance</t>
  </si>
  <si>
    <t>Opex</t>
  </si>
  <si>
    <t>Themal</t>
  </si>
  <si>
    <t>Loan payback years</t>
  </si>
  <si>
    <t>Labor</t>
  </si>
  <si>
    <t>Investment</t>
  </si>
  <si>
    <t>Selling price for digestate+NPK+biochar</t>
  </si>
  <si>
    <t>P/P/Labor</t>
  </si>
  <si>
    <t>Annual biomethane to replace LPG</t>
  </si>
  <si>
    <t>US$/year</t>
  </si>
  <si>
    <t>Selling price UScents/kWh</t>
  </si>
  <si>
    <t>US$/tonne</t>
  </si>
  <si>
    <t>Handling fee in US$/tonne</t>
  </si>
  <si>
    <t>Carbon abatement estimate</t>
  </si>
  <si>
    <t>Other labour</t>
  </si>
  <si>
    <r>
      <t xml:space="preserve">Original </t>
    </r>
    <r>
      <rPr>
        <b/>
        <sz val="14"/>
        <color rgb="FFFF0000"/>
        <rFont val="Verdana"/>
        <family val="2"/>
      </rPr>
      <t>equity</t>
    </r>
    <r>
      <rPr>
        <b/>
        <sz val="14"/>
        <rFont val="Verdana"/>
        <family val="2"/>
      </rPr>
      <t xml:space="preserve"> investment from investers in USD</t>
    </r>
  </si>
  <si>
    <r>
      <t xml:space="preserve">Total return on original </t>
    </r>
    <r>
      <rPr>
        <b/>
        <sz val="14"/>
        <color rgb="FFFF0000"/>
        <rFont val="Verdana"/>
        <family val="2"/>
      </rPr>
      <t>equity</t>
    </r>
    <r>
      <rPr>
        <b/>
        <sz val="14"/>
        <rFont val="Verdana"/>
        <family val="2"/>
      </rPr>
      <t xml:space="preserve"> investments in USD</t>
    </r>
  </si>
  <si>
    <t>US$/hour</t>
  </si>
  <si>
    <t>US$</t>
  </si>
  <si>
    <t>US$/20 years</t>
  </si>
  <si>
    <t>3MWe + Biomethane biogas</t>
  </si>
  <si>
    <t>Dry Matter tonnes/ha/yr</t>
  </si>
  <si>
    <t>Cost of substrates production in cents/kWh</t>
  </si>
  <si>
    <t>CH4 yield/tonne volatile solids in m3</t>
  </si>
  <si>
    <t>Gross income/ha/yr</t>
  </si>
  <si>
    <t>Cost of substrates expressed in cents/m3 of CH4</t>
  </si>
  <si>
    <t>Cost of substrates expressed in cents/kWh of CH4</t>
  </si>
  <si>
    <t>Thermal generation capacity 3.15MWth</t>
  </si>
  <si>
    <t>Biomethane to replace 2,500 tonnes/year LPG (refer to LPG input box included in this page)</t>
  </si>
  <si>
    <t>Green Carbon Dioxide annual yield</t>
  </si>
  <si>
    <t>Fresh matter in tonnes/year in support of biomethane</t>
  </si>
  <si>
    <t>Annual cost of substrates</t>
  </si>
  <si>
    <t>kWh/year total</t>
  </si>
  <si>
    <t>Size of combined biogas plant in kWe</t>
  </si>
  <si>
    <t>Revenue from selling solid digestate</t>
  </si>
  <si>
    <t>Revenue from selling liquid digestate</t>
  </si>
  <si>
    <t>Selling price US$/tonne</t>
  </si>
  <si>
    <t>Substrates cost/year</t>
  </si>
  <si>
    <t xml:space="preserve">OPEX for maintenance (% CAPEX/yr) </t>
  </si>
  <si>
    <t>Substrate suppliers return (%  profit)</t>
  </si>
  <si>
    <t>Discretionary return of profit to substrate suppliers</t>
  </si>
  <si>
    <t>Discretionary return of profit to equity investors</t>
  </si>
  <si>
    <t>Profit after discretionary return to equity investors</t>
  </si>
  <si>
    <t xml:space="preserve">Project Elements </t>
  </si>
  <si>
    <t xml:space="preserve">CAPEX </t>
  </si>
  <si>
    <t xml:space="preserve">(A) Subtotal </t>
  </si>
  <si>
    <t xml:space="preserve">(B) Subtotal </t>
  </si>
  <si>
    <t xml:space="preserve">(C) Subtotal </t>
  </si>
  <si>
    <t xml:space="preserve">(D) Subtotal </t>
  </si>
  <si>
    <t xml:space="preserve">Contingencies </t>
  </si>
  <si>
    <t xml:space="preserve">A:  Pre-construction </t>
  </si>
  <si>
    <t xml:space="preserve">B: Civils </t>
  </si>
  <si>
    <t>Establish construction site - earthworks - permanent access roads - carparking - fencing - stormwater - sewer - landscaping - ancillary buildings/structures - silage clamps</t>
  </si>
  <si>
    <t xml:space="preserve">C: Biological and technical </t>
  </si>
  <si>
    <t xml:space="preserve">(E) Subtotal </t>
  </si>
  <si>
    <t>Project subtotal - A+B+C+D+E</t>
  </si>
  <si>
    <t xml:space="preserve">Substrate pre-treatment, conditioning, and dispensing - high solids digesters - advanced covered lagoon - digestate handling - biogas conditioning - CHP’s - biogas to biomethane upgrading and compression - process management   </t>
  </si>
  <si>
    <t>Subtotal including contingencies allowance</t>
  </si>
  <si>
    <t>contigencies &amp; CAPEX supp</t>
  </si>
  <si>
    <t>biorefinery, that Tonga</t>
  </si>
  <si>
    <t>of crude oil equivalent</t>
  </si>
  <si>
    <t xml:space="preserve">US cents/litre cude oil equivalent. </t>
  </si>
  <si>
    <t>Alternate CAPEX calculation</t>
  </si>
  <si>
    <t>Alternate CAPEX calculation for comparison purposes</t>
  </si>
  <si>
    <t>litres of crude oil equivalent/ha.</t>
  </si>
  <si>
    <r>
      <t xml:space="preserve">into the Tongan </t>
    </r>
    <r>
      <rPr>
        <b/>
        <sz val="12"/>
        <color rgb="FF0000FF"/>
        <rFont val="Verdana"/>
        <family val="2"/>
      </rPr>
      <t>biogas plant based biorefinery</t>
    </r>
    <r>
      <rPr>
        <sz val="12"/>
        <rFont val="Verdana"/>
        <family val="2"/>
      </rPr>
      <t>,</t>
    </r>
  </si>
  <si>
    <r>
      <rPr>
        <b/>
        <sz val="12"/>
        <color theme="1"/>
        <rFont val="Verdana"/>
        <family val="2"/>
      </rPr>
      <t>/</t>
    </r>
    <r>
      <rPr>
        <sz val="12"/>
        <color theme="1"/>
        <rFont val="Verdana"/>
        <family val="2"/>
      </rPr>
      <t>ha, paid directly to local Tongan</t>
    </r>
  </si>
  <si>
    <t>farmers, this Tongan grown crude biomass, that is feeding</t>
  </si>
  <si>
    <t>local, 100% renewable, and fully sustainable.</t>
  </si>
  <si>
    <t>Electrical generation capacity 3MWe (3000kWe)</t>
  </si>
  <si>
    <t>Net electrical and themal energy/year</t>
  </si>
  <si>
    <t>Net electricity/year</t>
  </si>
  <si>
    <t>Total energy available from CHP's</t>
  </si>
  <si>
    <t>Net thermal/year</t>
  </si>
  <si>
    <t>Combined heat and power system outputs</t>
  </si>
  <si>
    <t xml:space="preserve">Laboratory and testing facility </t>
  </si>
  <si>
    <t xml:space="preserve">CAPEX support from Green Climate Fund </t>
  </si>
  <si>
    <t xml:space="preserve">D: Design, construct and equip AD and agricultural support laboratory and testing facility </t>
  </si>
  <si>
    <t xml:space="preserve">Cropping and mechanisation of substrate supply chains   </t>
  </si>
  <si>
    <t>Specific allocation of Green Climate Fund support</t>
  </si>
  <si>
    <t xml:space="preserve">Pre-construction conceptual planning plus detailed planning engineering and consent authority approvals </t>
  </si>
  <si>
    <t xml:space="preserve">Baseline CAPEX for 3MWe plus biomethane biogas plant in US$                                                          </t>
  </si>
  <si>
    <t xml:space="preserve">TOTAL CAPEX to be financed </t>
  </si>
  <si>
    <t>CAPEX to be financed in USD</t>
  </si>
  <si>
    <t xml:space="preserve">Ken Davey, Sanita Naiovi &amp; Moses Chandra (Excel Master and lecturer: University of the South Pacific) </t>
  </si>
  <si>
    <t xml:space="preserve">E: Crop trials, crop establishment, agricultural training, mechanisation of cropping systems and substrate supply chains   </t>
  </si>
  <si>
    <t>Profitability calculation - Tonga 3MWe + biomethane based on HTG with GCF support</t>
  </si>
  <si>
    <t>OPEX including CHP maint, labour, maintenance</t>
  </si>
  <si>
    <t>with the assistance of BSW Energy Malaysia and Carsten Linnenberg, AD Solutions, 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</si>
</sst>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0.0"/>
    <numFmt numFmtId="165" formatCode="&quot;$&quot;#,##0.00"/>
    <numFmt numFmtId="166" formatCode="0.000"/>
    <numFmt numFmtId="167" formatCode="_(* #,##0_);_(* \(#,##0\);_(* &quot;-&quot;??_);_(@_)"/>
    <numFmt numFmtId="168" formatCode="_(* #,##0.00_);_(* \(#,##0.00\);_(* &quot;-&quot;??_);_(@_)"/>
    <numFmt numFmtId="169" formatCode="#,##0.000"/>
    <numFmt numFmtId="170" formatCode="0.0%"/>
    <numFmt numFmtId="171" formatCode="#,##0.00_ ;\-#,##0.00\ "/>
    <numFmt numFmtId="172" formatCode="#,##0.000_ ;\-#,##0.000\ "/>
    <numFmt numFmtId="173" formatCode="_(* #,##0.0_);_(* \(#,##0.0\);_(* &quot;-&quot;??_);_(@_)"/>
    <numFmt numFmtId="174" formatCode="#,##0.0"/>
    <numFmt numFmtId="175" formatCode="0.000%"/>
    <numFmt numFmtId="176" formatCode="_-* #,##0_-;\-* #,##0_-;_-* &quot;-&quot;??_-;_-@_-"/>
  </numFmts>
  <fonts count="66">
    <font>
      <sz val="11"/>
      <color theme="1"/>
      <name val="Calibri"/>
      <family val="2"/>
      <charset val="1"/>
      <scheme val="minor"/>
    </font>
    <font>
      <sz val="11"/>
      <color theme="1"/>
      <name val="Calibri"/>
      <family val="2"/>
      <charset val="1"/>
      <scheme val="minor"/>
    </font>
    <font>
      <sz val="12"/>
      <color theme="1"/>
      <name val="Verdana"/>
      <family val="2"/>
    </font>
    <font>
      <sz val="7"/>
      <name val="Prestige 15cpi"/>
    </font>
    <font>
      <b/>
      <sz val="12"/>
      <color theme="1"/>
      <name val="Verdana"/>
      <family val="2"/>
    </font>
    <font>
      <b/>
      <sz val="12"/>
      <name val="Verdana"/>
      <family val="2"/>
    </font>
    <font>
      <sz val="12"/>
      <name val="Verdana"/>
      <family val="2"/>
    </font>
    <font>
      <b/>
      <sz val="14"/>
      <color theme="1"/>
      <name val="Verdana"/>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u/>
      <sz val="11"/>
      <color theme="10"/>
      <name val="Calibri"/>
      <family val="2"/>
    </font>
    <font>
      <b/>
      <sz val="20"/>
      <color theme="1"/>
      <name val="Verdana"/>
      <family val="2"/>
    </font>
    <font>
      <b/>
      <sz val="11"/>
      <color theme="1"/>
      <name val="Verdana"/>
      <family val="2"/>
    </font>
    <font>
      <sz val="11"/>
      <color theme="1"/>
      <name val="Verdana"/>
      <family val="2"/>
    </font>
    <font>
      <b/>
      <sz val="12"/>
      <color theme="1"/>
      <name val="Calibri"/>
      <family val="2"/>
      <scheme val="minor"/>
    </font>
    <font>
      <sz val="12"/>
      <color theme="1"/>
      <name val="Calibri"/>
      <family val="2"/>
      <scheme val="minor"/>
    </font>
    <font>
      <u/>
      <sz val="12"/>
      <color theme="10"/>
      <name val="Calibri"/>
      <family val="2"/>
    </font>
    <font>
      <b/>
      <sz val="12"/>
      <color rgb="FFFF0000"/>
      <name val="Verdana"/>
      <family val="2"/>
    </font>
    <font>
      <sz val="11"/>
      <name val="Verdana"/>
      <family val="2"/>
    </font>
    <font>
      <b/>
      <sz val="12"/>
      <color theme="4" tint="-0.249977111117893"/>
      <name val="Verdana"/>
      <family val="2"/>
    </font>
    <font>
      <sz val="14"/>
      <color theme="1"/>
      <name val="Verdana"/>
      <family val="2"/>
    </font>
    <font>
      <b/>
      <sz val="11"/>
      <color rgb="FFFF0000"/>
      <name val="Calibri"/>
      <family val="2"/>
      <scheme val="minor"/>
    </font>
    <font>
      <b/>
      <sz val="12"/>
      <color theme="1"/>
      <name val="Calibri"/>
      <family val="2"/>
      <charset val="1"/>
      <scheme val="minor"/>
    </font>
    <font>
      <sz val="14"/>
      <color theme="1"/>
      <name val="Calibri"/>
      <family val="2"/>
      <charset val="1"/>
      <scheme val="minor"/>
    </font>
    <font>
      <b/>
      <sz val="12"/>
      <color rgb="FF0000FF"/>
      <name val="Verdana"/>
      <family val="2"/>
    </font>
    <font>
      <sz val="11"/>
      <name val="Calibri"/>
      <family val="2"/>
      <charset val="1"/>
      <scheme val="minor"/>
    </font>
    <font>
      <b/>
      <sz val="12"/>
      <color theme="0"/>
      <name val="Verdana"/>
      <family val="2"/>
    </font>
    <font>
      <b/>
      <sz val="12"/>
      <color theme="0"/>
      <name val="Calibri"/>
      <family val="2"/>
      <scheme val="minor"/>
    </font>
    <font>
      <b/>
      <sz val="22"/>
      <color theme="1"/>
      <name val="Verdana"/>
      <family val="2"/>
    </font>
    <font>
      <b/>
      <sz val="11"/>
      <color theme="1"/>
      <name val="Calibri"/>
      <family val="2"/>
      <charset val="1"/>
      <scheme val="minor"/>
    </font>
    <font>
      <b/>
      <sz val="26"/>
      <color theme="1"/>
      <name val="Verdana"/>
      <family val="2"/>
    </font>
    <font>
      <sz val="12"/>
      <color rgb="FFFF0000"/>
      <name val="Verdana"/>
      <family val="2"/>
    </font>
    <font>
      <sz val="12"/>
      <color rgb="FF000000"/>
      <name val="Verdana"/>
      <family val="2"/>
    </font>
    <font>
      <b/>
      <sz val="12"/>
      <color rgb="FF000000"/>
      <name val="Verdana"/>
      <family val="2"/>
    </font>
    <font>
      <sz val="20"/>
      <color theme="1"/>
      <name val="Calibri"/>
      <family val="2"/>
      <charset val="1"/>
      <scheme val="minor"/>
    </font>
    <font>
      <b/>
      <sz val="16"/>
      <color theme="1"/>
      <name val="Verdana"/>
      <family val="2"/>
    </font>
    <font>
      <sz val="9"/>
      <color indexed="81"/>
      <name val="Tahoma"/>
      <family val="2"/>
    </font>
    <font>
      <b/>
      <sz val="9"/>
      <color indexed="81"/>
      <name val="Tahoma"/>
      <family val="2"/>
    </font>
    <font>
      <sz val="12"/>
      <color indexed="81"/>
      <name val="Verdana"/>
      <family val="2"/>
    </font>
    <font>
      <sz val="48"/>
      <color theme="1"/>
      <name val="Verdana"/>
      <family val="2"/>
    </font>
    <font>
      <b/>
      <sz val="14"/>
      <name val="Verdana"/>
      <family val="2"/>
    </font>
    <font>
      <b/>
      <sz val="26"/>
      <color rgb="FF0000FF"/>
      <name val="Verdana"/>
      <family val="2"/>
    </font>
    <font>
      <b/>
      <sz val="16"/>
      <color rgb="FFFF0000"/>
      <name val="Verdana"/>
      <family val="2"/>
    </font>
    <font>
      <b/>
      <sz val="22"/>
      <color rgb="FFFF0000"/>
      <name val="Verdana"/>
      <family val="2"/>
    </font>
    <font>
      <sz val="11"/>
      <color theme="0"/>
      <name val="Calibri"/>
      <family val="2"/>
      <charset val="1"/>
      <scheme val="minor"/>
    </font>
    <font>
      <sz val="16"/>
      <color theme="1"/>
      <name val="Verdana"/>
      <family val="2"/>
    </font>
    <font>
      <sz val="12"/>
      <color theme="0"/>
      <name val="Verdana"/>
      <family val="2"/>
    </font>
    <font>
      <sz val="10"/>
      <color theme="1"/>
      <name val="Calibri"/>
      <family val="2"/>
      <charset val="1"/>
      <scheme val="minor"/>
    </font>
    <font>
      <sz val="10"/>
      <color theme="1"/>
      <name val="Verdana"/>
      <family val="2"/>
    </font>
    <font>
      <b/>
      <sz val="16"/>
      <name val="Verdana"/>
      <family val="2"/>
    </font>
    <font>
      <sz val="11"/>
      <color rgb="FF006100"/>
      <name val="Calibri"/>
      <family val="2"/>
      <scheme val="minor"/>
    </font>
    <font>
      <b/>
      <sz val="12"/>
      <color rgb="FF006100"/>
      <name val="Verdana"/>
      <family val="2"/>
    </font>
    <font>
      <sz val="11"/>
      <color rgb="FF006100"/>
      <name val="Verdana"/>
      <family val="2"/>
    </font>
    <font>
      <b/>
      <sz val="11"/>
      <color rgb="FF006100"/>
      <name val="Verdana"/>
      <family val="2"/>
    </font>
    <font>
      <sz val="11"/>
      <color rgb="FF9C5700"/>
      <name val="Calibri"/>
      <family val="2"/>
      <scheme val="minor"/>
    </font>
    <font>
      <b/>
      <sz val="11"/>
      <color rgb="FFFF0000"/>
      <name val="Verdana"/>
      <family val="2"/>
    </font>
    <font>
      <b/>
      <sz val="12"/>
      <color rgb="FFFF0000"/>
      <name val="Calibri"/>
      <family val="2"/>
      <scheme val="minor"/>
    </font>
    <font>
      <b/>
      <sz val="14"/>
      <color rgb="FFFF0000"/>
      <name val="Verdana"/>
      <family val="2"/>
    </font>
    <font>
      <b/>
      <sz val="14"/>
      <color theme="1"/>
      <name val="Calibri"/>
      <family val="2"/>
      <scheme val="minor"/>
    </font>
    <font>
      <b/>
      <sz val="14"/>
      <color theme="0"/>
      <name val="Calibri"/>
      <family val="2"/>
      <scheme val="minor"/>
    </font>
    <font>
      <b/>
      <sz val="11"/>
      <name val="Verdana"/>
      <family val="2"/>
    </font>
    <font>
      <sz val="11"/>
      <name val="Prestige 15cpi"/>
    </font>
    <font>
      <sz val="8"/>
      <name val="Verdana"/>
      <family val="2"/>
    </font>
    <font>
      <b/>
      <sz val="11"/>
      <name val="Prestige 15cpi"/>
    </font>
  </fonts>
  <fills count="26">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0000FF"/>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C6EFCE"/>
      </patternFill>
    </fill>
    <fill>
      <patternFill patternType="solid">
        <fgColor rgb="FFFFEB9C"/>
      </patternFill>
    </fill>
    <fill>
      <patternFill patternType="solid">
        <fgColor theme="4"/>
        <bgColor indexed="64"/>
      </patternFill>
    </fill>
    <fill>
      <patternFill patternType="solid">
        <fgColor theme="2" tint="-0.749992370372631"/>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tint="0.39997558519241921"/>
        <bgColor indexed="64"/>
      </patternFill>
    </fill>
  </fills>
  <borders count="9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right/>
      <top style="thin">
        <color theme="9" tint="-0.249977111117893"/>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style="thin">
        <color theme="1"/>
      </right>
      <top style="thin">
        <color theme="1"/>
      </top>
      <bottom style="thin">
        <color theme="1"/>
      </bottom>
      <diagonal/>
    </border>
    <border>
      <left style="thin">
        <color theme="9"/>
      </left>
      <right style="thin">
        <color theme="9"/>
      </right>
      <top style="thin">
        <color theme="9"/>
      </top>
      <bottom style="thin">
        <color theme="9"/>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9" tint="-0.499984740745262"/>
      </left>
      <right style="medium">
        <color theme="9" tint="-0.499984740745262"/>
      </right>
      <top style="medium">
        <color theme="9" tint="-0.499984740745262"/>
      </top>
      <bottom/>
      <diagonal/>
    </border>
    <border>
      <left style="medium">
        <color theme="9" tint="-0.499984740745262"/>
      </left>
      <right style="medium">
        <color theme="9" tint="-0.499984740745262"/>
      </right>
      <top/>
      <bottom style="medium">
        <color theme="9" tint="-0.499984740745262"/>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medium">
        <color theme="9" tint="-0.249977111117893"/>
      </left>
      <right style="thin">
        <color theme="9" tint="-0.249977111117893"/>
      </right>
      <top style="medium">
        <color theme="9" tint="-0.249977111117893"/>
      </top>
      <bottom style="thin">
        <color theme="9" tint="-0.249977111117893"/>
      </bottom>
      <diagonal/>
    </border>
    <border>
      <left style="thin">
        <color theme="9" tint="-0.249977111117893"/>
      </left>
      <right style="thin">
        <color theme="9" tint="-0.249977111117893"/>
      </right>
      <top style="medium">
        <color theme="9" tint="-0.249977111117893"/>
      </top>
      <bottom style="thin">
        <color theme="9" tint="-0.249977111117893"/>
      </bottom>
      <diagonal/>
    </border>
    <border>
      <left style="thin">
        <color theme="9" tint="-0.249977111117893"/>
      </left>
      <right style="medium">
        <color theme="9" tint="-0.249977111117893"/>
      </right>
      <top style="medium">
        <color theme="9" tint="-0.249977111117893"/>
      </top>
      <bottom style="thin">
        <color theme="9" tint="-0.249977111117893"/>
      </bottom>
      <diagonal/>
    </border>
    <border>
      <left style="medium">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medium">
        <color theme="9" tint="-0.249977111117893"/>
      </right>
      <top style="thin">
        <color theme="9" tint="-0.249977111117893"/>
      </top>
      <bottom style="thin">
        <color theme="9" tint="-0.249977111117893"/>
      </bottom>
      <diagonal/>
    </border>
    <border>
      <left style="medium">
        <color theme="9" tint="-0.249977111117893"/>
      </left>
      <right style="thin">
        <color theme="9" tint="-0.249977111117893"/>
      </right>
      <top style="thin">
        <color theme="9" tint="-0.249977111117893"/>
      </top>
      <bottom style="medium">
        <color theme="9" tint="-0.249977111117893"/>
      </bottom>
      <diagonal/>
    </border>
    <border>
      <left style="thin">
        <color theme="9" tint="-0.249977111117893"/>
      </left>
      <right style="thin">
        <color theme="9" tint="-0.249977111117893"/>
      </right>
      <top style="thin">
        <color theme="9" tint="-0.249977111117893"/>
      </top>
      <bottom style="medium">
        <color theme="9" tint="-0.249977111117893"/>
      </bottom>
      <diagonal/>
    </border>
    <border>
      <left style="thin">
        <color theme="9" tint="-0.249977111117893"/>
      </left>
      <right style="medium">
        <color theme="9" tint="-0.249977111117893"/>
      </right>
      <top style="thin">
        <color theme="9" tint="-0.249977111117893"/>
      </top>
      <bottom style="medium">
        <color theme="9" tint="-0.249977111117893"/>
      </bottom>
      <diagonal/>
    </border>
    <border>
      <left/>
      <right/>
      <top style="thin">
        <color theme="9" tint="-0.249977111117893"/>
      </top>
      <bottom style="thin">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style="thin">
        <color theme="9" tint="-0.249977111117893"/>
      </right>
      <top style="medium">
        <color theme="9" tint="-0.249977111117893"/>
      </top>
      <bottom style="medium">
        <color theme="9" tint="-0.249977111117893"/>
      </bottom>
      <diagonal/>
    </border>
    <border>
      <left style="thin">
        <color theme="9" tint="-0.249977111117893"/>
      </left>
      <right style="thin">
        <color theme="9" tint="-0.249977111117893"/>
      </right>
      <top style="medium">
        <color theme="9" tint="-0.249977111117893"/>
      </top>
      <bottom style="medium">
        <color theme="9" tint="-0.249977111117893"/>
      </bottom>
      <diagonal/>
    </border>
    <border>
      <left style="thin">
        <color theme="9" tint="-0.249977111117893"/>
      </left>
      <right style="medium">
        <color theme="9" tint="-0.249977111117893"/>
      </right>
      <top style="medium">
        <color theme="9" tint="-0.249977111117893"/>
      </top>
      <bottom style="medium">
        <color theme="9" tint="-0.249977111117893"/>
      </bottom>
      <diagonal/>
    </border>
    <border>
      <left style="thin">
        <color indexed="64"/>
      </left>
      <right style="thin">
        <color indexed="64"/>
      </right>
      <top style="thin">
        <color indexed="64"/>
      </top>
      <bottom style="thin">
        <color indexed="64"/>
      </bottom>
      <diagonal/>
    </border>
    <border>
      <left style="thin">
        <color theme="9" tint="-0.249977111117893"/>
      </left>
      <right style="thin">
        <color theme="9" tint="-0.249977111117893"/>
      </right>
      <top style="thin">
        <color theme="9" tint="-0.249977111117893"/>
      </top>
      <bottom/>
      <diagonal/>
    </border>
    <border>
      <left style="medium">
        <color theme="9" tint="-0.249977111117893"/>
      </left>
      <right style="thin">
        <color theme="9"/>
      </right>
      <top style="medium">
        <color theme="9" tint="-0.249977111117893"/>
      </top>
      <bottom style="thin">
        <color theme="9"/>
      </bottom>
      <diagonal/>
    </border>
    <border>
      <left style="thin">
        <color theme="9"/>
      </left>
      <right style="thin">
        <color theme="9"/>
      </right>
      <top style="medium">
        <color theme="9" tint="-0.249977111117893"/>
      </top>
      <bottom style="thin">
        <color theme="9"/>
      </bottom>
      <diagonal/>
    </border>
    <border>
      <left style="thin">
        <color theme="9"/>
      </left>
      <right style="medium">
        <color theme="9" tint="-0.249977111117893"/>
      </right>
      <top style="medium">
        <color theme="9" tint="-0.249977111117893"/>
      </top>
      <bottom style="thin">
        <color theme="9"/>
      </bottom>
      <diagonal/>
    </border>
    <border>
      <left style="medium">
        <color theme="9" tint="-0.249977111117893"/>
      </left>
      <right style="thin">
        <color theme="9"/>
      </right>
      <top style="thin">
        <color theme="9"/>
      </top>
      <bottom style="thin">
        <color theme="9"/>
      </bottom>
      <diagonal/>
    </border>
    <border>
      <left style="thin">
        <color theme="9"/>
      </left>
      <right style="medium">
        <color theme="9" tint="-0.249977111117893"/>
      </right>
      <top style="thin">
        <color theme="9"/>
      </top>
      <bottom style="thin">
        <color theme="9"/>
      </bottom>
      <diagonal/>
    </border>
    <border>
      <left style="medium">
        <color theme="9" tint="-0.249977111117893"/>
      </left>
      <right/>
      <top style="thin">
        <color theme="9"/>
      </top>
      <bottom style="thin">
        <color theme="9"/>
      </bottom>
      <diagonal/>
    </border>
    <border>
      <left style="medium">
        <color theme="9" tint="-0.249977111117893"/>
      </left>
      <right/>
      <top style="thin">
        <color theme="9"/>
      </top>
      <bottom style="medium">
        <color theme="9" tint="-0.249977111117893"/>
      </bottom>
      <diagonal/>
    </border>
    <border>
      <left style="thin">
        <color theme="9"/>
      </left>
      <right style="thin">
        <color theme="9"/>
      </right>
      <top style="thin">
        <color theme="9"/>
      </top>
      <bottom/>
      <diagonal/>
    </border>
    <border>
      <left style="thin">
        <color theme="9"/>
      </left>
      <right style="medium">
        <color theme="9" tint="-0.249977111117893"/>
      </right>
      <top style="thin">
        <color theme="9"/>
      </top>
      <bottom/>
      <diagonal/>
    </border>
    <border>
      <left style="medium">
        <color theme="9" tint="-0.249977111117893"/>
      </left>
      <right style="thin">
        <color theme="9"/>
      </right>
      <top style="thin">
        <color theme="9"/>
      </top>
      <bottom style="medium">
        <color theme="9" tint="-0.249977111117893"/>
      </bottom>
      <diagonal/>
    </border>
    <border>
      <left style="thin">
        <color theme="9"/>
      </left>
      <right style="thin">
        <color theme="9"/>
      </right>
      <top style="thin">
        <color theme="9"/>
      </top>
      <bottom style="medium">
        <color theme="9" tint="-0.249977111117893"/>
      </bottom>
      <diagonal/>
    </border>
    <border>
      <left style="thin">
        <color theme="9" tint="-0.249977111117893"/>
      </left>
      <right/>
      <top style="thin">
        <color theme="9" tint="-0.249977111117893"/>
      </top>
      <bottom style="thin">
        <color theme="9" tint="-0.249977111117893"/>
      </bottom>
      <diagonal/>
    </border>
    <border>
      <left/>
      <right style="medium">
        <color theme="9" tint="-0.249977111117893"/>
      </right>
      <top style="thin">
        <color theme="9" tint="-0.249977111117893"/>
      </top>
      <bottom style="thin">
        <color theme="9" tint="-0.249977111117893"/>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theme="9" tint="-0.249977111117893"/>
      </left>
      <right/>
      <top style="thin">
        <color theme="9" tint="-0.249977111117893"/>
      </top>
      <bottom style="thin">
        <color theme="9" tint="-0.249977111117893"/>
      </bottom>
      <diagonal/>
    </border>
    <border>
      <left/>
      <right/>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right style="medium">
        <color theme="9" tint="-0.249977111117893"/>
      </right>
      <top/>
      <bottom style="thin">
        <color theme="9" tint="-0.249977111117893"/>
      </bottom>
      <diagonal/>
    </border>
    <border>
      <left style="medium">
        <color theme="9" tint="-0.249977111117893"/>
      </left>
      <right/>
      <top style="thin">
        <color theme="9" tint="-0.249977111117893"/>
      </top>
      <bottom/>
      <diagonal/>
    </border>
    <border>
      <left style="medium">
        <color theme="9" tint="-0.249977111117893"/>
      </left>
      <right/>
      <top/>
      <bottom style="thin">
        <color theme="9" tint="-0.249977111117893"/>
      </bottom>
      <diagonal/>
    </border>
    <border>
      <left style="thin">
        <color theme="9"/>
      </left>
      <right/>
      <top style="thin">
        <color theme="9"/>
      </top>
      <bottom style="medium">
        <color theme="9" tint="-0.249977111117893"/>
      </bottom>
      <diagonal/>
    </border>
    <border>
      <left style="thin">
        <color theme="9"/>
      </left>
      <right style="thin">
        <color theme="9" tint="-0.249977111117893"/>
      </right>
      <top style="medium">
        <color theme="9" tint="-0.249977111117893"/>
      </top>
      <bottom style="thin">
        <color theme="9"/>
      </bottom>
      <diagonal/>
    </border>
    <border>
      <left/>
      <right style="medium">
        <color theme="9" tint="-0.249977111117893"/>
      </right>
      <top style="medium">
        <color theme="9" tint="-0.249977111117893"/>
      </top>
      <bottom style="thin">
        <color theme="9"/>
      </bottom>
      <diagonal/>
    </border>
    <border>
      <left style="thin">
        <color theme="9" tint="-0.249977111117893"/>
      </left>
      <right style="medium">
        <color theme="9" tint="-0.249977111117893"/>
      </right>
      <top style="thin">
        <color theme="9"/>
      </top>
      <bottom style="medium">
        <color theme="9" tint="-0.249977111117893"/>
      </bottom>
      <diagonal/>
    </border>
    <border>
      <left/>
      <right/>
      <top style="thin">
        <color indexed="64"/>
      </top>
      <bottom/>
      <diagonal/>
    </border>
    <border>
      <left style="medium">
        <color theme="9" tint="-0.499984740745262"/>
      </left>
      <right style="thin">
        <color theme="9" tint="-0.249977111117893"/>
      </right>
      <top style="thin">
        <color theme="9" tint="-0.249977111117893"/>
      </top>
      <bottom style="thin">
        <color theme="9" tint="-0.249977111117893"/>
      </bottom>
      <diagonal/>
    </border>
    <border>
      <left style="thin">
        <color theme="9" tint="-0.249977111117893"/>
      </left>
      <right style="medium">
        <color theme="9" tint="-0.499984740745262"/>
      </right>
      <top style="thin">
        <color theme="9" tint="-0.249977111117893"/>
      </top>
      <bottom style="thin">
        <color theme="9" tint="-0.249977111117893"/>
      </bottom>
      <diagonal/>
    </border>
    <border>
      <left style="medium">
        <color theme="9" tint="-0.499984740745262"/>
      </left>
      <right style="thin">
        <color theme="9" tint="-0.249977111117893"/>
      </right>
      <top style="thin">
        <color theme="9" tint="-0.249977111117893"/>
      </top>
      <bottom style="medium">
        <color theme="9" tint="-0.499984740745262"/>
      </bottom>
      <diagonal/>
    </border>
    <border>
      <left style="thin">
        <color theme="9" tint="-0.249977111117893"/>
      </left>
      <right style="medium">
        <color theme="9" tint="-0.499984740745262"/>
      </right>
      <top style="thin">
        <color theme="9" tint="-0.249977111117893"/>
      </top>
      <bottom style="medium">
        <color theme="9" tint="-0.499984740745262"/>
      </bottom>
      <diagonal/>
    </border>
    <border>
      <left style="medium">
        <color theme="9" tint="-0.499984740745262"/>
      </left>
      <right style="medium">
        <color theme="9" tint="-0.499984740745262"/>
      </right>
      <top/>
      <bottom style="thin">
        <color indexed="64"/>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style="medium">
        <color theme="9" tint="-0.249977111117893"/>
      </left>
      <right style="medium">
        <color theme="9" tint="-0.249977111117893"/>
      </right>
      <top style="medium">
        <color theme="9" tint="-0.24994659260841701"/>
      </top>
      <bottom style="medium">
        <color theme="9" tint="-0.249977111117893"/>
      </bottom>
      <diagonal/>
    </border>
    <border>
      <left/>
      <right style="medium">
        <color theme="9" tint="-0.249977111117893"/>
      </right>
      <top style="medium">
        <color theme="9" tint="-0.24994659260841701"/>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77111117893"/>
      </right>
      <top/>
      <bottom style="medium">
        <color theme="9" tint="-0.24994659260841701"/>
      </bottom>
      <diagonal/>
    </border>
    <border>
      <left style="thin">
        <color theme="9" tint="-0.249977111117893"/>
      </left>
      <right/>
      <top/>
      <bottom/>
      <diagonal/>
    </border>
    <border>
      <left/>
      <right style="thin">
        <color theme="9" tint="-0.249977111117893"/>
      </right>
      <top/>
      <bottom/>
      <diagonal/>
    </border>
    <border>
      <left style="medium">
        <color theme="9" tint="-0.249977111117893"/>
      </left>
      <right style="thin">
        <color theme="9" tint="-0.249977111117893"/>
      </right>
      <top/>
      <bottom style="thin">
        <color theme="9" tint="-0.249977111117893"/>
      </bottom>
      <diagonal/>
    </border>
    <border>
      <left style="thin">
        <color theme="9" tint="-0.249977111117893"/>
      </left>
      <right style="medium">
        <color theme="9" tint="-0.249977111117893"/>
      </right>
      <top/>
      <bottom style="thin">
        <color theme="9" tint="-0.249977111117893"/>
      </bottom>
      <diagonal/>
    </border>
    <border>
      <left style="medium">
        <color auto="1"/>
      </left>
      <right/>
      <top/>
      <bottom/>
      <diagonal/>
    </border>
    <border>
      <left style="medium">
        <color theme="9" tint="-0.249977111117893"/>
      </left>
      <right/>
      <top style="thin">
        <color theme="9" tint="-0.249977111117893"/>
      </top>
      <bottom style="medium">
        <color theme="9" tint="-0.249977111117893"/>
      </bottom>
      <diagonal/>
    </border>
    <border>
      <left style="medium">
        <color theme="9" tint="-0.249977111117893"/>
      </left>
      <right style="thin">
        <color theme="9" tint="-0.249977111117893"/>
      </right>
      <top style="thin">
        <color theme="9" tint="-0.249977111117893"/>
      </top>
      <bottom/>
      <diagonal/>
    </border>
    <border>
      <left/>
      <right/>
      <top style="thin">
        <color theme="9" tint="-0.249977111117893"/>
      </top>
      <bottom style="medium">
        <color theme="9" tint="-0.249977111117893"/>
      </bottom>
      <diagonal/>
    </border>
    <border>
      <left style="thin">
        <color theme="9" tint="-0.249977111117893"/>
      </left>
      <right/>
      <top style="thin">
        <color theme="9" tint="-0.249977111117893"/>
      </top>
      <bottom style="medium">
        <color theme="9" tint="-0.249977111117893"/>
      </bottom>
      <diagonal/>
    </border>
    <border>
      <left/>
      <right style="medium">
        <color theme="9" tint="-0.249977111117893"/>
      </right>
      <top style="thin">
        <color theme="9" tint="-0.249977111117893"/>
      </top>
      <bottom style="medium">
        <color theme="9" tint="-0.249977111117893"/>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xf numFmtId="168" fontId="8" fillId="0" borderId="0" applyFont="0" applyFill="0" applyBorder="0" applyAlignment="0" applyProtection="0"/>
    <xf numFmtId="9" fontId="8" fillId="0" borderId="0" applyFont="0" applyFill="0" applyBorder="0" applyAlignment="0" applyProtection="0"/>
    <xf numFmtId="0" fontId="12" fillId="0" borderId="0" applyNumberFormat="0" applyFill="0" applyBorder="0" applyAlignment="0" applyProtection="0">
      <alignment vertical="top"/>
      <protection locked="0"/>
    </xf>
    <xf numFmtId="43" fontId="1" fillId="0" borderId="0" applyFont="0" applyFill="0" applyBorder="0" applyAlignment="0" applyProtection="0"/>
    <xf numFmtId="0" fontId="52" fillId="18" borderId="0" applyNumberFormat="0" applyBorder="0" applyAlignment="0" applyProtection="0"/>
    <xf numFmtId="0" fontId="56" fillId="19" borderId="0" applyNumberFormat="0" applyBorder="0" applyAlignment="0" applyProtection="0"/>
  </cellStyleXfs>
  <cellXfs count="815">
    <xf numFmtId="0" fontId="0" fillId="0" borderId="0" xfId="0"/>
    <xf numFmtId="0" fontId="2" fillId="0" borderId="0" xfId="0" applyFont="1" applyAlignment="1">
      <alignment horizontal="center" vertical="center" wrapText="1"/>
    </xf>
    <xf numFmtId="0" fontId="3" fillId="0" borderId="0" xfId="3"/>
    <xf numFmtId="9" fontId="0" fillId="0" borderId="0" xfId="2" applyFont="1"/>
    <xf numFmtId="9" fontId="0" fillId="0" borderId="0" xfId="2" applyFont="1" applyProtection="1">
      <protection hidden="1"/>
    </xf>
    <xf numFmtId="0" fontId="0" fillId="0" borderId="0" xfId="0" applyProtection="1">
      <protection hidden="1"/>
    </xf>
    <xf numFmtId="0" fontId="2" fillId="0" borderId="0" xfId="0" applyFont="1"/>
    <xf numFmtId="0" fontId="2" fillId="0" borderId="0" xfId="0" applyFont="1" applyBorder="1"/>
    <xf numFmtId="0" fontId="8" fillId="0" borderId="0" xfId="4"/>
    <xf numFmtId="0" fontId="8" fillId="0" borderId="0" xfId="4" applyProtection="1">
      <protection hidden="1"/>
    </xf>
    <xf numFmtId="167" fontId="0" fillId="0" borderId="0" xfId="5" applyNumberFormat="1" applyFont="1" applyFill="1" applyAlignment="1" applyProtection="1">
      <alignment horizontal="right"/>
      <protection hidden="1"/>
    </xf>
    <xf numFmtId="167" fontId="0" fillId="0" borderId="0" xfId="5" applyNumberFormat="1" applyFont="1" applyFill="1" applyAlignment="1" applyProtection="1">
      <protection hidden="1"/>
    </xf>
    <xf numFmtId="0" fontId="8" fillId="0" borderId="0" xfId="4" applyFill="1"/>
    <xf numFmtId="167" fontId="11" fillId="0" borderId="0" xfId="5" applyNumberFormat="1" applyFont="1" applyFill="1" applyProtection="1">
      <protection hidden="1"/>
    </xf>
    <xf numFmtId="167" fontId="0" fillId="0" borderId="0" xfId="5" applyNumberFormat="1" applyFont="1" applyFill="1" applyProtection="1">
      <protection hidden="1"/>
    </xf>
    <xf numFmtId="0" fontId="8" fillId="0" borderId="0" xfId="4" applyFont="1"/>
    <xf numFmtId="0" fontId="9" fillId="0" borderId="0" xfId="4" applyFont="1"/>
    <xf numFmtId="0" fontId="9" fillId="0" borderId="0" xfId="4" applyFont="1" applyProtection="1">
      <protection hidden="1"/>
    </xf>
    <xf numFmtId="0" fontId="8" fillId="0" borderId="0" xfId="4" applyFont="1" applyProtection="1">
      <protection hidden="1"/>
    </xf>
    <xf numFmtId="167" fontId="9" fillId="0" borderId="0" xfId="4" applyNumberFormat="1" applyFont="1"/>
    <xf numFmtId="167" fontId="9" fillId="0" borderId="0" xfId="4" applyNumberFormat="1" applyFont="1" applyProtection="1">
      <protection hidden="1"/>
    </xf>
    <xf numFmtId="0" fontId="14" fillId="0" borderId="4" xfId="4" applyFont="1" applyBorder="1" applyProtection="1">
      <protection hidden="1"/>
    </xf>
    <xf numFmtId="0" fontId="14" fillId="0" borderId="4" xfId="4" applyFont="1" applyBorder="1" applyAlignment="1" applyProtection="1">
      <alignment horizontal="right"/>
      <protection hidden="1"/>
    </xf>
    <xf numFmtId="0" fontId="17" fillId="0" borderId="0" xfId="4" applyFont="1" applyProtection="1">
      <protection hidden="1"/>
    </xf>
    <xf numFmtId="0" fontId="16" fillId="0" borderId="0" xfId="4" applyFont="1" applyAlignment="1" applyProtection="1">
      <alignment horizontal="left"/>
      <protection hidden="1"/>
    </xf>
    <xf numFmtId="0" fontId="17" fillId="0" borderId="0" xfId="4" applyFont="1" applyAlignment="1" applyProtection="1">
      <alignment horizontal="left"/>
      <protection hidden="1"/>
    </xf>
    <xf numFmtId="167" fontId="17" fillId="0" borderId="0" xfId="5" applyNumberFormat="1" applyFont="1" applyFill="1" applyProtection="1">
      <protection hidden="1"/>
    </xf>
    <xf numFmtId="0" fontId="17" fillId="0" borderId="0" xfId="4" applyFont="1"/>
    <xf numFmtId="0" fontId="17" fillId="0" borderId="0" xfId="4" applyFont="1" applyFill="1"/>
    <xf numFmtId="0" fontId="16" fillId="0" borderId="0" xfId="4" applyFont="1" applyProtection="1">
      <protection hidden="1"/>
    </xf>
    <xf numFmtId="0" fontId="17" fillId="0" borderId="0" xfId="4" applyFont="1" applyAlignment="1" applyProtection="1">
      <alignment horizontal="right"/>
      <protection hidden="1"/>
    </xf>
    <xf numFmtId="0" fontId="17" fillId="0" borderId="0" xfId="4" applyFont="1" applyFill="1" applyProtection="1">
      <protection hidden="1"/>
    </xf>
    <xf numFmtId="0" fontId="16" fillId="0" borderId="0" xfId="4" applyFont="1" applyFill="1" applyAlignment="1" applyProtection="1">
      <alignment horizontal="center" vertical="center"/>
      <protection hidden="1"/>
    </xf>
    <xf numFmtId="9" fontId="17" fillId="0" borderId="0" xfId="6" applyFont="1" applyFill="1" applyProtection="1">
      <protection hidden="1"/>
    </xf>
    <xf numFmtId="0" fontId="2" fillId="0" borderId="0" xfId="4" applyFont="1" applyProtection="1">
      <protection hidden="1"/>
    </xf>
    <xf numFmtId="0" fontId="19" fillId="0" borderId="0" xfId="4" applyFont="1" applyAlignment="1" applyProtection="1">
      <protection hidden="1"/>
    </xf>
    <xf numFmtId="0" fontId="4" fillId="0" borderId="0" xfId="4" applyFont="1" applyProtection="1">
      <protection hidden="1"/>
    </xf>
    <xf numFmtId="167" fontId="4" fillId="0" borderId="0" xfId="5" applyNumberFormat="1" applyFont="1" applyFill="1" applyProtection="1">
      <protection hidden="1"/>
    </xf>
    <xf numFmtId="0" fontId="4" fillId="0" borderId="5" xfId="4" applyFont="1" applyBorder="1" applyProtection="1">
      <protection hidden="1"/>
    </xf>
    <xf numFmtId="0" fontId="4" fillId="0" borderId="4" xfId="4" applyFont="1" applyBorder="1" applyProtection="1">
      <protection hidden="1"/>
    </xf>
    <xf numFmtId="0" fontId="2" fillId="0" borderId="0" xfId="4" applyFont="1" applyBorder="1" applyProtection="1">
      <protection hidden="1"/>
    </xf>
    <xf numFmtId="0" fontId="2" fillId="0" borderId="0" xfId="4" applyFont="1" applyFill="1" applyBorder="1" applyProtection="1">
      <protection hidden="1"/>
    </xf>
    <xf numFmtId="0" fontId="22" fillId="0" borderId="0" xfId="4" applyFont="1" applyBorder="1" applyProtection="1">
      <protection hidden="1"/>
    </xf>
    <xf numFmtId="0" fontId="7" fillId="0" borderId="0" xfId="4" applyFont="1" applyBorder="1" applyAlignment="1" applyProtection="1">
      <protection hidden="1"/>
    </xf>
    <xf numFmtId="167" fontId="22" fillId="0" borderId="0" xfId="5" applyNumberFormat="1" applyFont="1" applyFill="1" applyBorder="1" applyAlignment="1" applyProtection="1">
      <alignment horizontal="right"/>
      <protection hidden="1"/>
    </xf>
    <xf numFmtId="0" fontId="2" fillId="0" borderId="0" xfId="4" applyFont="1" applyFill="1" applyProtection="1">
      <protection hidden="1"/>
    </xf>
    <xf numFmtId="0" fontId="4" fillId="0" borderId="0" xfId="4" applyFont="1" applyAlignment="1" applyProtection="1">
      <protection hidden="1"/>
    </xf>
    <xf numFmtId="0" fontId="2" fillId="0" borderId="0" xfId="4" applyFont="1" applyAlignment="1" applyProtection="1">
      <protection hidden="1"/>
    </xf>
    <xf numFmtId="0" fontId="0" fillId="0" borderId="0" xfId="0" applyAlignment="1">
      <alignment vertical="center"/>
    </xf>
    <xf numFmtId="0" fontId="17" fillId="0" borderId="0" xfId="4" applyFont="1" applyAlignment="1">
      <alignment horizontal="center" vertical="top" wrapText="1"/>
    </xf>
    <xf numFmtId="0" fontId="0" fillId="5" borderId="0" xfId="0" applyFill="1"/>
    <xf numFmtId="9" fontId="0" fillId="5" borderId="0" xfId="2" applyFont="1" applyFill="1"/>
    <xf numFmtId="0" fontId="2" fillId="8" borderId="0" xfId="4" applyFont="1" applyFill="1" applyBorder="1" applyProtection="1">
      <protection hidden="1"/>
    </xf>
    <xf numFmtId="0" fontId="2" fillId="8" borderId="0" xfId="4" applyFont="1" applyFill="1" applyBorder="1" applyAlignment="1" applyProtection="1">
      <protection hidden="1"/>
    </xf>
    <xf numFmtId="0" fontId="2" fillId="8" borderId="0" xfId="4" applyFont="1" applyFill="1" applyBorder="1" applyAlignment="1" applyProtection="1">
      <alignment horizontal="right"/>
      <protection hidden="1"/>
    </xf>
    <xf numFmtId="167" fontId="2" fillId="8" borderId="0" xfId="5" applyNumberFormat="1" applyFont="1" applyFill="1" applyBorder="1" applyAlignment="1" applyProtection="1">
      <protection hidden="1"/>
    </xf>
    <xf numFmtId="167" fontId="2" fillId="8" borderId="0" xfId="5" applyNumberFormat="1" applyFont="1" applyFill="1" applyBorder="1" applyAlignment="1" applyProtection="1">
      <protection locked="0"/>
    </xf>
    <xf numFmtId="0" fontId="2" fillId="8" borderId="0" xfId="4" applyFont="1" applyFill="1" applyBorder="1" applyProtection="1">
      <protection locked="0"/>
    </xf>
    <xf numFmtId="9" fontId="2" fillId="8" borderId="0" xfId="4" applyNumberFormat="1" applyFont="1" applyFill="1" applyBorder="1" applyProtection="1">
      <protection locked="0"/>
    </xf>
    <xf numFmtId="0" fontId="4" fillId="0" borderId="0" xfId="4" applyFont="1" applyBorder="1" applyAlignment="1" applyProtection="1">
      <alignment horizontal="left" vertical="center"/>
      <protection hidden="1"/>
    </xf>
    <xf numFmtId="0" fontId="8" fillId="0" borderId="0" xfId="4" applyAlignment="1" applyProtection="1">
      <alignment vertical="center"/>
      <protection hidden="1"/>
    </xf>
    <xf numFmtId="0" fontId="4" fillId="0" borderId="0" xfId="4" applyFont="1" applyAlignment="1" applyProtection="1">
      <alignment vertical="center" wrapText="1"/>
      <protection hidden="1"/>
    </xf>
    <xf numFmtId="0" fontId="2" fillId="0" borderId="0" xfId="4" applyFont="1" applyAlignment="1" applyProtection="1">
      <alignment vertical="center"/>
      <protection hidden="1"/>
    </xf>
    <xf numFmtId="0" fontId="8" fillId="0" borderId="0" xfId="4" applyAlignment="1">
      <alignment vertical="center"/>
    </xf>
    <xf numFmtId="0" fontId="24" fillId="5" borderId="0" xfId="0" applyFont="1" applyFill="1" applyAlignment="1">
      <alignment horizontal="center" vertical="center"/>
    </xf>
    <xf numFmtId="0" fontId="25" fillId="5" borderId="0" xfId="0" applyFont="1" applyFill="1" applyAlignment="1">
      <alignment horizontal="center" vertical="center"/>
    </xf>
    <xf numFmtId="167" fontId="2" fillId="8" borderId="0" xfId="5" applyNumberFormat="1" applyFont="1" applyFill="1" applyBorder="1" applyAlignment="1" applyProtection="1">
      <alignment horizontal="center"/>
      <protection hidden="1"/>
    </xf>
    <xf numFmtId="0" fontId="27" fillId="5" borderId="0" xfId="0" applyFont="1" applyFill="1" applyAlignment="1">
      <alignment vertical="center"/>
    </xf>
    <xf numFmtId="0" fontId="0" fillId="5" borderId="0" xfId="0" applyFill="1" applyAlignment="1">
      <alignment horizontal="left"/>
    </xf>
    <xf numFmtId="0" fontId="0" fillId="0" borderId="0" xfId="0" applyBorder="1"/>
    <xf numFmtId="0" fontId="2" fillId="6" borderId="0" xfId="0" applyFont="1" applyFill="1" applyBorder="1"/>
    <xf numFmtId="0" fontId="3" fillId="0" borderId="0" xfId="3" applyBorder="1"/>
    <xf numFmtId="0" fontId="0" fillId="6" borderId="0" xfId="0" applyFill="1" applyBorder="1"/>
    <xf numFmtId="9" fontId="17" fillId="0" borderId="0" xfId="6" applyFont="1" applyFill="1" applyProtection="1">
      <protection locked="0"/>
    </xf>
    <xf numFmtId="9" fontId="29" fillId="11" borderId="0" xfId="6" applyFont="1" applyFill="1" applyProtection="1">
      <protection locked="0"/>
    </xf>
    <xf numFmtId="10" fontId="28" fillId="11" borderId="0" xfId="6" applyNumberFormat="1" applyFont="1" applyFill="1" applyProtection="1">
      <protection locked="0"/>
    </xf>
    <xf numFmtId="0" fontId="28" fillId="11" borderId="4" xfId="4" applyFont="1" applyFill="1" applyBorder="1" applyProtection="1">
      <protection locked="0"/>
    </xf>
    <xf numFmtId="0" fontId="2" fillId="9" borderId="0" xfId="4" applyFont="1" applyFill="1" applyBorder="1" applyAlignment="1" applyProtection="1">
      <alignment vertical="center"/>
      <protection hidden="1"/>
    </xf>
    <xf numFmtId="167" fontId="2" fillId="9" borderId="0" xfId="5" applyNumberFormat="1" applyFont="1" applyFill="1" applyBorder="1" applyAlignment="1" applyProtection="1">
      <alignment vertical="center"/>
      <protection hidden="1"/>
    </xf>
    <xf numFmtId="0" fontId="6" fillId="13" borderId="0" xfId="4" applyFont="1" applyFill="1" applyBorder="1" applyAlignment="1" applyProtection="1">
      <alignment vertical="center"/>
      <protection hidden="1"/>
    </xf>
    <xf numFmtId="167" fontId="6" fillId="13" borderId="0" xfId="5" applyNumberFormat="1" applyFont="1" applyFill="1" applyBorder="1" applyAlignment="1" applyProtection="1">
      <alignment vertical="center"/>
      <protection hidden="1"/>
    </xf>
    <xf numFmtId="0" fontId="19" fillId="12" borderId="0" xfId="4" applyFont="1" applyFill="1" applyBorder="1" applyAlignment="1" applyProtection="1">
      <alignment vertical="center"/>
      <protection hidden="1"/>
    </xf>
    <xf numFmtId="0" fontId="21" fillId="2" borderId="0" xfId="4" applyFont="1" applyFill="1" applyBorder="1" applyAlignment="1" applyProtection="1">
      <alignment horizontal="left" vertical="center"/>
      <protection hidden="1"/>
    </xf>
    <xf numFmtId="167" fontId="2" fillId="2" borderId="0" xfId="4" applyNumberFormat="1" applyFont="1" applyFill="1" applyBorder="1" applyAlignment="1" applyProtection="1">
      <alignment vertical="center"/>
      <protection hidden="1"/>
    </xf>
    <xf numFmtId="167" fontId="4" fillId="2" borderId="0" xfId="4" applyNumberFormat="1" applyFont="1" applyFill="1" applyBorder="1" applyAlignment="1" applyProtection="1">
      <alignment vertical="center"/>
      <protection hidden="1"/>
    </xf>
    <xf numFmtId="167" fontId="2" fillId="15" borderId="0" xfId="5" applyNumberFormat="1" applyFont="1" applyFill="1" applyBorder="1" applyAlignment="1" applyProtection="1">
      <alignment vertical="center"/>
      <protection locked="0"/>
    </xf>
    <xf numFmtId="167" fontId="2" fillId="15" borderId="0" xfId="5" applyNumberFormat="1" applyFont="1" applyFill="1" applyBorder="1" applyAlignment="1" applyProtection="1">
      <alignment vertical="center"/>
      <protection hidden="1"/>
    </xf>
    <xf numFmtId="0" fontId="21" fillId="7" borderId="0" xfId="4" applyFont="1" applyFill="1" applyBorder="1" applyAlignment="1" applyProtection="1">
      <alignment horizontal="left" vertical="center"/>
      <protection hidden="1"/>
    </xf>
    <xf numFmtId="167" fontId="2" fillId="7" borderId="0" xfId="4" applyNumberFormat="1" applyFont="1" applyFill="1" applyBorder="1" applyAlignment="1" applyProtection="1">
      <alignment vertical="center"/>
      <protection hidden="1"/>
    </xf>
    <xf numFmtId="0" fontId="0" fillId="0" borderId="0" xfId="0" applyAlignment="1">
      <alignment horizontal="left"/>
    </xf>
    <xf numFmtId="0" fontId="31" fillId="0" borderId="0" xfId="0" applyFont="1" applyAlignment="1">
      <alignment horizontal="left"/>
    </xf>
    <xf numFmtId="0" fontId="31" fillId="0" borderId="0" xfId="0" applyFont="1" applyAlignment="1">
      <alignment horizontal="left" vertical="center"/>
    </xf>
    <xf numFmtId="0" fontId="0" fillId="0" borderId="0" xfId="0" applyAlignment="1">
      <alignment horizontal="right"/>
    </xf>
    <xf numFmtId="0" fontId="35" fillId="7" borderId="0" xfId="0" applyFont="1" applyFill="1" applyBorder="1" applyAlignment="1">
      <alignment horizontal="left" vertical="center" wrapText="1"/>
    </xf>
    <xf numFmtId="0" fontId="2" fillId="7" borderId="0" xfId="0" applyFont="1" applyFill="1" applyBorder="1" applyAlignment="1">
      <alignment horizontal="left" vertical="center"/>
    </xf>
    <xf numFmtId="0" fontId="0" fillId="5" borderId="0" xfId="0" applyFill="1" applyBorder="1" applyAlignment="1">
      <alignment horizontal="left"/>
    </xf>
    <xf numFmtId="0" fontId="0" fillId="0" borderId="0" xfId="0" applyBorder="1" applyAlignment="1">
      <alignment vertical="center"/>
    </xf>
    <xf numFmtId="0" fontId="2" fillId="0" borderId="0" xfId="0" applyFont="1" applyAlignment="1">
      <alignment horizontal="right" wrapText="1"/>
    </xf>
    <xf numFmtId="0" fontId="15" fillId="0" borderId="0" xfId="0" applyFont="1" applyAlignment="1">
      <alignment horizontal="right" wrapText="1"/>
    </xf>
    <xf numFmtId="0" fontId="0" fillId="0" borderId="0" xfId="0" applyFill="1"/>
    <xf numFmtId="0" fontId="37" fillId="0" borderId="0" xfId="0" applyFont="1" applyFill="1" applyBorder="1" applyAlignment="1">
      <alignment horizontal="center" vertical="center"/>
    </xf>
    <xf numFmtId="171" fontId="37" fillId="0" borderId="0" xfId="8" applyNumberFormat="1" applyFont="1" applyFill="1" applyBorder="1" applyAlignment="1">
      <alignment horizontal="center" vertical="center"/>
    </xf>
    <xf numFmtId="0" fontId="26" fillId="6" borderId="0" xfId="0" applyFont="1" applyFill="1" applyBorder="1"/>
    <xf numFmtId="0" fontId="2" fillId="13" borderId="0" xfId="4" applyFont="1" applyFill="1" applyBorder="1" applyProtection="1">
      <protection hidden="1"/>
    </xf>
    <xf numFmtId="4" fontId="19" fillId="6" borderId="0" xfId="0" applyNumberFormat="1" applyFont="1" applyFill="1" applyBorder="1" applyAlignment="1">
      <alignment horizontal="center" vertical="center"/>
    </xf>
    <xf numFmtId="3" fontId="4" fillId="0" borderId="0" xfId="4" applyNumberFormat="1" applyFont="1" applyProtection="1">
      <protection hidden="1"/>
    </xf>
    <xf numFmtId="0" fontId="11" fillId="0" borderId="1" xfId="4" applyFont="1" applyBorder="1" applyProtection="1"/>
    <xf numFmtId="0" fontId="11" fillId="0" borderId="0" xfId="4" applyFont="1"/>
    <xf numFmtId="0" fontId="11" fillId="0" borderId="0" xfId="4" applyFont="1" applyProtection="1"/>
    <xf numFmtId="0" fontId="11" fillId="0" borderId="6" xfId="4" applyFont="1" applyBorder="1" applyProtection="1"/>
    <xf numFmtId="167" fontId="11" fillId="0" borderId="0" xfId="4" applyNumberFormat="1" applyFont="1" applyBorder="1" applyProtection="1"/>
    <xf numFmtId="167" fontId="11" fillId="0" borderId="6" xfId="4" applyNumberFormat="1" applyFont="1" applyBorder="1" applyProtection="1"/>
    <xf numFmtId="10" fontId="11" fillId="0" borderId="3" xfId="4" applyNumberFormat="1" applyFont="1" applyBorder="1"/>
    <xf numFmtId="0" fontId="11" fillId="0" borderId="4" xfId="4" applyFont="1" applyBorder="1"/>
    <xf numFmtId="0" fontId="11" fillId="0" borderId="5" xfId="4" applyFont="1" applyBorder="1"/>
    <xf numFmtId="43" fontId="4" fillId="0" borderId="0" xfId="4" applyNumberFormat="1" applyFont="1" applyProtection="1">
      <protection hidden="1"/>
    </xf>
    <xf numFmtId="167" fontId="8" fillId="0" borderId="0" xfId="4" applyNumberFormat="1" applyProtection="1">
      <protection hidden="1"/>
    </xf>
    <xf numFmtId="167" fontId="9" fillId="0" borderId="0" xfId="4" applyNumberFormat="1" applyFont="1" applyBorder="1" applyProtection="1">
      <protection hidden="1"/>
    </xf>
    <xf numFmtId="167" fontId="33" fillId="12" borderId="0" xfId="5" applyNumberFormat="1" applyFont="1" applyFill="1" applyBorder="1" applyAlignment="1" applyProtection="1">
      <alignment vertical="center"/>
      <protection hidden="1"/>
    </xf>
    <xf numFmtId="0" fontId="2" fillId="0" borderId="0" xfId="0" applyFont="1" applyBorder="1" applyAlignment="1">
      <alignment horizontal="center" vertical="center" wrapText="1"/>
    </xf>
    <xf numFmtId="9" fontId="2" fillId="3" borderId="14" xfId="2" applyFont="1" applyFill="1" applyBorder="1" applyAlignment="1">
      <alignment horizontal="center"/>
    </xf>
    <xf numFmtId="2" fontId="2" fillId="4" borderId="14" xfId="0" applyNumberFormat="1" applyFont="1" applyFill="1" applyBorder="1" applyAlignment="1">
      <alignment horizontal="center"/>
    </xf>
    <xf numFmtId="166" fontId="2" fillId="4" borderId="14" xfId="0" applyNumberFormat="1" applyFont="1" applyFill="1" applyBorder="1" applyAlignment="1">
      <alignment horizontal="center"/>
    </xf>
    <xf numFmtId="9" fontId="2" fillId="4" borderId="14" xfId="2" applyFont="1" applyFill="1" applyBorder="1" applyAlignment="1">
      <alignment horizontal="center"/>
    </xf>
    <xf numFmtId="164" fontId="2" fillId="3" borderId="14" xfId="0" applyNumberFormat="1" applyFont="1" applyFill="1" applyBorder="1" applyAlignment="1">
      <alignment horizontal="center"/>
    </xf>
    <xf numFmtId="169" fontId="2" fillId="4" borderId="14" xfId="0" applyNumberFormat="1" applyFont="1" applyFill="1" applyBorder="1" applyAlignment="1">
      <alignment horizontal="center"/>
    </xf>
    <xf numFmtId="165" fontId="2" fillId="5" borderId="14" xfId="1" applyNumberFormat="1" applyFont="1" applyFill="1" applyBorder="1" applyAlignment="1">
      <alignment horizontal="center"/>
    </xf>
    <xf numFmtId="166" fontId="2" fillId="5" borderId="14" xfId="0" applyNumberFormat="1" applyFont="1" applyFill="1" applyBorder="1" applyAlignment="1">
      <alignment horizontal="center"/>
    </xf>
    <xf numFmtId="166" fontId="2" fillId="0" borderId="14" xfId="0" applyNumberFormat="1" applyFont="1" applyBorder="1" applyAlignment="1">
      <alignment horizontal="center"/>
    </xf>
    <xf numFmtId="0" fontId="6" fillId="7" borderId="17" xfId="0" applyFont="1" applyFill="1" applyBorder="1" applyAlignment="1">
      <alignment horizontal="left" vertical="center"/>
    </xf>
    <xf numFmtId="0" fontId="5" fillId="7" borderId="17" xfId="0" applyFont="1" applyFill="1" applyBorder="1" applyAlignment="1">
      <alignment horizontal="left" vertical="center"/>
    </xf>
    <xf numFmtId="0" fontId="6" fillId="7" borderId="18" xfId="0" applyFont="1" applyFill="1" applyBorder="1" applyAlignment="1">
      <alignment horizontal="left" vertical="center"/>
    </xf>
    <xf numFmtId="0" fontId="0" fillId="7" borderId="9" xfId="0" applyFill="1" applyBorder="1" applyAlignment="1">
      <alignment horizontal="left" vertical="center"/>
    </xf>
    <xf numFmtId="0" fontId="2" fillId="7" borderId="11" xfId="0" applyFont="1" applyFill="1" applyBorder="1" applyAlignment="1">
      <alignment horizontal="left" vertical="center"/>
    </xf>
    <xf numFmtId="0" fontId="33" fillId="7" borderId="11" xfId="0" applyFont="1" applyFill="1" applyBorder="1" applyAlignment="1">
      <alignment horizontal="left" vertical="center"/>
    </xf>
    <xf numFmtId="0" fontId="0" fillId="7" borderId="12" xfId="0" applyFill="1" applyBorder="1" applyAlignment="1">
      <alignment horizontal="left" vertical="center"/>
    </xf>
    <xf numFmtId="0" fontId="13" fillId="17" borderId="17" xfId="0" applyFont="1" applyFill="1" applyBorder="1" applyAlignment="1">
      <alignment horizontal="left"/>
    </xf>
    <xf numFmtId="0" fontId="36" fillId="17" borderId="17" xfId="0" applyFont="1" applyFill="1" applyBorder="1" applyAlignment="1">
      <alignment horizontal="left"/>
    </xf>
    <xf numFmtId="0" fontId="0" fillId="17" borderId="18" xfId="0" applyFill="1" applyBorder="1" applyAlignment="1">
      <alignment horizontal="left"/>
    </xf>
    <xf numFmtId="0" fontId="0" fillId="0" borderId="9" xfId="0" applyBorder="1"/>
    <xf numFmtId="0" fontId="2" fillId="0" borderId="9" xfId="0" applyFont="1" applyBorder="1"/>
    <xf numFmtId="0" fontId="0" fillId="5" borderId="9" xfId="0" applyFill="1" applyBorder="1" applyAlignment="1">
      <alignment horizontal="left"/>
    </xf>
    <xf numFmtId="0" fontId="0" fillId="0" borderId="11" xfId="0" applyBorder="1"/>
    <xf numFmtId="0" fontId="0" fillId="0" borderId="12" xfId="0" applyBorder="1"/>
    <xf numFmtId="0" fontId="4" fillId="2" borderId="11" xfId="4" applyFont="1" applyFill="1" applyBorder="1" applyAlignment="1" applyProtection="1">
      <alignment horizontal="center" wrapText="1"/>
      <protection hidden="1"/>
    </xf>
    <xf numFmtId="0" fontId="4" fillId="2" borderId="12" xfId="4" applyFont="1" applyFill="1" applyBorder="1" applyAlignment="1" applyProtection="1">
      <alignment horizontal="center" wrapText="1"/>
      <protection hidden="1"/>
    </xf>
    <xf numFmtId="0" fontId="4" fillId="10" borderId="21" xfId="4" applyFont="1" applyFill="1" applyBorder="1" applyAlignment="1" applyProtection="1">
      <alignment horizontal="center" wrapText="1"/>
      <protection hidden="1"/>
    </xf>
    <xf numFmtId="0" fontId="0" fillId="0" borderId="35" xfId="0" applyBorder="1"/>
    <xf numFmtId="0" fontId="0" fillId="0" borderId="36" xfId="0" applyBorder="1"/>
    <xf numFmtId="0" fontId="0" fillId="0" borderId="38" xfId="0" applyBorder="1"/>
    <xf numFmtId="0" fontId="0" fillId="6" borderId="38" xfId="0" applyFill="1" applyBorder="1"/>
    <xf numFmtId="0" fontId="2" fillId="6" borderId="38" xfId="0" applyFont="1" applyFill="1" applyBorder="1"/>
    <xf numFmtId="0" fontId="2" fillId="6" borderId="40" xfId="0" applyFont="1" applyFill="1" applyBorder="1"/>
    <xf numFmtId="0" fontId="2" fillId="6" borderId="41" xfId="0" applyFont="1" applyFill="1" applyBorder="1"/>
    <xf numFmtId="0" fontId="4" fillId="5" borderId="15" xfId="0" applyFont="1" applyFill="1" applyBorder="1" applyAlignment="1">
      <alignment horizontal="center"/>
    </xf>
    <xf numFmtId="4" fontId="4" fillId="16" borderId="15" xfId="0" applyNumberFormat="1" applyFont="1" applyFill="1" applyBorder="1" applyAlignment="1">
      <alignment horizontal="center" vertical="center"/>
    </xf>
    <xf numFmtId="165" fontId="4" fillId="5" borderId="15" xfId="1" applyNumberFormat="1" applyFont="1" applyFill="1" applyBorder="1" applyAlignment="1">
      <alignment horizontal="center" vertical="center"/>
    </xf>
    <xf numFmtId="4" fontId="19" fillId="5" borderId="15" xfId="0" applyNumberFormat="1" applyFont="1" applyFill="1" applyBorder="1" applyAlignment="1">
      <alignment horizontal="center" vertical="center"/>
    </xf>
    <xf numFmtId="165" fontId="19" fillId="5" borderId="15" xfId="1" applyNumberFormat="1" applyFont="1" applyFill="1" applyBorder="1" applyAlignment="1">
      <alignment horizontal="center" vertical="center"/>
    </xf>
    <xf numFmtId="0" fontId="2" fillId="6" borderId="34" xfId="0" applyFont="1" applyFill="1" applyBorder="1"/>
    <xf numFmtId="0" fontId="2" fillId="6" borderId="35" xfId="0" applyFont="1" applyFill="1" applyBorder="1"/>
    <xf numFmtId="0" fontId="0" fillId="6" borderId="36" xfId="0" applyFill="1" applyBorder="1"/>
    <xf numFmtId="0" fontId="2" fillId="6" borderId="37" xfId="0" applyFont="1" applyFill="1" applyBorder="1"/>
    <xf numFmtId="0" fontId="26" fillId="6" borderId="37" xfId="0" applyFont="1" applyFill="1" applyBorder="1"/>
    <xf numFmtId="0" fontId="2" fillId="6" borderId="39" xfId="0" applyFont="1" applyFill="1" applyBorder="1"/>
    <xf numFmtId="0" fontId="37" fillId="4" borderId="43" xfId="0" applyFont="1" applyFill="1" applyBorder="1" applyAlignment="1">
      <alignment horizontal="center" vertical="center"/>
    </xf>
    <xf numFmtId="171" fontId="37" fillId="4" borderId="43" xfId="8" applyNumberFormat="1" applyFont="1" applyFill="1" applyBorder="1" applyAlignment="1">
      <alignment horizontal="center" vertical="center"/>
    </xf>
    <xf numFmtId="0" fontId="7" fillId="4" borderId="44" xfId="0" applyFont="1" applyFill="1" applyBorder="1" applyAlignment="1">
      <alignment horizontal="center" vertical="center"/>
    </xf>
    <xf numFmtId="0" fontId="4" fillId="7" borderId="34" xfId="4" applyFont="1" applyFill="1" applyBorder="1" applyAlignment="1" applyProtection="1">
      <alignment vertical="center"/>
      <protection hidden="1"/>
    </xf>
    <xf numFmtId="0" fontId="26" fillId="9" borderId="37" xfId="4" applyFont="1" applyFill="1" applyBorder="1" applyAlignment="1" applyProtection="1">
      <alignment vertical="center"/>
      <protection hidden="1"/>
    </xf>
    <xf numFmtId="0" fontId="2" fillId="9" borderId="38" xfId="4" applyFont="1" applyFill="1" applyBorder="1" applyAlignment="1" applyProtection="1">
      <alignment vertical="center"/>
      <protection hidden="1"/>
    </xf>
    <xf numFmtId="0" fontId="2" fillId="9" borderId="37" xfId="4" applyFont="1" applyFill="1" applyBorder="1" applyAlignment="1" applyProtection="1">
      <alignment vertical="center"/>
      <protection hidden="1"/>
    </xf>
    <xf numFmtId="0" fontId="4" fillId="9" borderId="37" xfId="4" applyFont="1" applyFill="1" applyBorder="1" applyAlignment="1" applyProtection="1">
      <alignment vertical="center"/>
      <protection hidden="1"/>
    </xf>
    <xf numFmtId="0" fontId="4" fillId="9" borderId="38" xfId="4" applyFont="1" applyFill="1" applyBorder="1" applyAlignment="1" applyProtection="1">
      <alignment vertical="center"/>
      <protection hidden="1"/>
    </xf>
    <xf numFmtId="0" fontId="5" fillId="13" borderId="37" xfId="4" applyFont="1" applyFill="1" applyBorder="1" applyAlignment="1" applyProtection="1">
      <alignment vertical="center"/>
      <protection hidden="1"/>
    </xf>
    <xf numFmtId="0" fontId="6" fillId="13" borderId="38" xfId="4" applyFont="1" applyFill="1" applyBorder="1" applyAlignment="1" applyProtection="1">
      <alignment vertical="center"/>
      <protection hidden="1"/>
    </xf>
    <xf numFmtId="0" fontId="6" fillId="13" borderId="37" xfId="4" applyFont="1" applyFill="1" applyBorder="1" applyAlignment="1" applyProtection="1">
      <alignment vertical="center"/>
      <protection hidden="1"/>
    </xf>
    <xf numFmtId="0" fontId="19" fillId="12" borderId="37" xfId="4" applyFont="1" applyFill="1" applyBorder="1" applyAlignment="1" applyProtection="1">
      <alignment vertical="center"/>
      <protection hidden="1"/>
    </xf>
    <xf numFmtId="0" fontId="19" fillId="12" borderId="38" xfId="4" applyFont="1" applyFill="1" applyBorder="1" applyAlignment="1" applyProtection="1">
      <alignment vertical="center"/>
      <protection hidden="1"/>
    </xf>
    <xf numFmtId="0" fontId="33" fillId="12" borderId="37" xfId="4" applyFont="1" applyFill="1" applyBorder="1" applyAlignment="1" applyProtection="1">
      <alignment vertical="center"/>
      <protection hidden="1"/>
    </xf>
    <xf numFmtId="0" fontId="33" fillId="12" borderId="38" xfId="4" applyFont="1" applyFill="1" applyBorder="1" applyAlignment="1" applyProtection="1">
      <alignment vertical="center"/>
      <protection hidden="1"/>
    </xf>
    <xf numFmtId="0" fontId="26" fillId="2" borderId="37" xfId="4" applyFont="1" applyFill="1" applyBorder="1" applyAlignment="1" applyProtection="1">
      <alignment horizontal="left" vertical="center"/>
      <protection hidden="1"/>
    </xf>
    <xf numFmtId="0" fontId="21" fillId="2" borderId="38" xfId="4" applyFont="1" applyFill="1" applyBorder="1" applyAlignment="1" applyProtection="1">
      <alignment horizontal="left" vertical="center"/>
      <protection hidden="1"/>
    </xf>
    <xf numFmtId="0" fontId="2" fillId="2" borderId="37" xfId="4" applyFont="1" applyFill="1" applyBorder="1" applyAlignment="1" applyProtection="1">
      <alignment vertical="center"/>
      <protection hidden="1"/>
    </xf>
    <xf numFmtId="0" fontId="2" fillId="2" borderId="38" xfId="4" applyFont="1" applyFill="1" applyBorder="1" applyAlignment="1" applyProtection="1">
      <alignment vertical="center"/>
      <protection hidden="1"/>
    </xf>
    <xf numFmtId="0" fontId="26" fillId="2" borderId="37" xfId="4" applyFont="1" applyFill="1" applyBorder="1" applyAlignment="1" applyProtection="1">
      <alignment vertical="center"/>
      <protection hidden="1"/>
    </xf>
    <xf numFmtId="0" fontId="4" fillId="2" borderId="38" xfId="4" applyFont="1" applyFill="1" applyBorder="1" applyAlignment="1" applyProtection="1">
      <alignment vertical="center"/>
      <protection hidden="1"/>
    </xf>
    <xf numFmtId="0" fontId="6" fillId="2" borderId="38" xfId="4" applyFont="1" applyFill="1" applyBorder="1" applyAlignment="1" applyProtection="1">
      <alignment vertical="center"/>
      <protection hidden="1"/>
    </xf>
    <xf numFmtId="0" fontId="26" fillId="15" borderId="37" xfId="4" applyFont="1" applyFill="1" applyBorder="1" applyAlignment="1" applyProtection="1">
      <alignment vertical="center"/>
      <protection hidden="1"/>
    </xf>
    <xf numFmtId="0" fontId="2" fillId="15" borderId="38" xfId="4" applyFont="1" applyFill="1" applyBorder="1" applyAlignment="1" applyProtection="1">
      <alignment vertical="center"/>
      <protection hidden="1"/>
    </xf>
    <xf numFmtId="0" fontId="2" fillId="15" borderId="37" xfId="4" applyFont="1" applyFill="1" applyBorder="1" applyAlignment="1" applyProtection="1">
      <alignment vertical="center"/>
      <protection hidden="1"/>
    </xf>
    <xf numFmtId="0" fontId="4" fillId="15" borderId="37" xfId="4" applyFont="1" applyFill="1" applyBorder="1" applyAlignment="1" applyProtection="1">
      <alignment vertical="center"/>
      <protection hidden="1"/>
    </xf>
    <xf numFmtId="0" fontId="26" fillId="7" borderId="37" xfId="4" applyFont="1" applyFill="1" applyBorder="1" applyAlignment="1" applyProtection="1">
      <alignment horizontal="left" vertical="center"/>
      <protection hidden="1"/>
    </xf>
    <xf numFmtId="0" fontId="21" fillId="7" borderId="38" xfId="4" applyFont="1" applyFill="1" applyBorder="1" applyAlignment="1" applyProtection="1">
      <alignment horizontal="left" vertical="center"/>
      <protection hidden="1"/>
    </xf>
    <xf numFmtId="0" fontId="2" fillId="7" borderId="37" xfId="4" applyFont="1" applyFill="1" applyBorder="1" applyAlignment="1" applyProtection="1">
      <alignment vertical="center"/>
      <protection hidden="1"/>
    </xf>
    <xf numFmtId="0" fontId="2" fillId="7" borderId="38" xfId="4" applyFont="1" applyFill="1" applyBorder="1" applyAlignment="1" applyProtection="1">
      <alignment vertical="center"/>
      <protection hidden="1"/>
    </xf>
    <xf numFmtId="167" fontId="9" fillId="0" borderId="6" xfId="4" applyNumberFormat="1" applyFont="1" applyBorder="1" applyProtection="1">
      <protection hidden="1"/>
    </xf>
    <xf numFmtId="0" fontId="2" fillId="8" borderId="38" xfId="4" applyFont="1" applyFill="1" applyBorder="1" applyProtection="1">
      <protection hidden="1"/>
    </xf>
    <xf numFmtId="167" fontId="2" fillId="8" borderId="38" xfId="5" applyNumberFormat="1" applyFont="1" applyFill="1" applyBorder="1" applyAlignment="1" applyProtection="1">
      <protection hidden="1"/>
    </xf>
    <xf numFmtId="167" fontId="2" fillId="13" borderId="38" xfId="5" applyNumberFormat="1" applyFont="1" applyFill="1" applyBorder="1" applyAlignment="1" applyProtection="1">
      <protection hidden="1"/>
    </xf>
    <xf numFmtId="0" fontId="22" fillId="0" borderId="38" xfId="4" applyFont="1" applyBorder="1" applyProtection="1">
      <protection hidden="1"/>
    </xf>
    <xf numFmtId="167" fontId="22" fillId="0" borderId="38" xfId="5" applyNumberFormat="1" applyFont="1" applyFill="1" applyBorder="1" applyAlignment="1" applyProtection="1">
      <alignment horizontal="right"/>
      <protection hidden="1"/>
    </xf>
    <xf numFmtId="0" fontId="22" fillId="0" borderId="37" xfId="4" applyFont="1" applyBorder="1" applyProtection="1">
      <protection hidden="1"/>
    </xf>
    <xf numFmtId="165" fontId="19" fillId="5" borderId="24" xfId="4" applyNumberFormat="1" applyFont="1" applyFill="1" applyBorder="1" applyAlignment="1" applyProtection="1">
      <alignment vertical="center"/>
      <protection hidden="1"/>
    </xf>
    <xf numFmtId="165" fontId="5" fillId="5" borderId="24" xfId="4" applyNumberFormat="1" applyFont="1" applyFill="1" applyBorder="1" applyAlignment="1" applyProtection="1">
      <alignment horizontal="right" vertical="center"/>
      <protection hidden="1"/>
    </xf>
    <xf numFmtId="167" fontId="4" fillId="7" borderId="35" xfId="4" applyNumberFormat="1" applyFont="1" applyFill="1" applyBorder="1" applyAlignment="1" applyProtection="1">
      <alignment horizontal="right" vertical="center"/>
      <protection hidden="1"/>
    </xf>
    <xf numFmtId="165" fontId="4" fillId="5" borderId="24" xfId="4" applyNumberFormat="1" applyFont="1" applyFill="1" applyBorder="1" applyProtection="1">
      <protection hidden="1"/>
    </xf>
    <xf numFmtId="165" fontId="4" fillId="5" borderId="24" xfId="5" applyNumberFormat="1" applyFont="1" applyFill="1" applyBorder="1" applyAlignment="1" applyProtection="1">
      <protection hidden="1"/>
    </xf>
    <xf numFmtId="0" fontId="11" fillId="5" borderId="13" xfId="4" applyFont="1" applyFill="1" applyBorder="1" applyProtection="1">
      <protection hidden="1"/>
    </xf>
    <xf numFmtId="164" fontId="33" fillId="12" borderId="0" xfId="4" applyNumberFormat="1" applyFont="1" applyFill="1" applyBorder="1" applyAlignment="1" applyProtection="1">
      <alignment vertical="center"/>
      <protection locked="0"/>
    </xf>
    <xf numFmtId="164" fontId="6" fillId="13" borderId="0" xfId="4" applyNumberFormat="1" applyFont="1" applyFill="1" applyBorder="1" applyAlignment="1" applyProtection="1">
      <alignment vertical="center"/>
      <protection locked="0"/>
    </xf>
    <xf numFmtId="173" fontId="2" fillId="7" borderId="0" xfId="4" applyNumberFormat="1" applyFont="1" applyFill="1" applyBorder="1" applyAlignment="1" applyProtection="1">
      <alignment vertical="center"/>
      <protection locked="0"/>
    </xf>
    <xf numFmtId="164" fontId="2" fillId="9" borderId="0" xfId="4" applyNumberFormat="1" applyFont="1" applyFill="1" applyBorder="1" applyAlignment="1" applyProtection="1">
      <alignment vertical="center"/>
      <protection locked="0"/>
    </xf>
    <xf numFmtId="165" fontId="4" fillId="5" borderId="24" xfId="4" applyNumberFormat="1" applyFont="1" applyFill="1" applyBorder="1" applyAlignment="1" applyProtection="1">
      <alignment horizontal="right" vertical="center"/>
      <protection hidden="1"/>
    </xf>
    <xf numFmtId="10" fontId="0" fillId="0" borderId="0" xfId="0" applyNumberFormat="1"/>
    <xf numFmtId="0" fontId="6" fillId="9" borderId="37" xfId="4" applyFont="1" applyFill="1" applyBorder="1" applyAlignment="1" applyProtection="1">
      <alignment vertical="center"/>
      <protection hidden="1"/>
    </xf>
    <xf numFmtId="174" fontId="2" fillId="8" borderId="0" xfId="5" applyNumberFormat="1" applyFont="1" applyFill="1" applyBorder="1" applyProtection="1">
      <protection hidden="1"/>
    </xf>
    <xf numFmtId="165" fontId="2" fillId="8" borderId="0" xfId="5" applyNumberFormat="1" applyFont="1" applyFill="1" applyBorder="1" applyAlignment="1" applyProtection="1">
      <protection locked="0"/>
    </xf>
    <xf numFmtId="0" fontId="2" fillId="0" borderId="0" xfId="0" applyFont="1" applyFill="1" applyBorder="1" applyAlignment="1">
      <alignment horizontal="left" vertical="center"/>
    </xf>
    <xf numFmtId="0" fontId="6" fillId="7" borderId="16" xfId="0" applyFont="1" applyFill="1" applyBorder="1" applyAlignment="1">
      <alignment horizontal="left" vertical="center"/>
    </xf>
    <xf numFmtId="0" fontId="2" fillId="7" borderId="10" xfId="0" applyFont="1" applyFill="1" applyBorder="1" applyAlignment="1">
      <alignment horizontal="left" vertical="center"/>
    </xf>
    <xf numFmtId="0" fontId="13" fillId="17" borderId="16" xfId="0" applyFont="1" applyFill="1" applyBorder="1" applyAlignment="1">
      <alignment horizontal="left"/>
    </xf>
    <xf numFmtId="0" fontId="0" fillId="0" borderId="8" xfId="0" applyBorder="1"/>
    <xf numFmtId="0" fontId="0" fillId="5" borderId="8" xfId="0" applyFill="1" applyBorder="1" applyAlignment="1">
      <alignment horizontal="left"/>
    </xf>
    <xf numFmtId="0" fontId="0" fillId="0" borderId="10" xfId="0" applyBorder="1"/>
    <xf numFmtId="0" fontId="6" fillId="0" borderId="0" xfId="0" applyFont="1" applyFill="1" applyBorder="1"/>
    <xf numFmtId="0" fontId="27" fillId="0" borderId="0" xfId="0" applyFont="1" applyFill="1" applyBorder="1" applyAlignment="1">
      <alignment vertical="center"/>
    </xf>
    <xf numFmtId="0" fontId="27" fillId="0" borderId="9" xfId="0" applyFont="1" applyFill="1" applyBorder="1" applyAlignment="1">
      <alignment vertical="center"/>
    </xf>
    <xf numFmtId="0" fontId="0" fillId="0" borderId="0" xfId="0" applyFill="1" applyBorder="1"/>
    <xf numFmtId="0" fontId="0" fillId="0" borderId="9" xfId="0" applyFill="1" applyBorder="1"/>
    <xf numFmtId="3" fontId="0" fillId="0" borderId="0" xfId="0" applyNumberFormat="1"/>
    <xf numFmtId="0" fontId="4" fillId="7" borderId="0" xfId="0" applyFont="1" applyFill="1" applyBorder="1" applyAlignment="1">
      <alignment horizontal="left" vertical="center" wrapText="1"/>
    </xf>
    <xf numFmtId="0" fontId="34" fillId="7" borderId="8" xfId="0" applyFont="1" applyFill="1" applyBorder="1" applyAlignment="1">
      <alignment horizontal="left" vertical="center" wrapText="1"/>
    </xf>
    <xf numFmtId="0" fontId="34" fillId="7" borderId="0" xfId="0" applyFont="1" applyFill="1" applyBorder="1" applyAlignment="1">
      <alignment horizontal="left" vertical="center" wrapText="1"/>
    </xf>
    <xf numFmtId="0" fontId="27" fillId="6" borderId="0" xfId="0" applyFont="1" applyFill="1" applyBorder="1"/>
    <xf numFmtId="0" fontId="27" fillId="6" borderId="38" xfId="0" applyFont="1" applyFill="1" applyBorder="1"/>
    <xf numFmtId="3" fontId="6" fillId="6" borderId="49" xfId="0" applyNumberFormat="1" applyFont="1" applyFill="1" applyBorder="1"/>
    <xf numFmtId="3" fontId="6" fillId="6" borderId="0" xfId="0" applyNumberFormat="1" applyFont="1" applyFill="1" applyBorder="1"/>
    <xf numFmtId="3" fontId="6" fillId="6" borderId="51" xfId="0" applyNumberFormat="1" applyFont="1" applyFill="1" applyBorder="1"/>
    <xf numFmtId="9" fontId="6" fillId="6" borderId="0" xfId="2" applyNumberFormat="1" applyFont="1" applyFill="1" applyBorder="1"/>
    <xf numFmtId="1" fontId="0" fillId="0" borderId="0" xfId="0" applyNumberFormat="1"/>
    <xf numFmtId="0" fontId="0" fillId="6" borderId="40" xfId="0" applyFill="1" applyBorder="1"/>
    <xf numFmtId="0" fontId="0" fillId="6" borderId="40" xfId="0" applyNumberFormat="1" applyFill="1" applyBorder="1"/>
    <xf numFmtId="0" fontId="48" fillId="0" borderId="0" xfId="0" applyFont="1" applyFill="1" applyBorder="1"/>
    <xf numFmtId="0" fontId="46" fillId="0" borderId="0" xfId="0" applyFont="1" applyFill="1" applyBorder="1"/>
    <xf numFmtId="0" fontId="2" fillId="0" borderId="0" xfId="0" applyFont="1" applyFill="1" applyBorder="1" applyAlignment="1">
      <alignment horizontal="center"/>
    </xf>
    <xf numFmtId="9" fontId="2" fillId="3" borderId="54" xfId="2" applyFont="1" applyFill="1" applyBorder="1" applyAlignment="1">
      <alignment horizontal="center"/>
    </xf>
    <xf numFmtId="2" fontId="2" fillId="4" borderId="54" xfId="0" applyNumberFormat="1" applyFont="1" applyFill="1" applyBorder="1" applyAlignment="1">
      <alignment horizontal="center"/>
    </xf>
    <xf numFmtId="166" fontId="2" fillId="4" borderId="54" xfId="0" applyNumberFormat="1" applyFont="1" applyFill="1" applyBorder="1" applyAlignment="1">
      <alignment horizontal="center"/>
    </xf>
    <xf numFmtId="9" fontId="2" fillId="4" borderId="54" xfId="2" applyFont="1" applyFill="1" applyBorder="1" applyAlignment="1">
      <alignment horizontal="center"/>
    </xf>
    <xf numFmtId="169" fontId="2" fillId="4" borderId="54" xfId="0" applyNumberFormat="1" applyFont="1" applyFill="1" applyBorder="1" applyAlignment="1">
      <alignment horizontal="center"/>
    </xf>
    <xf numFmtId="166" fontId="2" fillId="0" borderId="54" xfId="0" applyNumberFormat="1" applyFont="1" applyBorder="1" applyAlignment="1">
      <alignment horizontal="center"/>
    </xf>
    <xf numFmtId="9" fontId="2" fillId="3" borderId="24" xfId="2" applyFont="1" applyFill="1" applyBorder="1" applyAlignment="1">
      <alignment horizontal="center"/>
    </xf>
    <xf numFmtId="2" fontId="2" fillId="4" borderId="24" xfId="0" applyNumberFormat="1" applyFont="1" applyFill="1" applyBorder="1" applyAlignment="1">
      <alignment horizontal="center"/>
    </xf>
    <xf numFmtId="166" fontId="2" fillId="4" borderId="24" xfId="0" applyNumberFormat="1" applyFont="1" applyFill="1" applyBorder="1" applyAlignment="1">
      <alignment horizontal="center"/>
    </xf>
    <xf numFmtId="9" fontId="2" fillId="4" borderId="24" xfId="2" applyFont="1" applyFill="1" applyBorder="1" applyAlignment="1">
      <alignment horizontal="center"/>
    </xf>
    <xf numFmtId="169" fontId="2" fillId="4" borderId="24" xfId="0" applyNumberFormat="1" applyFont="1" applyFill="1" applyBorder="1" applyAlignment="1">
      <alignment horizontal="center"/>
    </xf>
    <xf numFmtId="166" fontId="2" fillId="0" borderId="24" xfId="0" applyNumberFormat="1" applyFont="1" applyBorder="1" applyAlignment="1">
      <alignment horizontal="center"/>
    </xf>
    <xf numFmtId="2" fontId="4" fillId="5" borderId="24" xfId="0" applyNumberFormat="1" applyFont="1" applyFill="1" applyBorder="1" applyAlignment="1">
      <alignment horizontal="center" vertical="center"/>
    </xf>
    <xf numFmtId="165" fontId="4" fillId="5" borderId="31" xfId="1" applyNumberFormat="1" applyFont="1" applyFill="1" applyBorder="1" applyAlignment="1">
      <alignment horizontal="center" vertical="center"/>
    </xf>
    <xf numFmtId="0" fontId="2" fillId="2" borderId="24" xfId="0" applyFont="1" applyFill="1" applyBorder="1" applyAlignment="1">
      <alignment horizontal="center" vertical="center"/>
    </xf>
    <xf numFmtId="9" fontId="2" fillId="2" borderId="24" xfId="2" applyFont="1" applyFill="1" applyBorder="1" applyAlignment="1">
      <alignment horizontal="center" vertical="center"/>
    </xf>
    <xf numFmtId="4" fontId="6" fillId="2" borderId="24" xfId="0" applyNumberFormat="1" applyFont="1" applyFill="1" applyBorder="1" applyAlignment="1">
      <alignment horizontal="center" vertical="center"/>
    </xf>
    <xf numFmtId="4" fontId="5" fillId="2" borderId="28" xfId="0" applyNumberFormat="1" applyFont="1" applyFill="1" applyBorder="1" applyAlignment="1">
      <alignment horizontal="left" vertical="center"/>
    </xf>
    <xf numFmtId="4" fontId="5" fillId="2" borderId="24" xfId="0" applyNumberFormat="1" applyFont="1" applyFill="1" applyBorder="1" applyAlignment="1">
      <alignment horizontal="left" vertical="center"/>
    </xf>
    <xf numFmtId="4" fontId="6" fillId="2" borderId="28" xfId="0" applyNumberFormat="1" applyFont="1" applyFill="1" applyBorder="1" applyAlignment="1">
      <alignment horizontal="center" vertical="center"/>
    </xf>
    <xf numFmtId="3" fontId="6" fillId="2" borderId="24" xfId="0" applyNumberFormat="1" applyFont="1" applyFill="1" applyBorder="1" applyAlignment="1">
      <alignment horizontal="center" vertical="center"/>
    </xf>
    <xf numFmtId="4" fontId="2" fillId="2" borderId="28" xfId="0" applyNumberFormat="1" applyFont="1" applyFill="1" applyBorder="1" applyAlignment="1">
      <alignment horizontal="center" vertical="center"/>
    </xf>
    <xf numFmtId="0" fontId="2" fillId="4" borderId="28" xfId="0" applyFont="1" applyFill="1" applyBorder="1" applyAlignment="1">
      <alignment horizontal="center" vertical="center"/>
    </xf>
    <xf numFmtId="0" fontId="2" fillId="4" borderId="24" xfId="0" applyFont="1" applyFill="1" applyBorder="1" applyAlignment="1">
      <alignment horizontal="center" vertical="center"/>
    </xf>
    <xf numFmtId="9" fontId="2" fillId="5" borderId="24" xfId="2" applyFont="1" applyFill="1" applyBorder="1" applyAlignment="1">
      <alignment horizontal="center" vertical="center"/>
    </xf>
    <xf numFmtId="0" fontId="2" fillId="4" borderId="58" xfId="0" applyFont="1" applyFill="1" applyBorder="1" applyAlignment="1">
      <alignment horizontal="center" vertical="center"/>
    </xf>
    <xf numFmtId="3" fontId="4" fillId="5" borderId="60" xfId="0" applyNumberFormat="1" applyFont="1" applyFill="1" applyBorder="1" applyAlignment="1">
      <alignment horizontal="center" vertical="center"/>
    </xf>
    <xf numFmtId="3" fontId="4" fillId="5" borderId="24" xfId="0" applyNumberFormat="1" applyFont="1" applyFill="1" applyBorder="1" applyAlignment="1">
      <alignment horizontal="center" vertical="center"/>
    </xf>
    <xf numFmtId="3" fontId="2" fillId="4" borderId="24" xfId="0" applyNumberFormat="1" applyFont="1" applyFill="1" applyBorder="1" applyAlignment="1">
      <alignment horizontal="center" vertical="center"/>
    </xf>
    <xf numFmtId="3" fontId="2" fillId="4" borderId="28" xfId="0" applyNumberFormat="1" applyFont="1" applyFill="1" applyBorder="1" applyAlignment="1">
      <alignment horizontal="center" vertical="center"/>
    </xf>
    <xf numFmtId="9" fontId="2" fillId="4" borderId="24" xfId="2" applyFont="1" applyFill="1" applyBorder="1" applyAlignment="1">
      <alignment horizontal="center" vertical="center"/>
    </xf>
    <xf numFmtId="4" fontId="4" fillId="5" borderId="24" xfId="0" applyNumberFormat="1" applyFont="1" applyFill="1" applyBorder="1" applyAlignment="1">
      <alignment horizontal="center" vertical="center"/>
    </xf>
    <xf numFmtId="3" fontId="2" fillId="4" borderId="24" xfId="2" applyNumberFormat="1" applyFont="1" applyFill="1" applyBorder="1" applyAlignment="1">
      <alignment horizontal="center" vertical="center"/>
    </xf>
    <xf numFmtId="3" fontId="4" fillId="4" borderId="28" xfId="0" applyNumberFormat="1" applyFont="1" applyFill="1" applyBorder="1" applyAlignment="1">
      <alignment horizontal="left" vertical="center"/>
    </xf>
    <xf numFmtId="3" fontId="4" fillId="0" borderId="0" xfId="0" applyNumberFormat="1" applyFont="1" applyFill="1" applyBorder="1" applyAlignment="1">
      <alignment horizontal="left" vertical="center"/>
    </xf>
    <xf numFmtId="3" fontId="2" fillId="5" borderId="28" xfId="0" applyNumberFormat="1" applyFont="1" applyFill="1" applyBorder="1" applyAlignment="1">
      <alignment horizontal="center" vertical="center"/>
    </xf>
    <xf numFmtId="4" fontId="4" fillId="0" borderId="0" xfId="0" applyNumberFormat="1" applyFont="1" applyFill="1" applyBorder="1" applyAlignment="1">
      <alignment horizontal="left" vertical="center"/>
    </xf>
    <xf numFmtId="4" fontId="2" fillId="4" borderId="24" xfId="0" applyNumberFormat="1" applyFont="1" applyFill="1" applyBorder="1" applyAlignment="1">
      <alignment horizontal="center" vertical="center"/>
    </xf>
    <xf numFmtId="3" fontId="2" fillId="0" borderId="0" xfId="0" applyNumberFormat="1" applyFont="1" applyFill="1" applyBorder="1" applyAlignment="1">
      <alignment horizontal="left" vertical="center"/>
    </xf>
    <xf numFmtId="0" fontId="7" fillId="0" borderId="0" xfId="0" applyFont="1" applyFill="1" applyBorder="1" applyAlignment="1">
      <alignment horizontal="left" vertical="center"/>
    </xf>
    <xf numFmtId="0" fontId="4" fillId="0" borderId="0" xfId="0" applyFont="1" applyFill="1" applyBorder="1" applyAlignment="1">
      <alignment horizontal="left" vertical="center"/>
    </xf>
    <xf numFmtId="166" fontId="2" fillId="4" borderId="60" xfId="0" applyNumberFormat="1" applyFont="1" applyFill="1" applyBorder="1" applyAlignment="1">
      <alignment horizontal="center" vertical="center"/>
    </xf>
    <xf numFmtId="166" fontId="2" fillId="4" borderId="24" xfId="0" applyNumberFormat="1" applyFont="1" applyFill="1" applyBorder="1" applyAlignment="1">
      <alignment horizontal="center" vertical="center"/>
    </xf>
    <xf numFmtId="166" fontId="2" fillId="4" borderId="64" xfId="0" applyNumberFormat="1" applyFont="1" applyFill="1" applyBorder="1" applyAlignment="1">
      <alignment horizontal="center" vertical="center"/>
    </xf>
    <xf numFmtId="0" fontId="2" fillId="0" borderId="0" xfId="0" applyFont="1" applyFill="1" applyBorder="1" applyAlignment="1">
      <alignment horizontal="center" vertical="center"/>
    </xf>
    <xf numFmtId="2" fontId="2" fillId="4" borderId="24" xfId="8" applyNumberFormat="1" applyFont="1" applyFill="1" applyBorder="1" applyAlignment="1">
      <alignment horizontal="center" vertical="center"/>
    </xf>
    <xf numFmtId="43" fontId="4" fillId="5" borderId="24" xfId="0" applyNumberFormat="1" applyFont="1" applyFill="1" applyBorder="1" applyAlignment="1">
      <alignment horizontal="center" vertical="center"/>
    </xf>
    <xf numFmtId="43" fontId="2" fillId="4" borderId="24" xfId="8" applyFont="1" applyFill="1" applyBorder="1" applyAlignment="1">
      <alignment horizontal="center" vertical="center"/>
    </xf>
    <xf numFmtId="9" fontId="2" fillId="4" borderId="24" xfId="0" applyNumberFormat="1" applyFont="1" applyFill="1" applyBorder="1" applyAlignment="1">
      <alignment horizontal="center" vertical="center"/>
    </xf>
    <xf numFmtId="166" fontId="2" fillId="0" borderId="0" xfId="0" applyNumberFormat="1" applyFont="1" applyFill="1" applyBorder="1" applyAlignment="1">
      <alignment horizontal="left" vertical="center"/>
    </xf>
    <xf numFmtId="0" fontId="4" fillId="4" borderId="24" xfId="0" applyFont="1" applyFill="1" applyBorder="1" applyAlignment="1">
      <alignment horizontal="left" vertical="center"/>
    </xf>
    <xf numFmtId="0" fontId="2" fillId="4" borderId="58" xfId="0" applyFont="1" applyFill="1" applyBorder="1" applyAlignment="1">
      <alignment horizontal="left" vertical="center"/>
    </xf>
    <xf numFmtId="0" fontId="2" fillId="4" borderId="33" xfId="0" applyFont="1" applyFill="1" applyBorder="1" applyAlignment="1">
      <alignment horizontal="left" vertical="center"/>
    </xf>
    <xf numFmtId="0" fontId="2" fillId="4" borderId="59" xfId="0" applyFont="1" applyFill="1" applyBorder="1" applyAlignment="1">
      <alignment horizontal="left" vertical="center"/>
    </xf>
    <xf numFmtId="0" fontId="6" fillId="4" borderId="24" xfId="0" applyFont="1" applyFill="1" applyBorder="1" applyAlignment="1">
      <alignment horizontal="center" vertical="center"/>
    </xf>
    <xf numFmtId="0" fontId="5" fillId="4" borderId="59" xfId="0" applyFont="1" applyFill="1" applyBorder="1" applyAlignment="1">
      <alignment horizontal="left"/>
    </xf>
    <xf numFmtId="0" fontId="5" fillId="0" borderId="0" xfId="0" applyFont="1" applyFill="1" applyBorder="1" applyAlignment="1">
      <alignment horizontal="left"/>
    </xf>
    <xf numFmtId="3" fontId="2" fillId="4" borderId="30" xfId="0" applyNumberFormat="1" applyFont="1" applyFill="1" applyBorder="1" applyAlignment="1">
      <alignment horizontal="center" vertical="center"/>
    </xf>
    <xf numFmtId="0" fontId="2" fillId="4" borderId="31" xfId="0" applyFont="1" applyFill="1" applyBorder="1" applyAlignment="1">
      <alignment horizontal="center" vertical="center"/>
    </xf>
    <xf numFmtId="165" fontId="4" fillId="0" borderId="0" xfId="1" applyNumberFormat="1" applyFont="1" applyFill="1" applyBorder="1" applyAlignment="1">
      <alignment horizontal="center" vertical="center"/>
    </xf>
    <xf numFmtId="0" fontId="0" fillId="3" borderId="0" xfId="0" applyFill="1"/>
    <xf numFmtId="0" fontId="0" fillId="3" borderId="0" xfId="0" applyFill="1" applyAlignment="1">
      <alignment horizontal="right"/>
    </xf>
    <xf numFmtId="0" fontId="49" fillId="3" borderId="0" xfId="0" applyFont="1" applyFill="1"/>
    <xf numFmtId="0" fontId="0" fillId="3" borderId="0" xfId="0" applyFill="1" applyAlignment="1">
      <alignment horizontal="center" vertical="center"/>
    </xf>
    <xf numFmtId="4" fontId="5" fillId="5" borderId="24" xfId="0" applyNumberFormat="1" applyFont="1" applyFill="1" applyBorder="1" applyAlignment="1">
      <alignment horizontal="center" vertical="center"/>
    </xf>
    <xf numFmtId="2" fontId="2" fillId="4" borderId="58" xfId="0" applyNumberFormat="1" applyFont="1" applyFill="1" applyBorder="1" applyAlignment="1">
      <alignment horizontal="center" vertical="center"/>
    </xf>
    <xf numFmtId="4" fontId="2" fillId="4" borderId="28" xfId="0" applyNumberFormat="1" applyFont="1" applyFill="1" applyBorder="1" applyAlignment="1">
      <alignment horizontal="center" vertical="center"/>
    </xf>
    <xf numFmtId="0" fontId="2" fillId="4" borderId="65" xfId="0" applyFont="1" applyFill="1" applyBorder="1" applyAlignment="1">
      <alignment horizontal="left" vertical="center"/>
    </xf>
    <xf numFmtId="10" fontId="6" fillId="6" borderId="51" xfId="0" applyNumberFormat="1" applyFont="1" applyFill="1" applyBorder="1"/>
    <xf numFmtId="0" fontId="0" fillId="0" borderId="0" xfId="0" applyAlignment="1">
      <alignment horizontal="center" vertical="center"/>
    </xf>
    <xf numFmtId="9" fontId="0" fillId="0" borderId="0" xfId="2" applyFont="1" applyAlignment="1">
      <alignment horizontal="center" vertical="center"/>
    </xf>
    <xf numFmtId="9" fontId="0" fillId="0" borderId="0" xfId="2" applyFont="1" applyFill="1" applyAlignment="1">
      <alignment horizontal="center" vertical="center"/>
    </xf>
    <xf numFmtId="0" fontId="50" fillId="3" borderId="0" xfId="0" applyFont="1" applyFill="1"/>
    <xf numFmtId="0" fontId="50" fillId="3" borderId="0" xfId="0" applyFont="1" applyFill="1" applyAlignment="1">
      <alignment horizontal="center" vertical="center"/>
    </xf>
    <xf numFmtId="0" fontId="50" fillId="3" borderId="0" xfId="0" applyFont="1" applyFill="1" applyAlignment="1">
      <alignment horizontal="center" vertical="center" wrapText="1"/>
    </xf>
    <xf numFmtId="165" fontId="0" fillId="0" borderId="0" xfId="1" applyNumberFormat="1" applyFont="1" applyAlignment="1">
      <alignment horizontal="center" vertical="center"/>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3" borderId="50" xfId="0" applyFont="1" applyFill="1" applyBorder="1" applyAlignment="1">
      <alignment horizontal="center"/>
    </xf>
    <xf numFmtId="4" fontId="2" fillId="16" borderId="51" xfId="0" applyNumberFormat="1" applyFont="1" applyFill="1" applyBorder="1" applyAlignment="1">
      <alignment horizontal="center"/>
    </xf>
    <xf numFmtId="4" fontId="2" fillId="5" borderId="51" xfId="0" applyNumberFormat="1" applyFont="1" applyFill="1" applyBorder="1" applyAlignment="1">
      <alignment horizontal="center"/>
    </xf>
    <xf numFmtId="4" fontId="2" fillId="5" borderId="55" xfId="0" applyNumberFormat="1" applyFont="1" applyFill="1" applyBorder="1" applyAlignment="1">
      <alignment horizontal="center"/>
    </xf>
    <xf numFmtId="0" fontId="2" fillId="3" borderId="52" xfId="0" applyFont="1" applyFill="1" applyBorder="1" applyAlignment="1">
      <alignment horizontal="center"/>
    </xf>
    <xf numFmtId="4" fontId="2" fillId="5" borderId="29" xfId="0" applyNumberFormat="1" applyFont="1" applyFill="1" applyBorder="1" applyAlignment="1">
      <alignment horizontal="center"/>
    </xf>
    <xf numFmtId="0" fontId="2" fillId="3" borderId="53" xfId="0" applyFont="1" applyFill="1" applyBorder="1" applyAlignment="1">
      <alignment horizontal="center"/>
    </xf>
    <xf numFmtId="2" fontId="2" fillId="4" borderId="31" xfId="0" applyNumberFormat="1" applyFont="1" applyFill="1" applyBorder="1" applyAlignment="1">
      <alignment horizontal="center"/>
    </xf>
    <xf numFmtId="9" fontId="2" fillId="3" borderId="31" xfId="2" applyFont="1" applyFill="1" applyBorder="1" applyAlignment="1">
      <alignment horizontal="center"/>
    </xf>
    <xf numFmtId="166" fontId="2" fillId="4" borderId="31" xfId="0" applyNumberFormat="1" applyFont="1" applyFill="1" applyBorder="1" applyAlignment="1">
      <alignment horizontal="center"/>
    </xf>
    <xf numFmtId="9" fontId="2" fillId="4" borderId="31" xfId="2" applyFont="1" applyFill="1" applyBorder="1" applyAlignment="1">
      <alignment horizontal="center"/>
    </xf>
    <xf numFmtId="164" fontId="2" fillId="3" borderId="57" xfId="0" applyNumberFormat="1" applyFont="1" applyFill="1" applyBorder="1" applyAlignment="1">
      <alignment horizontal="center"/>
    </xf>
    <xf numFmtId="169" fontId="2" fillId="4" borderId="31" xfId="0" applyNumberFormat="1" applyFont="1" applyFill="1" applyBorder="1" applyAlignment="1">
      <alignment horizontal="center"/>
    </xf>
    <xf numFmtId="165" fontId="2" fillId="5" borderId="57" xfId="1" applyNumberFormat="1" applyFont="1" applyFill="1" applyBorder="1" applyAlignment="1">
      <alignment horizontal="center"/>
    </xf>
    <xf numFmtId="166" fontId="2" fillId="0" borderId="31" xfId="0" applyNumberFormat="1" applyFont="1" applyBorder="1" applyAlignment="1">
      <alignment horizontal="center"/>
    </xf>
    <xf numFmtId="4" fontId="2" fillId="5" borderId="32" xfId="0" applyNumberFormat="1" applyFont="1" applyFill="1" applyBorder="1" applyAlignment="1">
      <alignment horizontal="center"/>
    </xf>
    <xf numFmtId="0" fontId="2" fillId="5" borderId="48" xfId="0" applyFont="1" applyFill="1" applyBorder="1" applyAlignment="1">
      <alignment horizontal="center" vertical="center" wrapText="1"/>
    </xf>
    <xf numFmtId="0" fontId="7" fillId="3" borderId="56" xfId="0" applyFont="1" applyFill="1" applyBorder="1" applyAlignment="1">
      <alignment horizontal="center" vertical="center" wrapText="1"/>
    </xf>
    <xf numFmtId="165" fontId="7" fillId="5" borderId="57" xfId="1" applyNumberFormat="1" applyFont="1" applyFill="1" applyBorder="1" applyAlignment="1">
      <alignment horizontal="center" vertical="center"/>
    </xf>
    <xf numFmtId="9" fontId="7" fillId="3" borderId="57" xfId="2" applyFont="1" applyFill="1" applyBorder="1" applyAlignment="1">
      <alignment horizontal="center" vertical="center"/>
    </xf>
    <xf numFmtId="2" fontId="7" fillId="5" borderId="57" xfId="0" applyNumberFormat="1" applyFont="1" applyFill="1" applyBorder="1" applyAlignment="1">
      <alignment horizontal="center" vertical="center"/>
    </xf>
    <xf numFmtId="165" fontId="7" fillId="5" borderId="57" xfId="0" applyNumberFormat="1" applyFont="1" applyFill="1" applyBorder="1" applyAlignment="1">
      <alignment horizontal="center" vertical="center"/>
    </xf>
    <xf numFmtId="166" fontId="7" fillId="5" borderId="57" xfId="0" applyNumberFormat="1" applyFont="1" applyFill="1" applyBorder="1" applyAlignment="1">
      <alignment horizontal="center" vertical="center"/>
    </xf>
    <xf numFmtId="164" fontId="7" fillId="3" borderId="57" xfId="0" applyNumberFormat="1" applyFont="1" applyFill="1" applyBorder="1" applyAlignment="1">
      <alignment horizontal="center" vertical="center"/>
    </xf>
    <xf numFmtId="4" fontId="7" fillId="16" borderId="57" xfId="0" applyNumberFormat="1" applyFont="1" applyFill="1" applyBorder="1" applyAlignment="1">
      <alignment horizontal="center" vertical="center"/>
    </xf>
    <xf numFmtId="4" fontId="7" fillId="5" borderId="57" xfId="0" applyNumberFormat="1" applyFont="1" applyFill="1" applyBorder="1" applyAlignment="1">
      <alignment horizontal="center" vertical="center"/>
    </xf>
    <xf numFmtId="4" fontId="4" fillId="5" borderId="63" xfId="0" applyNumberFormat="1" applyFont="1" applyFill="1" applyBorder="1" applyAlignment="1">
      <alignment horizontal="center" vertical="center"/>
    </xf>
    <xf numFmtId="0" fontId="16" fillId="0" borderId="0" xfId="4" applyFont="1" applyAlignment="1" applyProtection="1">
      <alignment horizontal="right"/>
      <protection hidden="1"/>
    </xf>
    <xf numFmtId="0" fontId="7" fillId="2" borderId="12" xfId="4" applyFont="1" applyFill="1" applyBorder="1" applyAlignment="1" applyProtection="1">
      <alignment horizontal="center" vertical="center"/>
      <protection hidden="1"/>
    </xf>
    <xf numFmtId="0" fontId="4" fillId="10" borderId="20" xfId="4" applyFont="1" applyFill="1" applyBorder="1" applyAlignment="1" applyProtection="1">
      <alignment horizontal="center" wrapText="1"/>
      <protection hidden="1"/>
    </xf>
    <xf numFmtId="2" fontId="7" fillId="5" borderId="68" xfId="0" applyNumberFormat="1" applyFont="1" applyFill="1" applyBorder="1" applyAlignment="1">
      <alignment horizontal="center" vertical="center"/>
    </xf>
    <xf numFmtId="0" fontId="2" fillId="0" borderId="70" xfId="0" applyFont="1" applyBorder="1" applyAlignment="1">
      <alignment horizontal="center" vertical="center" wrapText="1"/>
    </xf>
    <xf numFmtId="0" fontId="2" fillId="0" borderId="69" xfId="0" applyFont="1" applyBorder="1" applyAlignment="1">
      <alignment horizontal="center" vertical="center" wrapText="1"/>
    </xf>
    <xf numFmtId="4" fontId="7" fillId="16" borderId="71" xfId="0" applyNumberFormat="1" applyFont="1" applyFill="1" applyBorder="1" applyAlignment="1">
      <alignment horizontal="center" vertical="center"/>
    </xf>
    <xf numFmtId="0" fontId="0" fillId="0" borderId="62" xfId="0" applyBorder="1"/>
    <xf numFmtId="2" fontId="5" fillId="5" borderId="24" xfId="0" applyNumberFormat="1" applyFont="1" applyFill="1" applyBorder="1" applyAlignment="1">
      <alignment horizontal="center" vertical="center"/>
    </xf>
    <xf numFmtId="4" fontId="6" fillId="4" borderId="28" xfId="0" applyNumberFormat="1" applyFont="1" applyFill="1" applyBorder="1" applyAlignment="1">
      <alignment horizontal="center" vertical="center"/>
    </xf>
    <xf numFmtId="10" fontId="2" fillId="0" borderId="0" xfId="4" applyNumberFormat="1" applyFont="1" applyProtection="1">
      <protection hidden="1"/>
    </xf>
    <xf numFmtId="0" fontId="4" fillId="0" borderId="2" xfId="4" applyFont="1" applyBorder="1" applyProtection="1">
      <protection hidden="1"/>
    </xf>
    <xf numFmtId="0" fontId="2" fillId="0" borderId="72" xfId="4" applyFont="1" applyBorder="1" applyProtection="1">
      <protection hidden="1"/>
    </xf>
    <xf numFmtId="0" fontId="15" fillId="0" borderId="72" xfId="4" applyFont="1" applyBorder="1" applyProtection="1">
      <protection hidden="1"/>
    </xf>
    <xf numFmtId="168" fontId="15" fillId="0" borderId="72" xfId="5" applyFont="1" applyBorder="1" applyProtection="1">
      <protection hidden="1"/>
    </xf>
    <xf numFmtId="0" fontId="4" fillId="0" borderId="45" xfId="4" applyFont="1" applyBorder="1" applyProtection="1">
      <protection hidden="1"/>
    </xf>
    <xf numFmtId="168" fontId="15" fillId="0" borderId="45" xfId="5" applyFont="1" applyBorder="1" applyAlignment="1" applyProtection="1">
      <alignment horizontal="right" vertical="center"/>
      <protection hidden="1"/>
    </xf>
    <xf numFmtId="167" fontId="15" fillId="0" borderId="45" xfId="5" applyNumberFormat="1" applyFont="1" applyFill="1" applyBorder="1" applyAlignment="1" applyProtection="1">
      <alignment horizontal="center"/>
      <protection hidden="1"/>
    </xf>
    <xf numFmtId="167" fontId="15" fillId="0" borderId="45" xfId="5" applyNumberFormat="1" applyFont="1" applyBorder="1" applyAlignment="1" applyProtection="1">
      <alignment horizontal="center"/>
      <protection hidden="1"/>
    </xf>
    <xf numFmtId="167" fontId="14" fillId="0" borderId="45" xfId="5" applyNumberFormat="1" applyFont="1" applyBorder="1" applyAlignment="1" applyProtection="1">
      <alignment horizontal="center"/>
      <protection hidden="1"/>
    </xf>
    <xf numFmtId="167" fontId="15" fillId="0" borderId="45" xfId="8" applyNumberFormat="1" applyFont="1" applyBorder="1" applyAlignment="1" applyProtection="1">
      <alignment horizontal="center"/>
      <protection hidden="1"/>
    </xf>
    <xf numFmtId="0" fontId="4" fillId="0" borderId="45" xfId="4" applyFont="1" applyFill="1" applyBorder="1" applyProtection="1">
      <protection hidden="1"/>
    </xf>
    <xf numFmtId="168" fontId="15" fillId="0" borderId="45" xfId="5" applyFont="1" applyFill="1" applyBorder="1" applyAlignment="1" applyProtection="1">
      <alignment horizontal="right" vertical="center"/>
      <protection hidden="1"/>
    </xf>
    <xf numFmtId="167" fontId="14" fillId="0" borderId="45" xfId="5" applyNumberFormat="1" applyFont="1" applyFill="1" applyBorder="1" applyAlignment="1" applyProtection="1">
      <alignment horizontal="center"/>
      <protection hidden="1"/>
    </xf>
    <xf numFmtId="0" fontId="53" fillId="18" borderId="45" xfId="9" applyFont="1" applyBorder="1" applyProtection="1">
      <protection hidden="1"/>
    </xf>
    <xf numFmtId="167" fontId="54" fillId="18" borderId="45" xfId="9" applyNumberFormat="1" applyFont="1" applyBorder="1" applyAlignment="1" applyProtection="1">
      <alignment horizontal="right" vertical="center"/>
      <protection hidden="1"/>
    </xf>
    <xf numFmtId="167" fontId="54" fillId="18" borderId="45" xfId="9" applyNumberFormat="1" applyFont="1" applyBorder="1" applyAlignment="1" applyProtection="1">
      <alignment horizontal="center"/>
      <protection hidden="1"/>
    </xf>
    <xf numFmtId="167" fontId="55" fillId="18" borderId="45" xfId="9" applyNumberFormat="1" applyFont="1" applyBorder="1" applyAlignment="1" applyProtection="1">
      <alignment horizontal="center"/>
      <protection hidden="1"/>
    </xf>
    <xf numFmtId="167" fontId="15" fillId="0" borderId="45" xfId="5" applyNumberFormat="1" applyFont="1" applyFill="1" applyBorder="1" applyAlignment="1" applyProtection="1">
      <alignment horizontal="right" vertical="center"/>
      <protection hidden="1"/>
    </xf>
    <xf numFmtId="0" fontId="19" fillId="16" borderId="45" xfId="10" applyFont="1" applyFill="1" applyBorder="1" applyProtection="1">
      <protection hidden="1"/>
    </xf>
    <xf numFmtId="167" fontId="57" fillId="16" borderId="45" xfId="10" applyNumberFormat="1" applyFont="1" applyFill="1" applyBorder="1" applyAlignment="1" applyProtection="1">
      <alignment horizontal="right" vertical="center"/>
      <protection hidden="1"/>
    </xf>
    <xf numFmtId="167" fontId="57" fillId="16" borderId="45" xfId="10" applyNumberFormat="1" applyFont="1" applyFill="1" applyBorder="1" applyProtection="1">
      <protection hidden="1"/>
    </xf>
    <xf numFmtId="0" fontId="58" fillId="5" borderId="0" xfId="4" applyFont="1" applyFill="1" applyProtection="1">
      <protection hidden="1"/>
    </xf>
    <xf numFmtId="167" fontId="15" fillId="0" borderId="45" xfId="5" applyNumberFormat="1" applyFont="1" applyBorder="1" applyAlignment="1" applyProtection="1">
      <alignment horizontal="right" vertical="center"/>
      <protection hidden="1"/>
    </xf>
    <xf numFmtId="43" fontId="15" fillId="0" borderId="45" xfId="4" applyNumberFormat="1" applyFont="1" applyBorder="1"/>
    <xf numFmtId="0" fontId="4" fillId="20" borderId="45" xfId="4" applyFont="1" applyFill="1" applyBorder="1" applyProtection="1">
      <protection hidden="1"/>
    </xf>
    <xf numFmtId="167" fontId="15" fillId="0" borderId="45" xfId="4" applyNumberFormat="1" applyFont="1" applyBorder="1" applyAlignment="1" applyProtection="1">
      <alignment horizontal="right" vertical="center"/>
      <protection hidden="1"/>
    </xf>
    <xf numFmtId="167" fontId="15" fillId="0" borderId="45" xfId="4" applyNumberFormat="1" applyFont="1" applyBorder="1" applyAlignment="1" applyProtection="1">
      <alignment horizontal="center"/>
      <protection hidden="1"/>
    </xf>
    <xf numFmtId="0" fontId="42" fillId="2" borderId="73" xfId="0" applyFont="1" applyFill="1" applyBorder="1" applyAlignment="1">
      <alignment horizontal="left"/>
    </xf>
    <xf numFmtId="165" fontId="42" fillId="2" borderId="74" xfId="4" applyNumberFormat="1" applyFont="1" applyFill="1" applyBorder="1" applyAlignment="1" applyProtection="1">
      <alignment horizontal="right"/>
      <protection hidden="1"/>
    </xf>
    <xf numFmtId="10" fontId="8" fillId="0" borderId="0" xfId="4" applyNumberFormat="1" applyProtection="1">
      <protection hidden="1"/>
    </xf>
    <xf numFmtId="10" fontId="8" fillId="0" borderId="0" xfId="4" applyNumberFormat="1"/>
    <xf numFmtId="0" fontId="42" fillId="2" borderId="73" xfId="0" applyFont="1" applyFill="1" applyBorder="1" applyAlignment="1">
      <alignment horizontal="left" vertical="top"/>
    </xf>
    <xf numFmtId="175" fontId="42" fillId="2" borderId="74" xfId="2" applyNumberFormat="1" applyFont="1" applyFill="1" applyBorder="1" applyAlignment="1" applyProtection="1">
      <alignment vertical="top"/>
      <protection hidden="1"/>
    </xf>
    <xf numFmtId="175" fontId="59" fillId="0" borderId="0" xfId="2" applyNumberFormat="1" applyFont="1" applyFill="1" applyBorder="1" applyAlignment="1" applyProtection="1">
      <alignment horizontal="center"/>
      <protection hidden="1"/>
    </xf>
    <xf numFmtId="0" fontId="7" fillId="0" borderId="0" xfId="4" applyFont="1" applyFill="1" applyAlignment="1" applyProtection="1">
      <alignment horizontal="left" vertical="center"/>
      <protection hidden="1"/>
    </xf>
    <xf numFmtId="0" fontId="60" fillId="0" borderId="0" xfId="4" applyFont="1" applyFill="1" applyProtection="1">
      <protection hidden="1"/>
    </xf>
    <xf numFmtId="175" fontId="42" fillId="2" borderId="74" xfId="2" applyNumberFormat="1" applyFont="1" applyFill="1" applyBorder="1" applyAlignment="1" applyProtection="1">
      <alignment horizontal="right"/>
      <protection hidden="1"/>
    </xf>
    <xf numFmtId="9" fontId="8" fillId="0" borderId="0" xfId="4" applyNumberFormat="1"/>
    <xf numFmtId="0" fontId="42" fillId="2" borderId="73" xfId="4" applyFont="1" applyFill="1" applyBorder="1" applyAlignment="1" applyProtection="1">
      <alignment horizontal="left" wrapText="1"/>
      <protection hidden="1"/>
    </xf>
    <xf numFmtId="9" fontId="11" fillId="0" borderId="0" xfId="2" applyNumberFormat="1" applyFont="1" applyProtection="1">
      <protection hidden="1"/>
    </xf>
    <xf numFmtId="10" fontId="8" fillId="0" borderId="0" xfId="2" applyNumberFormat="1" applyFont="1" applyProtection="1">
      <protection hidden="1"/>
    </xf>
    <xf numFmtId="0" fontId="42" fillId="2" borderId="75" xfId="4" applyFont="1" applyFill="1" applyBorder="1" applyAlignment="1" applyProtection="1">
      <alignment horizontal="left" wrapText="1"/>
      <protection hidden="1"/>
    </xf>
    <xf numFmtId="10" fontId="42" fillId="2" borderId="76" xfId="4" applyNumberFormat="1" applyFont="1" applyFill="1" applyBorder="1" applyAlignment="1" applyProtection="1">
      <alignment horizontal="right"/>
      <protection hidden="1"/>
    </xf>
    <xf numFmtId="0" fontId="11" fillId="0" borderId="0" xfId="4" applyFont="1" applyProtection="1">
      <protection hidden="1"/>
    </xf>
    <xf numFmtId="0" fontId="4" fillId="0" borderId="0" xfId="4" applyFont="1" applyFill="1" applyBorder="1" applyAlignment="1" applyProtection="1">
      <alignment vertical="center" wrapText="1"/>
      <protection hidden="1"/>
    </xf>
    <xf numFmtId="0" fontId="14" fillId="0" borderId="0" xfId="4" applyFont="1" applyFill="1" applyBorder="1" applyAlignment="1" applyProtection="1">
      <alignment vertical="center"/>
      <protection hidden="1"/>
    </xf>
    <xf numFmtId="165" fontId="4" fillId="5" borderId="15" xfId="4" applyNumberFormat="1" applyFont="1" applyFill="1" applyBorder="1" applyAlignment="1" applyProtection="1">
      <alignment horizontal="left" vertical="center"/>
      <protection hidden="1"/>
    </xf>
    <xf numFmtId="0" fontId="4" fillId="7" borderId="78" xfId="4" applyFont="1" applyFill="1" applyBorder="1" applyAlignment="1" applyProtection="1">
      <alignment vertical="center"/>
      <protection hidden="1"/>
    </xf>
    <xf numFmtId="0" fontId="2" fillId="7" borderId="79" xfId="4" applyFont="1" applyFill="1" applyBorder="1" applyAlignment="1" applyProtection="1">
      <alignment vertical="center"/>
      <protection hidden="1"/>
    </xf>
    <xf numFmtId="0" fontId="4" fillId="7" borderId="79" xfId="4" applyFont="1" applyFill="1" applyBorder="1" applyAlignment="1" applyProtection="1">
      <alignment vertical="center"/>
      <protection hidden="1"/>
    </xf>
    <xf numFmtId="165" fontId="5" fillId="5" borderId="80" xfId="4" applyNumberFormat="1" applyFont="1" applyFill="1" applyBorder="1" applyAlignment="1" applyProtection="1">
      <alignment vertical="center"/>
      <protection hidden="1"/>
    </xf>
    <xf numFmtId="0" fontId="4" fillId="7" borderId="81" xfId="4" applyFont="1" applyFill="1" applyBorder="1" applyAlignment="1" applyProtection="1">
      <alignment vertical="center"/>
      <protection hidden="1"/>
    </xf>
    <xf numFmtId="167" fontId="2" fillId="23" borderId="45" xfId="5" applyNumberFormat="1" applyFont="1" applyFill="1" applyBorder="1" applyAlignment="1" applyProtection="1">
      <alignment vertical="center"/>
      <protection hidden="1"/>
    </xf>
    <xf numFmtId="167" fontId="6" fillId="23" borderId="45" xfId="5" applyNumberFormat="1" applyFont="1" applyFill="1" applyBorder="1" applyAlignment="1" applyProtection="1">
      <alignment horizontal="center" vertical="center"/>
      <protection hidden="1"/>
    </xf>
    <xf numFmtId="167" fontId="2" fillId="23" borderId="45" xfId="4" applyNumberFormat="1" applyFont="1" applyFill="1" applyBorder="1" applyAlignment="1">
      <alignment horizontal="center" vertical="center"/>
    </xf>
    <xf numFmtId="167" fontId="2" fillId="8" borderId="45" xfId="4" applyNumberFormat="1" applyFont="1" applyFill="1" applyBorder="1" applyAlignment="1">
      <alignment horizontal="center" vertical="center"/>
    </xf>
    <xf numFmtId="167" fontId="8" fillId="0" borderId="0" xfId="4" applyNumberFormat="1" applyAlignment="1">
      <alignment horizontal="center" vertical="center"/>
    </xf>
    <xf numFmtId="176" fontId="8" fillId="0" borderId="0" xfId="8" applyNumberFormat="1" applyFont="1" applyAlignment="1">
      <alignment horizontal="center" vertical="center"/>
    </xf>
    <xf numFmtId="0" fontId="26" fillId="8" borderId="82" xfId="4" applyFont="1" applyFill="1" applyBorder="1" applyProtection="1">
      <protection hidden="1"/>
    </xf>
    <xf numFmtId="0" fontId="2" fillId="8" borderId="38" xfId="4" applyFont="1" applyFill="1" applyBorder="1" applyAlignment="1" applyProtection="1">
      <alignment vertical="center"/>
      <protection hidden="1"/>
    </xf>
    <xf numFmtId="0" fontId="8" fillId="0" borderId="0" xfId="4" applyBorder="1" applyProtection="1">
      <protection hidden="1"/>
    </xf>
    <xf numFmtId="167" fontId="2" fillId="23" borderId="45" xfId="5" applyNumberFormat="1" applyFont="1" applyFill="1" applyBorder="1" applyProtection="1">
      <protection hidden="1"/>
    </xf>
    <xf numFmtId="167" fontId="6" fillId="23" borderId="45" xfId="5" applyNumberFormat="1" applyFont="1" applyFill="1" applyBorder="1" applyAlignment="1" applyProtection="1">
      <alignment horizontal="center"/>
      <protection hidden="1"/>
    </xf>
    <xf numFmtId="176" fontId="2" fillId="8" borderId="45" xfId="4" applyNumberFormat="1" applyFont="1" applyFill="1" applyBorder="1" applyAlignment="1">
      <alignment horizontal="center"/>
    </xf>
    <xf numFmtId="167" fontId="8" fillId="0" borderId="0" xfId="4" applyNumberFormat="1" applyAlignment="1">
      <alignment horizontal="center"/>
    </xf>
    <xf numFmtId="165" fontId="5" fillId="5" borderId="24" xfId="4" applyNumberFormat="1" applyFont="1" applyFill="1" applyBorder="1" applyAlignment="1" applyProtection="1">
      <alignment vertical="center"/>
      <protection hidden="1"/>
    </xf>
    <xf numFmtId="176" fontId="2" fillId="8" borderId="0" xfId="4" applyNumberFormat="1" applyFont="1" applyFill="1" applyBorder="1" applyProtection="1">
      <protection hidden="1"/>
    </xf>
    <xf numFmtId="0" fontId="26" fillId="8" borderId="82" xfId="4" applyFont="1" applyFill="1" applyBorder="1" applyAlignment="1" applyProtection="1">
      <alignment horizontal="left"/>
      <protection hidden="1"/>
    </xf>
    <xf numFmtId="4" fontId="2" fillId="8" borderId="0" xfId="4" applyNumberFormat="1" applyFont="1" applyFill="1" applyBorder="1" applyProtection="1">
      <protection locked="0"/>
    </xf>
    <xf numFmtId="0" fontId="2" fillId="8" borderId="82" xfId="4" applyFont="1" applyFill="1" applyBorder="1" applyAlignment="1" applyProtection="1">
      <protection hidden="1"/>
    </xf>
    <xf numFmtId="167" fontId="8" fillId="0" borderId="0" xfId="4" applyNumberFormat="1" applyFont="1" applyAlignment="1">
      <alignment horizontal="center"/>
    </xf>
    <xf numFmtId="0" fontId="4" fillId="8" borderId="82" xfId="4" applyFont="1" applyFill="1" applyBorder="1" applyAlignment="1" applyProtection="1">
      <protection hidden="1"/>
    </xf>
    <xf numFmtId="0" fontId="5" fillId="8" borderId="82" xfId="4" applyFont="1" applyFill="1" applyBorder="1" applyAlignment="1" applyProtection="1">
      <protection hidden="1"/>
    </xf>
    <xf numFmtId="0" fontId="6" fillId="8" borderId="0" xfId="4" applyFont="1" applyFill="1" applyBorder="1" applyProtection="1">
      <protection hidden="1"/>
    </xf>
    <xf numFmtId="167" fontId="6" fillId="8" borderId="0" xfId="5" applyNumberFormat="1" applyFont="1" applyFill="1" applyBorder="1" applyAlignment="1" applyProtection="1">
      <protection hidden="1"/>
    </xf>
    <xf numFmtId="0" fontId="6" fillId="8" borderId="82" xfId="4" applyFont="1" applyFill="1" applyBorder="1" applyAlignment="1" applyProtection="1">
      <protection hidden="1"/>
    </xf>
    <xf numFmtId="167" fontId="8" fillId="0" borderId="0" xfId="4" applyNumberFormat="1" applyFill="1" applyAlignment="1">
      <alignment horizontal="center"/>
    </xf>
    <xf numFmtId="165" fontId="2" fillId="0" borderId="0" xfId="4" applyNumberFormat="1" applyFont="1" applyFill="1" applyBorder="1" applyProtection="1">
      <protection hidden="1"/>
    </xf>
    <xf numFmtId="0" fontId="26" fillId="13" borderId="82" xfId="4" applyFont="1" applyFill="1" applyBorder="1" applyAlignment="1" applyProtection="1">
      <protection hidden="1"/>
    </xf>
    <xf numFmtId="170" fontId="4" fillId="5" borderId="0" xfId="2" applyNumberFormat="1" applyFont="1" applyFill="1" applyBorder="1" applyAlignment="1" applyProtection="1">
      <alignment horizontal="center"/>
      <protection hidden="1"/>
    </xf>
    <xf numFmtId="0" fontId="26" fillId="3" borderId="82" xfId="4" applyFont="1" applyFill="1" applyBorder="1" applyAlignment="1" applyProtection="1">
      <protection hidden="1"/>
    </xf>
    <xf numFmtId="0" fontId="2" fillId="3" borderId="0" xfId="4" applyFont="1" applyFill="1" applyBorder="1" applyProtection="1">
      <protection hidden="1"/>
    </xf>
    <xf numFmtId="167" fontId="2" fillId="3" borderId="0" xfId="5" applyNumberFormat="1" applyFont="1" applyFill="1" applyBorder="1" applyAlignment="1" applyProtection="1">
      <protection hidden="1"/>
    </xf>
    <xf numFmtId="167" fontId="2" fillId="3" borderId="38" xfId="5" applyNumberFormat="1" applyFont="1" applyFill="1" applyBorder="1" applyAlignment="1" applyProtection="1">
      <protection hidden="1"/>
    </xf>
    <xf numFmtId="9" fontId="2" fillId="0" borderId="0" xfId="2" applyFont="1" applyBorder="1" applyProtection="1">
      <protection hidden="1"/>
    </xf>
    <xf numFmtId="165" fontId="4" fillId="0" borderId="46" xfId="5" applyNumberFormat="1" applyFont="1" applyFill="1" applyBorder="1" applyAlignment="1" applyProtection="1">
      <protection hidden="1"/>
    </xf>
    <xf numFmtId="0" fontId="4" fillId="0" borderId="0" xfId="4" applyFont="1" applyFill="1" applyAlignment="1" applyProtection="1">
      <alignment horizontal="center" vertical="center" wrapText="1"/>
      <protection hidden="1"/>
    </xf>
    <xf numFmtId="0" fontId="26" fillId="8" borderId="82" xfId="4" applyFont="1" applyFill="1" applyBorder="1" applyAlignment="1" applyProtection="1">
      <protection hidden="1"/>
    </xf>
    <xf numFmtId="165" fontId="2" fillId="2" borderId="0" xfId="4" applyNumberFormat="1" applyFont="1" applyFill="1" applyBorder="1" applyAlignment="1" applyProtection="1">
      <alignment vertical="center"/>
      <protection locked="0"/>
    </xf>
    <xf numFmtId="167" fontId="10" fillId="0" borderId="0" xfId="4" applyNumberFormat="1" applyFont="1" applyAlignment="1">
      <alignment horizontal="center"/>
    </xf>
    <xf numFmtId="176" fontId="10" fillId="0" borderId="0" xfId="4" applyNumberFormat="1" applyFont="1" applyAlignment="1">
      <alignment horizontal="center"/>
    </xf>
    <xf numFmtId="0" fontId="26" fillId="16" borderId="82" xfId="4" applyFont="1" applyFill="1" applyBorder="1" applyAlignment="1" applyProtection="1">
      <protection hidden="1"/>
    </xf>
    <xf numFmtId="0" fontId="2" fillId="16" borderId="0" xfId="4" applyFont="1" applyFill="1" applyBorder="1" applyProtection="1">
      <protection hidden="1"/>
    </xf>
    <xf numFmtId="9" fontId="4" fillId="16" borderId="0" xfId="2" applyFont="1" applyFill="1" applyBorder="1" applyAlignment="1" applyProtection="1">
      <alignment horizontal="right"/>
      <protection hidden="1"/>
    </xf>
    <xf numFmtId="167" fontId="2" fillId="16" borderId="38" xfId="5" applyNumberFormat="1" applyFont="1" applyFill="1" applyBorder="1" applyAlignment="1" applyProtection="1">
      <protection hidden="1"/>
    </xf>
    <xf numFmtId="165" fontId="5" fillId="0" borderId="24" xfId="4" applyNumberFormat="1" applyFont="1" applyFill="1" applyBorder="1" applyAlignment="1" applyProtection="1">
      <alignment vertical="center"/>
      <protection hidden="1"/>
    </xf>
    <xf numFmtId="9" fontId="4" fillId="8" borderId="0" xfId="2" applyFont="1" applyFill="1" applyBorder="1"/>
    <xf numFmtId="0" fontId="19" fillId="17" borderId="37" xfId="4" applyFont="1" applyFill="1" applyBorder="1" applyAlignment="1" applyProtection="1">
      <alignment vertical="center"/>
      <protection hidden="1"/>
    </xf>
    <xf numFmtId="167" fontId="2" fillId="17" borderId="0" xfId="4" applyNumberFormat="1" applyFont="1" applyFill="1" applyBorder="1" applyAlignment="1" applyProtection="1">
      <alignment vertical="center"/>
      <protection hidden="1"/>
    </xf>
    <xf numFmtId="0" fontId="2" fillId="17" borderId="38" xfId="4" applyFont="1" applyFill="1" applyBorder="1" applyAlignment="1" applyProtection="1">
      <alignment vertical="center"/>
      <protection hidden="1"/>
    </xf>
    <xf numFmtId="0" fontId="2" fillId="8" borderId="82" xfId="4" applyFont="1" applyFill="1" applyBorder="1" applyProtection="1">
      <protection hidden="1"/>
    </xf>
    <xf numFmtId="0" fontId="8" fillId="8" borderId="0" xfId="4" applyFill="1" applyBorder="1"/>
    <xf numFmtId="0" fontId="8" fillId="8" borderId="38" xfId="4" applyFill="1" applyBorder="1"/>
    <xf numFmtId="0" fontId="6" fillId="17" borderId="37" xfId="4" applyFont="1" applyFill="1" applyBorder="1" applyAlignment="1" applyProtection="1">
      <alignment vertical="center"/>
      <protection hidden="1"/>
    </xf>
    <xf numFmtId="165" fontId="2" fillId="17" borderId="0" xfId="4" applyNumberFormat="1" applyFont="1" applyFill="1" applyBorder="1" applyAlignment="1" applyProtection="1">
      <alignment vertical="center"/>
      <protection locked="0"/>
    </xf>
    <xf numFmtId="165" fontId="4" fillId="5" borderId="24" xfId="4" applyNumberFormat="1" applyFont="1" applyFill="1" applyBorder="1" applyAlignment="1" applyProtection="1">
      <alignment vertical="center"/>
      <protection hidden="1"/>
    </xf>
    <xf numFmtId="0" fontId="26" fillId="6" borderId="37" xfId="4" applyFont="1" applyFill="1" applyBorder="1" applyAlignment="1" applyProtection="1">
      <alignment vertical="center"/>
      <protection hidden="1"/>
    </xf>
    <xf numFmtId="167" fontId="6" fillId="6" borderId="0" xfId="4" applyNumberFormat="1" applyFont="1" applyFill="1" applyBorder="1" applyAlignment="1" applyProtection="1">
      <alignment vertical="center"/>
      <protection hidden="1"/>
    </xf>
    <xf numFmtId="0" fontId="2" fillId="6" borderId="38" xfId="4" applyFont="1" applyFill="1" applyBorder="1" applyAlignment="1" applyProtection="1">
      <alignment vertical="center"/>
      <protection hidden="1"/>
    </xf>
    <xf numFmtId="0" fontId="2" fillId="8" borderId="83" xfId="4" applyFont="1" applyFill="1" applyBorder="1" applyProtection="1">
      <protection hidden="1"/>
    </xf>
    <xf numFmtId="0" fontId="22" fillId="8" borderId="84" xfId="4" applyFont="1" applyFill="1" applyBorder="1" applyProtection="1">
      <protection hidden="1"/>
    </xf>
    <xf numFmtId="167" fontId="22" fillId="8" borderId="84" xfId="5" applyNumberFormat="1" applyFont="1" applyFill="1" applyBorder="1" applyAlignment="1" applyProtection="1">
      <alignment horizontal="right"/>
      <protection hidden="1"/>
    </xf>
    <xf numFmtId="167" fontId="7" fillId="8" borderId="85" xfId="5" applyNumberFormat="1" applyFont="1" applyFill="1" applyBorder="1" applyAlignment="1" applyProtection="1">
      <alignment horizontal="right"/>
      <protection hidden="1"/>
    </xf>
    <xf numFmtId="0" fontId="2" fillId="6" borderId="37" xfId="4" applyFont="1" applyFill="1" applyBorder="1" applyAlignment="1" applyProtection="1">
      <alignment vertical="center"/>
      <protection hidden="1"/>
    </xf>
    <xf numFmtId="165" fontId="2" fillId="6" borderId="0" xfId="4" applyNumberFormat="1" applyFont="1" applyFill="1" applyBorder="1" applyAlignment="1" applyProtection="1">
      <alignment vertical="center"/>
      <protection locked="0"/>
    </xf>
    <xf numFmtId="0" fontId="8" fillId="0" borderId="0" xfId="4" applyBorder="1"/>
    <xf numFmtId="0" fontId="8" fillId="0" borderId="38" xfId="4" applyBorder="1"/>
    <xf numFmtId="165" fontId="4" fillId="5" borderId="24" xfId="5" applyNumberFormat="1" applyFont="1" applyFill="1" applyBorder="1" applyAlignment="1" applyProtection="1">
      <alignment vertical="center"/>
      <protection hidden="1"/>
    </xf>
    <xf numFmtId="9" fontId="7" fillId="0" borderId="0" xfId="2" applyFont="1" applyBorder="1" applyAlignment="1" applyProtection="1">
      <protection hidden="1"/>
    </xf>
    <xf numFmtId="0" fontId="4" fillId="7" borderId="37" xfId="4" applyFont="1" applyFill="1" applyBorder="1" applyAlignment="1" applyProtection="1">
      <alignment vertical="center"/>
      <protection hidden="1"/>
    </xf>
    <xf numFmtId="0" fontId="26" fillId="3" borderId="37" xfId="4" applyFont="1" applyFill="1" applyBorder="1" applyAlignment="1" applyProtection="1">
      <alignment vertical="center"/>
      <protection hidden="1"/>
    </xf>
    <xf numFmtId="0" fontId="2" fillId="3" borderId="38" xfId="4" applyFont="1" applyFill="1" applyBorder="1" applyAlignment="1" applyProtection="1">
      <alignment vertical="center"/>
      <protection hidden="1"/>
    </xf>
    <xf numFmtId="167" fontId="7" fillId="0" borderId="38" xfId="5" applyNumberFormat="1" applyFont="1" applyFill="1" applyBorder="1" applyAlignment="1" applyProtection="1">
      <alignment horizontal="right"/>
      <protection hidden="1"/>
    </xf>
    <xf numFmtId="0" fontId="11" fillId="0" borderId="0" xfId="4" applyFont="1" applyFill="1" applyBorder="1" applyProtection="1">
      <protection hidden="1"/>
    </xf>
    <xf numFmtId="0" fontId="2" fillId="3" borderId="37" xfId="4" applyFont="1" applyFill="1" applyBorder="1" applyAlignment="1" applyProtection="1">
      <alignment vertical="center"/>
      <protection hidden="1"/>
    </xf>
    <xf numFmtId="0" fontId="2" fillId="3" borderId="0" xfId="4" applyFont="1" applyFill="1" applyBorder="1" applyAlignment="1" applyProtection="1">
      <alignment vertical="center"/>
      <protection hidden="1"/>
    </xf>
    <xf numFmtId="167" fontId="9" fillId="0" borderId="0" xfId="4" applyNumberFormat="1" applyFont="1" applyFill="1" applyBorder="1" applyProtection="1">
      <protection hidden="1"/>
    </xf>
    <xf numFmtId="167" fontId="9" fillId="0" borderId="38" xfId="4" applyNumberFormat="1" applyFont="1" applyBorder="1" applyProtection="1">
      <protection hidden="1"/>
    </xf>
    <xf numFmtId="0" fontId="8" fillId="3" borderId="37" xfId="4" applyFill="1" applyBorder="1"/>
    <xf numFmtId="0" fontId="8" fillId="3" borderId="0" xfId="4" applyFill="1" applyBorder="1"/>
    <xf numFmtId="167" fontId="22" fillId="3" borderId="39" xfId="5" applyNumberFormat="1" applyFont="1" applyFill="1" applyBorder="1" applyAlignment="1" applyProtection="1">
      <alignment horizontal="right"/>
      <protection hidden="1"/>
    </xf>
    <xf numFmtId="167" fontId="22" fillId="3" borderId="40" xfId="5" applyNumberFormat="1" applyFont="1" applyFill="1" applyBorder="1" applyAlignment="1" applyProtection="1">
      <alignment horizontal="right"/>
      <protection hidden="1"/>
    </xf>
    <xf numFmtId="167" fontId="7" fillId="3" borderId="41" xfId="5" applyNumberFormat="1" applyFont="1" applyFill="1" applyBorder="1" applyAlignment="1" applyProtection="1">
      <alignment horizontal="right"/>
      <protection hidden="1"/>
    </xf>
    <xf numFmtId="167" fontId="9" fillId="0" borderId="40" xfId="4" applyNumberFormat="1" applyFont="1" applyBorder="1" applyProtection="1">
      <protection hidden="1"/>
    </xf>
    <xf numFmtId="167" fontId="9" fillId="0" borderId="41" xfId="4" applyNumberFormat="1" applyFont="1" applyBorder="1" applyProtection="1">
      <protection hidden="1"/>
    </xf>
    <xf numFmtId="0" fontId="50" fillId="20" borderId="0" xfId="4" applyFont="1" applyFill="1" applyAlignment="1">
      <alignment horizontal="center" vertical="center"/>
    </xf>
    <xf numFmtId="0" fontId="50" fillId="20" borderId="0" xfId="0" applyFont="1" applyFill="1" applyAlignment="1">
      <alignment horizontal="center" vertical="center"/>
    </xf>
    <xf numFmtId="0" fontId="50" fillId="24" borderId="0" xfId="4" applyFont="1" applyFill="1" applyAlignment="1">
      <alignment horizontal="center" vertical="center"/>
    </xf>
    <xf numFmtId="0" fontId="8" fillId="0" borderId="0" xfId="4" applyAlignment="1">
      <alignment horizontal="center"/>
    </xf>
    <xf numFmtId="2" fontId="8" fillId="0" borderId="0" xfId="4" applyNumberFormat="1" applyAlignment="1">
      <alignment horizontal="center"/>
    </xf>
    <xf numFmtId="164" fontId="8" fillId="0" borderId="0" xfId="4" applyNumberFormat="1" applyAlignment="1">
      <alignment horizontal="center"/>
    </xf>
    <xf numFmtId="170" fontId="8" fillId="0" borderId="0" xfId="2" applyNumberFormat="1" applyFont="1" applyAlignment="1">
      <alignment horizontal="center"/>
    </xf>
    <xf numFmtId="165" fontId="8" fillId="0" borderId="0" xfId="4" applyNumberFormat="1" applyAlignment="1">
      <alignment horizontal="center"/>
    </xf>
    <xf numFmtId="9" fontId="8" fillId="0" borderId="0" xfId="2" applyFont="1" applyAlignment="1">
      <alignment horizontal="center"/>
    </xf>
    <xf numFmtId="165" fontId="8" fillId="0" borderId="0" xfId="1" applyNumberFormat="1" applyFont="1" applyAlignment="1">
      <alignment horizontal="center"/>
    </xf>
    <xf numFmtId="165" fontId="4" fillId="0" borderId="0" xfId="5" applyNumberFormat="1" applyFont="1" applyFill="1" applyProtection="1">
      <protection hidden="1"/>
    </xf>
    <xf numFmtId="173" fontId="2" fillId="3" borderId="0" xfId="4" applyNumberFormat="1" applyFont="1" applyFill="1" applyBorder="1" applyAlignment="1" applyProtection="1">
      <alignment vertical="center"/>
      <protection locked="0"/>
    </xf>
    <xf numFmtId="0" fontId="4" fillId="3" borderId="37" xfId="4" applyFont="1" applyFill="1" applyBorder="1" applyAlignment="1" applyProtection="1">
      <alignment vertical="center"/>
      <protection hidden="1"/>
    </xf>
    <xf numFmtId="0" fontId="8" fillId="3" borderId="0" xfId="4" applyFill="1"/>
    <xf numFmtId="165" fontId="4" fillId="3" borderId="0" xfId="4" applyNumberFormat="1" applyFont="1" applyFill="1" applyBorder="1" applyAlignment="1" applyProtection="1">
      <alignment vertical="center"/>
      <protection hidden="1"/>
    </xf>
    <xf numFmtId="165" fontId="4" fillId="5" borderId="46" xfId="4" applyNumberFormat="1" applyFont="1" applyFill="1" applyBorder="1" applyAlignment="1" applyProtection="1">
      <alignment vertical="center"/>
      <protection hidden="1"/>
    </xf>
    <xf numFmtId="165" fontId="4" fillId="5" borderId="64" xfId="4" applyNumberFormat="1" applyFont="1" applyFill="1" applyBorder="1" applyAlignment="1" applyProtection="1">
      <alignment vertical="center"/>
      <protection hidden="1"/>
    </xf>
    <xf numFmtId="165" fontId="4" fillId="5" borderId="86" xfId="4" applyNumberFormat="1" applyFont="1" applyFill="1" applyBorder="1" applyProtection="1">
      <protection hidden="1"/>
    </xf>
    <xf numFmtId="165" fontId="4" fillId="8" borderId="0" xfId="4" applyNumberFormat="1" applyFont="1" applyFill="1" applyBorder="1" applyProtection="1">
      <protection hidden="1"/>
    </xf>
    <xf numFmtId="170" fontId="0" fillId="0" borderId="0" xfId="2" applyNumberFormat="1" applyFont="1" applyAlignment="1">
      <alignment horizontal="center"/>
    </xf>
    <xf numFmtId="170" fontId="2" fillId="8" borderId="0" xfId="4" applyNumberFormat="1" applyFont="1" applyFill="1" applyBorder="1" applyProtection="1">
      <protection locked="0"/>
    </xf>
    <xf numFmtId="170" fontId="4" fillId="16" borderId="0" xfId="4" applyNumberFormat="1" applyFont="1" applyFill="1" applyBorder="1" applyProtection="1">
      <protection hidden="1"/>
    </xf>
    <xf numFmtId="0" fontId="2" fillId="0" borderId="86" xfId="4" applyFont="1" applyBorder="1" applyProtection="1">
      <protection hidden="1"/>
    </xf>
    <xf numFmtId="0" fontId="2" fillId="3" borderId="87" xfId="4" applyFont="1" applyFill="1" applyBorder="1" applyAlignment="1" applyProtection="1">
      <alignment vertical="center"/>
      <protection hidden="1"/>
    </xf>
    <xf numFmtId="0" fontId="50" fillId="0" borderId="0" xfId="4" applyFont="1" applyFill="1" applyAlignment="1">
      <alignment horizontal="center" vertical="center"/>
    </xf>
    <xf numFmtId="0" fontId="41" fillId="0" borderId="0" xfId="0" applyFont="1" applyAlignment="1">
      <alignment wrapText="1"/>
    </xf>
    <xf numFmtId="0" fontId="41" fillId="0" borderId="0" xfId="0" applyFont="1" applyBorder="1" applyAlignment="1">
      <alignment wrapText="1"/>
    </xf>
    <xf numFmtId="0" fontId="4" fillId="0" borderId="0" xfId="0" applyFont="1" applyFill="1" applyBorder="1" applyAlignment="1">
      <alignment horizontal="left"/>
    </xf>
    <xf numFmtId="0" fontId="31" fillId="0" borderId="0" xfId="0" applyFont="1" applyFill="1" applyBorder="1" applyAlignment="1">
      <alignment horizontal="left"/>
    </xf>
    <xf numFmtId="0" fontId="4" fillId="0" borderId="0" xfId="0" applyFont="1" applyFill="1" applyBorder="1"/>
    <xf numFmtId="0" fontId="2" fillId="0" borderId="0" xfId="0" applyFont="1" applyFill="1" applyBorder="1" applyAlignment="1">
      <alignment horizontal="left"/>
    </xf>
    <xf numFmtId="0" fontId="0" fillId="0" borderId="0" xfId="0" applyFont="1" applyFill="1" applyBorder="1"/>
    <xf numFmtId="0" fontId="10" fillId="0" borderId="0" xfId="0" applyFont="1" applyFill="1" applyBorder="1"/>
    <xf numFmtId="0" fontId="23" fillId="0" borderId="0" xfId="0" applyFont="1" applyFill="1" applyBorder="1"/>
    <xf numFmtId="0" fontId="2" fillId="3" borderId="25"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3" borderId="26"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0" borderId="27" xfId="0" applyFont="1" applyBorder="1" applyAlignment="1">
      <alignment horizontal="center" vertical="center" wrapText="1"/>
    </xf>
    <xf numFmtId="0" fontId="7" fillId="3" borderId="30" xfId="0" applyFont="1" applyFill="1" applyBorder="1" applyAlignment="1">
      <alignment horizontal="center" vertical="center" wrapText="1"/>
    </xf>
    <xf numFmtId="165" fontId="7" fillId="5" borderId="31" xfId="0" applyNumberFormat="1" applyFont="1" applyFill="1" applyBorder="1" applyAlignment="1">
      <alignment horizontal="center" vertical="center"/>
    </xf>
    <xf numFmtId="165" fontId="7" fillId="5" borderId="31" xfId="1" applyNumberFormat="1" applyFont="1" applyFill="1" applyBorder="1" applyAlignment="1">
      <alignment horizontal="center" vertical="center"/>
    </xf>
    <xf numFmtId="9" fontId="7" fillId="3" borderId="31" xfId="2" applyFont="1" applyFill="1" applyBorder="1" applyAlignment="1">
      <alignment horizontal="center" vertical="center" wrapText="1"/>
    </xf>
    <xf numFmtId="2" fontId="7" fillId="3" borderId="31" xfId="2" applyNumberFormat="1" applyFont="1" applyFill="1" applyBorder="1" applyAlignment="1">
      <alignment horizontal="center" vertical="center" wrapText="1"/>
    </xf>
    <xf numFmtId="165" fontId="7" fillId="3" borderId="31" xfId="2" applyNumberFormat="1" applyFont="1" applyFill="1" applyBorder="1" applyAlignment="1">
      <alignment horizontal="center" vertical="center" wrapText="1"/>
    </xf>
    <xf numFmtId="165" fontId="7" fillId="3" borderId="31" xfId="1" applyNumberFormat="1" applyFont="1" applyFill="1" applyBorder="1" applyAlignment="1">
      <alignment horizontal="center" vertical="center" wrapText="1"/>
    </xf>
    <xf numFmtId="3" fontId="7" fillId="3" borderId="31" xfId="2" applyNumberFormat="1" applyFont="1" applyFill="1" applyBorder="1" applyAlignment="1">
      <alignment horizontal="center" vertical="center" wrapText="1"/>
    </xf>
    <xf numFmtId="4" fontId="7" fillId="16" borderId="32" xfId="0" applyNumberFormat="1" applyFont="1" applyFill="1" applyBorder="1" applyAlignment="1">
      <alignment horizontal="center" vertical="center"/>
    </xf>
    <xf numFmtId="4" fontId="6" fillId="2" borderId="24" xfId="0" applyNumberFormat="1" applyFont="1" applyFill="1" applyBorder="1" applyAlignment="1">
      <alignment horizontal="left" vertical="center"/>
    </xf>
    <xf numFmtId="43" fontId="14" fillId="0" borderId="45" xfId="4" applyNumberFormat="1" applyFont="1" applyBorder="1"/>
    <xf numFmtId="0" fontId="20" fillId="0" borderId="28" xfId="3" applyFont="1" applyBorder="1"/>
    <xf numFmtId="0" fontId="20" fillId="0" borderId="90" xfId="3" applyFont="1" applyBorder="1"/>
    <xf numFmtId="0" fontId="20" fillId="0" borderId="0" xfId="3" applyFont="1" applyBorder="1" applyAlignment="1">
      <alignment horizontal="center" vertical="center" wrapText="1"/>
    </xf>
    <xf numFmtId="0" fontId="20" fillId="0" borderId="0" xfId="3" applyFont="1" applyBorder="1" applyAlignment="1">
      <alignment horizontal="center" wrapText="1"/>
    </xf>
    <xf numFmtId="0" fontId="20" fillId="12" borderId="28" xfId="3" applyFont="1" applyFill="1" applyBorder="1"/>
    <xf numFmtId="165" fontId="62" fillId="4" borderId="29" xfId="3" applyNumberFormat="1" applyFont="1" applyFill="1" applyBorder="1" applyAlignment="1">
      <alignment horizontal="center" vertical="center"/>
    </xf>
    <xf numFmtId="165" fontId="62" fillId="3" borderId="29" xfId="3" applyNumberFormat="1" applyFont="1" applyFill="1" applyBorder="1" applyAlignment="1">
      <alignment horizontal="center" vertical="center"/>
    </xf>
    <xf numFmtId="165" fontId="62" fillId="2" borderId="29" xfId="3" applyNumberFormat="1" applyFont="1" applyFill="1" applyBorder="1" applyAlignment="1">
      <alignment horizontal="center" vertical="center"/>
    </xf>
    <xf numFmtId="165" fontId="20" fillId="0" borderId="0" xfId="3" applyNumberFormat="1" applyFont="1" applyBorder="1" applyAlignment="1">
      <alignment horizontal="left" vertical="center"/>
    </xf>
    <xf numFmtId="165" fontId="20" fillId="0" borderId="0" xfId="3" applyNumberFormat="1" applyFont="1" applyBorder="1"/>
    <xf numFmtId="0" fontId="63" fillId="0" borderId="90" xfId="3" applyFont="1" applyBorder="1"/>
    <xf numFmtId="0" fontId="63" fillId="0" borderId="0" xfId="3" applyFont="1" applyBorder="1" applyAlignment="1">
      <alignment horizontal="center" wrapText="1"/>
    </xf>
    <xf numFmtId="0" fontId="63" fillId="0" borderId="0" xfId="3" applyFont="1" applyBorder="1"/>
    <xf numFmtId="0" fontId="63" fillId="0" borderId="0" xfId="3" applyFont="1"/>
    <xf numFmtId="165" fontId="20" fillId="0" borderId="0" xfId="3" applyNumberFormat="1" applyFont="1"/>
    <xf numFmtId="0" fontId="63" fillId="0" borderId="0" xfId="3" applyFont="1" applyAlignment="1">
      <alignment horizontal="center" wrapText="1"/>
    </xf>
    <xf numFmtId="165" fontId="62" fillId="7" borderId="29" xfId="3" applyNumberFormat="1" applyFont="1" applyFill="1" applyBorder="1" applyAlignment="1">
      <alignment horizontal="center" vertical="center"/>
    </xf>
    <xf numFmtId="0" fontId="62" fillId="0" borderId="28" xfId="3" applyFont="1" applyBorder="1" applyAlignment="1">
      <alignment horizontal="center" vertical="center"/>
    </xf>
    <xf numFmtId="0" fontId="15" fillId="6" borderId="0"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7" borderId="0" xfId="0" applyFont="1" applyFill="1" applyBorder="1" applyAlignment="1">
      <alignment horizontal="center" vertical="center" wrapText="1"/>
    </xf>
    <xf numFmtId="9" fontId="3" fillId="0" borderId="0" xfId="3" applyNumberFormat="1" applyBorder="1" applyAlignment="1">
      <alignment horizontal="center" vertical="center"/>
    </xf>
    <xf numFmtId="9" fontId="3" fillId="0" borderId="0" xfId="2" applyFont="1" applyBorder="1" applyAlignment="1">
      <alignment horizontal="center" vertical="center"/>
    </xf>
    <xf numFmtId="0" fontId="64" fillId="17" borderId="0" xfId="3" applyFont="1" applyFill="1" applyBorder="1" applyAlignment="1">
      <alignment horizontal="center" vertical="center" wrapText="1"/>
    </xf>
    <xf numFmtId="165" fontId="0" fillId="0" borderId="0" xfId="0" applyNumberFormat="1" applyAlignment="1">
      <alignment horizontal="center" vertical="center"/>
    </xf>
    <xf numFmtId="165" fontId="2" fillId="4" borderId="31" xfId="0" applyNumberFormat="1" applyFont="1" applyFill="1" applyBorder="1" applyAlignment="1">
      <alignment horizontal="center" vertical="center"/>
    </xf>
    <xf numFmtId="0" fontId="2" fillId="2" borderId="34" xfId="0" applyFont="1" applyFill="1" applyBorder="1"/>
    <xf numFmtId="0" fontId="2" fillId="2" borderId="35" xfId="0" applyFont="1" applyFill="1" applyBorder="1"/>
    <xf numFmtId="0" fontId="2" fillId="2" borderId="36" xfId="0" applyFont="1" applyFill="1" applyBorder="1"/>
    <xf numFmtId="0" fontId="2" fillId="2" borderId="37" xfId="0" applyFont="1" applyFill="1" applyBorder="1"/>
    <xf numFmtId="0" fontId="2" fillId="2" borderId="0" xfId="0" applyFont="1" applyFill="1" applyBorder="1"/>
    <xf numFmtId="0" fontId="2" fillId="2" borderId="38" xfId="0" applyFont="1" applyFill="1" applyBorder="1"/>
    <xf numFmtId="0" fontId="2" fillId="2" borderId="39" xfId="0" applyFont="1" applyFill="1" applyBorder="1"/>
    <xf numFmtId="0" fontId="0" fillId="2" borderId="40" xfId="0" applyFill="1" applyBorder="1"/>
    <xf numFmtId="0" fontId="0" fillId="2" borderId="41" xfId="0" applyFill="1" applyBorder="1"/>
    <xf numFmtId="0" fontId="4" fillId="16" borderId="24" xfId="0" applyFont="1" applyFill="1" applyBorder="1" applyAlignment="1">
      <alignment horizontal="center" vertical="center"/>
    </xf>
    <xf numFmtId="0" fontId="2" fillId="4" borderId="33" xfId="0" applyFont="1" applyFill="1" applyBorder="1" applyAlignment="1">
      <alignment horizontal="left" vertical="center"/>
    </xf>
    <xf numFmtId="0" fontId="2" fillId="4" borderId="59" xfId="0" applyFont="1" applyFill="1" applyBorder="1" applyAlignment="1">
      <alignment horizontal="left" vertical="center"/>
    </xf>
    <xf numFmtId="3" fontId="2" fillId="4" borderId="24" xfId="0" applyNumberFormat="1" applyFont="1" applyFill="1" applyBorder="1" applyAlignment="1">
      <alignment horizontal="center" vertical="center"/>
    </xf>
    <xf numFmtId="0" fontId="2" fillId="4" borderId="62" xfId="0" applyFont="1" applyFill="1" applyBorder="1" applyAlignment="1">
      <alignment horizontal="center" vertical="center"/>
    </xf>
    <xf numFmtId="3" fontId="4" fillId="4" borderId="62" xfId="0" applyNumberFormat="1" applyFont="1" applyFill="1" applyBorder="1" applyAlignment="1">
      <alignment horizontal="center" vertical="center"/>
    </xf>
    <xf numFmtId="165" fontId="4" fillId="5" borderId="24" xfId="2" applyNumberFormat="1" applyFont="1" applyFill="1" applyBorder="1" applyAlignment="1">
      <alignment horizontal="center" vertical="center"/>
    </xf>
    <xf numFmtId="165" fontId="0" fillId="3" borderId="0" xfId="0" applyNumberFormat="1" applyFill="1" applyAlignment="1">
      <alignment horizontal="center" vertical="center"/>
    </xf>
    <xf numFmtId="165" fontId="2" fillId="4" borderId="24" xfId="0" applyNumberFormat="1" applyFont="1" applyFill="1" applyBorder="1" applyAlignment="1">
      <alignment horizontal="center" vertical="center"/>
    </xf>
    <xf numFmtId="165" fontId="4" fillId="6" borderId="0" xfId="1" applyNumberFormat="1" applyFont="1" applyFill="1" applyBorder="1" applyAlignment="1">
      <alignment horizontal="center" vertical="center"/>
    </xf>
    <xf numFmtId="0" fontId="62" fillId="12" borderId="58" xfId="3" applyFont="1" applyFill="1" applyBorder="1" applyAlignment="1">
      <alignment horizontal="center" vertical="center" wrapText="1"/>
    </xf>
    <xf numFmtId="0" fontId="62" fillId="6" borderId="58" xfId="3" applyFont="1" applyFill="1" applyBorder="1" applyAlignment="1">
      <alignment horizontal="center" vertical="center" wrapText="1"/>
    </xf>
    <xf numFmtId="0" fontId="62" fillId="4" borderId="58" xfId="3" applyFont="1" applyFill="1" applyBorder="1" applyAlignment="1">
      <alignment horizontal="center" vertical="center" wrapText="1"/>
    </xf>
    <xf numFmtId="0" fontId="62" fillId="3" borderId="58" xfId="3" applyFont="1" applyFill="1" applyBorder="1" applyAlignment="1">
      <alignment horizontal="center" vertical="center" wrapText="1"/>
    </xf>
    <xf numFmtId="0" fontId="62" fillId="2" borderId="58" xfId="3" applyFont="1" applyFill="1" applyBorder="1" applyAlignment="1">
      <alignment horizontal="center" vertical="center" wrapText="1"/>
    </xf>
    <xf numFmtId="0" fontId="62" fillId="7" borderId="58" xfId="3" applyFont="1" applyFill="1" applyBorder="1" applyAlignment="1">
      <alignment horizontal="center" vertical="center" wrapText="1"/>
    </xf>
    <xf numFmtId="0" fontId="62" fillId="0" borderId="58" xfId="3" applyFont="1" applyBorder="1" applyAlignment="1">
      <alignment horizontal="center" vertical="center" wrapText="1"/>
    </xf>
    <xf numFmtId="9" fontId="62" fillId="0" borderId="58" xfId="2" applyFont="1" applyBorder="1" applyAlignment="1">
      <alignment horizontal="center" vertical="center" wrapText="1"/>
    </xf>
    <xf numFmtId="165" fontId="62" fillId="12" borderId="24" xfId="3" applyNumberFormat="1" applyFont="1" applyFill="1" applyBorder="1" applyAlignment="1">
      <alignment horizontal="center" vertical="center"/>
    </xf>
    <xf numFmtId="165" fontId="20" fillId="6" borderId="24" xfId="1" applyNumberFormat="1" applyFont="1" applyFill="1" applyBorder="1" applyAlignment="1">
      <alignment horizontal="center" vertical="center"/>
    </xf>
    <xf numFmtId="165" fontId="62" fillId="6" borderId="24" xfId="8" applyNumberFormat="1" applyFont="1" applyFill="1" applyBorder="1" applyAlignment="1">
      <alignment horizontal="center" vertical="center"/>
    </xf>
    <xf numFmtId="165" fontId="20" fillId="4" borderId="24" xfId="3" applyNumberFormat="1" applyFont="1" applyFill="1" applyBorder="1" applyAlignment="1">
      <alignment horizontal="center" vertical="center"/>
    </xf>
    <xf numFmtId="165" fontId="62" fillId="4" borderId="24" xfId="3" applyNumberFormat="1" applyFont="1" applyFill="1" applyBorder="1" applyAlignment="1">
      <alignment horizontal="center" vertical="center"/>
    </xf>
    <xf numFmtId="165" fontId="20" fillId="3" borderId="24" xfId="3" applyNumberFormat="1" applyFont="1" applyFill="1" applyBorder="1" applyAlignment="1">
      <alignment horizontal="center" vertical="center"/>
    </xf>
    <xf numFmtId="165" fontId="62" fillId="3" borderId="24" xfId="3" applyNumberFormat="1" applyFont="1" applyFill="1" applyBorder="1" applyAlignment="1">
      <alignment horizontal="center" vertical="center"/>
    </xf>
    <xf numFmtId="165" fontId="20" fillId="2" borderId="24" xfId="3" applyNumberFormat="1" applyFont="1" applyFill="1" applyBorder="1" applyAlignment="1">
      <alignment horizontal="center" vertical="center"/>
    </xf>
    <xf numFmtId="165" fontId="62" fillId="2" borderId="24" xfId="3" applyNumberFormat="1" applyFont="1" applyFill="1" applyBorder="1" applyAlignment="1">
      <alignment horizontal="center" vertical="center"/>
    </xf>
    <xf numFmtId="165" fontId="62" fillId="7" borderId="24" xfId="3" applyNumberFormat="1" applyFont="1" applyFill="1" applyBorder="1" applyAlignment="1">
      <alignment horizontal="center" vertical="center"/>
    </xf>
    <xf numFmtId="165" fontId="62" fillId="0" borderId="24" xfId="3" applyNumberFormat="1" applyFont="1" applyBorder="1" applyAlignment="1">
      <alignment horizontal="center" vertical="center"/>
    </xf>
    <xf numFmtId="165" fontId="62" fillId="9" borderId="24" xfId="2" applyNumberFormat="1" applyFont="1" applyFill="1" applyBorder="1" applyAlignment="1">
      <alignment horizontal="center" vertical="center" wrapText="1"/>
    </xf>
    <xf numFmtId="0" fontId="62" fillId="0" borderId="29" xfId="3" applyFont="1" applyBorder="1" applyAlignment="1">
      <alignment horizontal="center" vertical="center"/>
    </xf>
    <xf numFmtId="0" fontId="62" fillId="0" borderId="0" xfId="3" applyFont="1" applyBorder="1" applyAlignment="1">
      <alignment horizontal="center" vertical="center"/>
    </xf>
    <xf numFmtId="0" fontId="65" fillId="0" borderId="0" xfId="3" applyFont="1" applyBorder="1" applyAlignment="1">
      <alignment horizontal="center" vertical="center"/>
    </xf>
    <xf numFmtId="0" fontId="65" fillId="0" borderId="0" xfId="3" applyFont="1" applyAlignment="1">
      <alignment horizontal="center" vertical="center"/>
    </xf>
    <xf numFmtId="165" fontId="62" fillId="6" borderId="29" xfId="3" applyNumberFormat="1" applyFont="1" applyFill="1" applyBorder="1" applyAlignment="1">
      <alignment horizontal="center" vertical="center"/>
    </xf>
    <xf numFmtId="0" fontId="62" fillId="7" borderId="29" xfId="3" applyFont="1" applyFill="1" applyBorder="1" applyAlignment="1">
      <alignment horizontal="center" vertical="center"/>
    </xf>
    <xf numFmtId="0" fontId="62" fillId="4" borderId="29" xfId="3" applyFont="1" applyFill="1" applyBorder="1" applyAlignment="1">
      <alignment horizontal="center" vertical="center"/>
    </xf>
    <xf numFmtId="0" fontId="62" fillId="2" borderId="29" xfId="3" applyFont="1" applyFill="1" applyBorder="1" applyAlignment="1">
      <alignment horizontal="center" vertical="center"/>
    </xf>
    <xf numFmtId="0" fontId="62" fillId="3" borderId="29" xfId="3" applyFont="1" applyFill="1" applyBorder="1" applyAlignment="1">
      <alignment horizontal="center" vertical="center"/>
    </xf>
    <xf numFmtId="0" fontId="65" fillId="9" borderId="29" xfId="3" applyFont="1" applyFill="1" applyBorder="1" applyAlignment="1">
      <alignment horizontal="center" vertical="center"/>
    </xf>
    <xf numFmtId="0" fontId="65" fillId="6" borderId="29" xfId="3" applyFont="1" applyFill="1" applyBorder="1" applyAlignment="1">
      <alignment horizontal="center" vertical="center"/>
    </xf>
    <xf numFmtId="0" fontId="62" fillId="12" borderId="29" xfId="3" applyFont="1" applyFill="1" applyBorder="1" applyAlignment="1">
      <alignment horizontal="center" vertical="center" wrapText="1"/>
    </xf>
    <xf numFmtId="0" fontId="5" fillId="16" borderId="82" xfId="4" applyFont="1" applyFill="1" applyBorder="1" applyAlignment="1" applyProtection="1">
      <protection hidden="1"/>
    </xf>
    <xf numFmtId="167" fontId="5" fillId="16" borderId="0" xfId="5" applyNumberFormat="1" applyFont="1" applyFill="1" applyBorder="1" applyAlignment="1" applyProtection="1">
      <protection hidden="1"/>
    </xf>
    <xf numFmtId="167" fontId="0" fillId="0" borderId="37" xfId="5" applyNumberFormat="1" applyFont="1" applyFill="1" applyBorder="1" applyAlignment="1" applyProtection="1">
      <protection hidden="1"/>
    </xf>
    <xf numFmtId="165" fontId="2" fillId="0" borderId="37" xfId="5" applyNumberFormat="1" applyFont="1" applyFill="1" applyBorder="1" applyAlignment="1" applyProtection="1">
      <protection hidden="1"/>
    </xf>
    <xf numFmtId="165" fontId="2" fillId="0" borderId="0" xfId="5" applyNumberFormat="1" applyFont="1" applyFill="1" applyAlignment="1" applyProtection="1">
      <protection hidden="1"/>
    </xf>
    <xf numFmtId="165" fontId="4" fillId="5" borderId="46" xfId="5" applyNumberFormat="1" applyFont="1" applyFill="1" applyBorder="1" applyAlignment="1" applyProtection="1">
      <protection locked="0"/>
    </xf>
    <xf numFmtId="165" fontId="4" fillId="5" borderId="64" xfId="5" applyNumberFormat="1" applyFont="1" applyFill="1" applyBorder="1" applyAlignment="1" applyProtection="1">
      <protection hidden="1"/>
    </xf>
    <xf numFmtId="167" fontId="4" fillId="5" borderId="64" xfId="5" applyNumberFormat="1" applyFont="1" applyFill="1" applyBorder="1" applyAlignment="1" applyProtection="1">
      <protection hidden="1"/>
    </xf>
    <xf numFmtId="165" fontId="5" fillId="16" borderId="24" xfId="5" applyNumberFormat="1" applyFont="1" applyFill="1" applyBorder="1" applyAlignment="1" applyProtection="1">
      <protection hidden="1"/>
    </xf>
    <xf numFmtId="0" fontId="32" fillId="4" borderId="8"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2" fillId="4" borderId="16" xfId="0" applyFont="1" applyFill="1" applyBorder="1" applyAlignment="1">
      <alignment horizontal="center" vertical="center"/>
    </xf>
    <xf numFmtId="0" fontId="32" fillId="4" borderId="17" xfId="0" applyFont="1" applyFill="1" applyBorder="1" applyAlignment="1">
      <alignment horizontal="center" vertical="center"/>
    </xf>
    <xf numFmtId="0" fontId="32" fillId="4" borderId="18" xfId="0" applyFont="1" applyFill="1" applyBorder="1" applyAlignment="1">
      <alignment horizontal="center" vertical="center"/>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41" fillId="0" borderId="0" xfId="0" applyFont="1" applyAlignment="1">
      <alignment horizontal="center" wrapText="1"/>
    </xf>
    <xf numFmtId="0" fontId="32" fillId="4" borderId="10"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3" fillId="0" borderId="0" xfId="0" applyFont="1" applyAlignment="1">
      <alignment horizontal="center"/>
    </xf>
    <xf numFmtId="0" fontId="45" fillId="0" borderId="0" xfId="0" applyFont="1" applyAlignment="1">
      <alignment horizontal="center" vertical="center"/>
    </xf>
    <xf numFmtId="0" fontId="44" fillId="0" borderId="0" xfId="0" applyFont="1" applyAlignment="1">
      <alignment horizontal="center" vertical="center"/>
    </xf>
    <xf numFmtId="172" fontId="37" fillId="0" borderId="43" xfId="8" applyNumberFormat="1" applyFont="1" applyBorder="1" applyAlignment="1">
      <alignment horizontal="center" vertical="center"/>
    </xf>
    <xf numFmtId="166" fontId="37" fillId="4" borderId="42" xfId="0" applyNumberFormat="1" applyFont="1" applyFill="1" applyBorder="1" applyAlignment="1">
      <alignment horizontal="center" vertical="center"/>
    </xf>
    <xf numFmtId="166" fontId="37" fillId="4" borderId="43" xfId="0" applyNumberFormat="1" applyFont="1" applyFill="1" applyBorder="1" applyAlignment="1">
      <alignment horizontal="center" vertical="center"/>
    </xf>
    <xf numFmtId="0" fontId="37" fillId="4" borderId="43" xfId="0" applyFont="1" applyFill="1" applyBorder="1" applyAlignment="1">
      <alignment horizontal="center" vertical="center"/>
    </xf>
    <xf numFmtId="0" fontId="37" fillId="0" borderId="0" xfId="0" applyFont="1" applyFill="1" applyBorder="1" applyAlignment="1">
      <alignment horizontal="center" vertical="center"/>
    </xf>
    <xf numFmtId="171" fontId="37" fillId="4" borderId="43" xfId="8" applyNumberFormat="1" applyFont="1" applyFill="1" applyBorder="1" applyAlignment="1">
      <alignment horizontal="center" vertical="center"/>
    </xf>
    <xf numFmtId="0" fontId="4" fillId="16" borderId="0" xfId="0" applyFont="1" applyFill="1" applyBorder="1" applyAlignment="1">
      <alignment horizontal="left" vertical="center" wrapText="1"/>
    </xf>
    <xf numFmtId="0" fontId="34" fillId="7" borderId="8" xfId="0" applyFont="1" applyFill="1" applyBorder="1" applyAlignment="1">
      <alignment horizontal="left" vertical="center"/>
    </xf>
    <xf numFmtId="0" fontId="34" fillId="7" borderId="0" xfId="0" applyFont="1" applyFill="1" applyBorder="1" applyAlignment="1">
      <alignment horizontal="left" vertical="center"/>
    </xf>
    <xf numFmtId="0" fontId="4" fillId="7" borderId="0" xfId="0" applyFont="1" applyFill="1" applyBorder="1" applyAlignment="1">
      <alignment horizontal="left" vertical="center" wrapText="1"/>
    </xf>
    <xf numFmtId="0" fontId="4" fillId="4" borderId="28" xfId="0" applyFont="1" applyFill="1" applyBorder="1" applyAlignment="1">
      <alignment horizontal="left" vertical="center"/>
    </xf>
    <xf numFmtId="0" fontId="4" fillId="4" borderId="24" xfId="0" applyFont="1" applyFill="1" applyBorder="1" applyAlignment="1">
      <alignment horizontal="left" vertical="center"/>
    </xf>
    <xf numFmtId="0" fontId="4" fillId="4" borderId="64" xfId="0" applyFont="1" applyFill="1" applyBorder="1" applyAlignment="1">
      <alignment horizontal="left" vertical="center"/>
    </xf>
    <xf numFmtId="0" fontId="4" fillId="4" borderId="29" xfId="0" applyFont="1" applyFill="1" applyBorder="1" applyAlignment="1">
      <alignment horizontal="left" vertical="center"/>
    </xf>
    <xf numFmtId="165" fontId="4" fillId="4" borderId="31" xfId="1" applyNumberFormat="1" applyFont="1" applyFill="1" applyBorder="1" applyAlignment="1">
      <alignment horizontal="center" vertical="center"/>
    </xf>
    <xf numFmtId="165" fontId="4" fillId="4" borderId="32" xfId="1" applyNumberFormat="1" applyFont="1" applyFill="1" applyBorder="1" applyAlignment="1">
      <alignment horizontal="center" vertical="center"/>
    </xf>
    <xf numFmtId="0" fontId="2" fillId="4" borderId="33" xfId="0" applyFont="1" applyFill="1" applyBorder="1" applyAlignment="1">
      <alignment horizontal="left" vertical="center"/>
    </xf>
    <xf numFmtId="0" fontId="5" fillId="4" borderId="58" xfId="0" applyFont="1" applyFill="1" applyBorder="1" applyAlignment="1">
      <alignment horizontal="center"/>
    </xf>
    <xf numFmtId="0" fontId="5" fillId="4" borderId="33" xfId="0" applyFont="1" applyFill="1" applyBorder="1" applyAlignment="1">
      <alignment horizontal="center"/>
    </xf>
    <xf numFmtId="166" fontId="2" fillId="4" borderId="58" xfId="0" applyNumberFormat="1" applyFont="1" applyFill="1" applyBorder="1" applyAlignment="1">
      <alignment horizontal="left" vertical="center"/>
    </xf>
    <xf numFmtId="166" fontId="2" fillId="4" borderId="33" xfId="0" applyNumberFormat="1" applyFont="1" applyFill="1" applyBorder="1" applyAlignment="1">
      <alignment horizontal="left" vertical="center"/>
    </xf>
    <xf numFmtId="166" fontId="2" fillId="4" borderId="59" xfId="0" applyNumberFormat="1" applyFont="1" applyFill="1" applyBorder="1" applyAlignment="1">
      <alignment horizontal="left" vertical="center"/>
    </xf>
    <xf numFmtId="0" fontId="34" fillId="7" borderId="8" xfId="0" applyFont="1" applyFill="1" applyBorder="1" applyAlignment="1">
      <alignment horizontal="left" vertical="center" wrapText="1"/>
    </xf>
    <xf numFmtId="0" fontId="34" fillId="7" borderId="0" xfId="0" applyFont="1" applyFill="1" applyBorder="1" applyAlignment="1">
      <alignment horizontal="left" vertical="center" wrapText="1"/>
    </xf>
    <xf numFmtId="0" fontId="2" fillId="4" borderId="58" xfId="0" applyFont="1" applyFill="1" applyBorder="1" applyAlignment="1">
      <alignment horizontal="left" vertical="center"/>
    </xf>
    <xf numFmtId="0" fontId="2" fillId="4" borderId="59" xfId="0" applyFont="1" applyFill="1" applyBorder="1" applyAlignment="1">
      <alignment horizontal="left" vertical="center"/>
    </xf>
    <xf numFmtId="0" fontId="2" fillId="4" borderId="58"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59" xfId="0" applyFont="1" applyFill="1" applyBorder="1" applyAlignment="1">
      <alignment horizontal="center" vertical="center"/>
    </xf>
    <xf numFmtId="0" fontId="2" fillId="4" borderId="24" xfId="0" applyFont="1" applyFill="1" applyBorder="1" applyAlignment="1">
      <alignment horizontal="left" vertical="center"/>
    </xf>
    <xf numFmtId="0" fontId="2" fillId="4" borderId="29" xfId="0" applyFont="1" applyFill="1" applyBorder="1" applyAlignment="1">
      <alignment horizontal="left" vertical="center"/>
    </xf>
    <xf numFmtId="3" fontId="4" fillId="4" borderId="61" xfId="0" applyNumberFormat="1" applyFont="1" applyFill="1" applyBorder="1" applyAlignment="1">
      <alignment horizontal="left" vertical="center"/>
    </xf>
    <xf numFmtId="3" fontId="4" fillId="4" borderId="33" xfId="0" applyNumberFormat="1" applyFont="1" applyFill="1" applyBorder="1" applyAlignment="1">
      <alignment horizontal="left" vertical="center"/>
    </xf>
    <xf numFmtId="3" fontId="4" fillId="4" borderId="59" xfId="0" applyNumberFormat="1" applyFont="1" applyFill="1" applyBorder="1" applyAlignment="1">
      <alignment horizontal="left" vertical="center"/>
    </xf>
    <xf numFmtId="4" fontId="4" fillId="4" borderId="67" xfId="0" applyNumberFormat="1" applyFont="1" applyFill="1" applyBorder="1" applyAlignment="1">
      <alignment horizontal="left" vertical="center"/>
    </xf>
    <xf numFmtId="4" fontId="4" fillId="4" borderId="62" xfId="0" applyNumberFormat="1" applyFont="1" applyFill="1" applyBorder="1" applyAlignment="1">
      <alignment horizontal="left" vertical="center"/>
    </xf>
    <xf numFmtId="4" fontId="4" fillId="4" borderId="33" xfId="0" applyNumberFormat="1" applyFont="1" applyFill="1" applyBorder="1" applyAlignment="1">
      <alignment horizontal="left" vertical="center"/>
    </xf>
    <xf numFmtId="4" fontId="4" fillId="4" borderId="59" xfId="0" applyNumberFormat="1" applyFont="1" applyFill="1" applyBorder="1" applyAlignment="1">
      <alignment horizontal="left" vertical="center"/>
    </xf>
    <xf numFmtId="3" fontId="2" fillId="4" borderId="24" xfId="0" applyNumberFormat="1" applyFont="1" applyFill="1" applyBorder="1" applyAlignment="1">
      <alignment horizontal="left" vertical="center"/>
    </xf>
    <xf numFmtId="3" fontId="2" fillId="4" borderId="29" xfId="0" applyNumberFormat="1" applyFont="1" applyFill="1" applyBorder="1" applyAlignment="1">
      <alignment horizontal="left" vertical="center"/>
    </xf>
    <xf numFmtId="3" fontId="4" fillId="4" borderId="66" xfId="0" applyNumberFormat="1" applyFont="1" applyFill="1" applyBorder="1" applyAlignment="1">
      <alignment horizontal="left" vertical="center"/>
    </xf>
    <xf numFmtId="3" fontId="4" fillId="4" borderId="7" xfId="0" applyNumberFormat="1" applyFont="1" applyFill="1" applyBorder="1" applyAlignment="1">
      <alignment horizontal="left" vertical="center"/>
    </xf>
    <xf numFmtId="0" fontId="7" fillId="4" borderId="28" xfId="0" applyFont="1" applyFill="1" applyBorder="1" applyAlignment="1">
      <alignment horizontal="left" vertical="center"/>
    </xf>
    <xf numFmtId="0" fontId="7" fillId="4" borderId="24" xfId="0" applyFont="1" applyFill="1" applyBorder="1" applyAlignment="1">
      <alignment horizontal="left" vertical="center"/>
    </xf>
    <xf numFmtId="0" fontId="7" fillId="4" borderId="29" xfId="0" applyFont="1" applyFill="1" applyBorder="1" applyAlignment="1">
      <alignment horizontal="left" vertical="center"/>
    </xf>
    <xf numFmtId="0" fontId="4" fillId="4" borderId="46" xfId="0" applyFont="1" applyFill="1" applyBorder="1" applyAlignment="1">
      <alignment horizontal="left" vertical="center"/>
    </xf>
    <xf numFmtId="9" fontId="2" fillId="4" borderId="58" xfId="2" applyFont="1" applyFill="1" applyBorder="1" applyAlignment="1">
      <alignment horizontal="center" vertical="center"/>
    </xf>
    <xf numFmtId="9" fontId="2" fillId="4" borderId="33" xfId="2" applyFont="1" applyFill="1" applyBorder="1" applyAlignment="1">
      <alignment horizontal="center" vertical="center"/>
    </xf>
    <xf numFmtId="9" fontId="2" fillId="4" borderId="59" xfId="2" applyFont="1" applyFill="1" applyBorder="1" applyAlignment="1">
      <alignment horizontal="center" vertical="center"/>
    </xf>
    <xf numFmtId="0" fontId="4" fillId="4" borderId="61" xfId="0" applyFont="1" applyFill="1" applyBorder="1" applyAlignment="1">
      <alignment horizontal="left" vertical="center"/>
    </xf>
    <xf numFmtId="0" fontId="4" fillId="4" borderId="33" xfId="0" applyFont="1" applyFill="1" applyBorder="1" applyAlignment="1">
      <alignment horizontal="left" vertical="center"/>
    </xf>
    <xf numFmtId="0" fontId="4" fillId="4" borderId="62" xfId="0" applyFont="1" applyFill="1" applyBorder="1" applyAlignment="1">
      <alignment horizontal="left" vertical="center"/>
    </xf>
    <xf numFmtId="0" fontId="4" fillId="4" borderId="59" xfId="0" applyFont="1" applyFill="1" applyBorder="1" applyAlignment="1">
      <alignment horizontal="left" vertical="center"/>
    </xf>
    <xf numFmtId="0" fontId="4" fillId="4" borderId="28" xfId="0" applyFont="1" applyFill="1" applyBorder="1" applyAlignment="1">
      <alignment vertical="center"/>
    </xf>
    <xf numFmtId="0" fontId="4" fillId="4" borderId="24" xfId="0" applyFont="1" applyFill="1" applyBorder="1" applyAlignment="1">
      <alignment vertical="center"/>
    </xf>
    <xf numFmtId="0" fontId="4" fillId="4" borderId="29" xfId="0" applyFont="1" applyFill="1" applyBorder="1" applyAlignment="1">
      <alignment vertical="center"/>
    </xf>
    <xf numFmtId="3" fontId="2" fillId="4" borderId="61" xfId="0" applyNumberFormat="1" applyFont="1" applyFill="1" applyBorder="1" applyAlignment="1">
      <alignment horizontal="center" vertical="center"/>
    </xf>
    <xf numFmtId="3" fontId="2" fillId="4" borderId="63" xfId="0" applyNumberFormat="1" applyFont="1" applyFill="1" applyBorder="1" applyAlignment="1">
      <alignment horizontal="center" vertical="center"/>
    </xf>
    <xf numFmtId="3" fontId="2" fillId="4" borderId="24" xfId="0" applyNumberFormat="1" applyFont="1" applyFill="1" applyBorder="1" applyAlignment="1">
      <alignment horizontal="center" vertical="center"/>
    </xf>
    <xf numFmtId="3" fontId="4" fillId="4" borderId="28" xfId="0" applyNumberFormat="1" applyFont="1" applyFill="1" applyBorder="1" applyAlignment="1">
      <alignment horizontal="left" vertical="center"/>
    </xf>
    <xf numFmtId="3" fontId="4" fillId="4" borderId="24" xfId="0" applyNumberFormat="1" applyFont="1" applyFill="1" applyBorder="1" applyAlignment="1">
      <alignment horizontal="left" vertical="center"/>
    </xf>
    <xf numFmtId="3" fontId="4" fillId="4" borderId="29" xfId="0" applyNumberFormat="1" applyFont="1" applyFill="1" applyBorder="1" applyAlignment="1">
      <alignment horizontal="left" vertical="center"/>
    </xf>
    <xf numFmtId="0" fontId="4" fillId="4" borderId="63" xfId="0" applyFont="1" applyFill="1" applyBorder="1" applyAlignment="1">
      <alignment horizontal="left" vertical="center"/>
    </xf>
    <xf numFmtId="0" fontId="2" fillId="4" borderId="58" xfId="0" applyFont="1" applyFill="1" applyBorder="1" applyAlignment="1">
      <alignment horizontal="left"/>
    </xf>
    <xf numFmtId="0" fontId="2" fillId="4" borderId="33" xfId="0" applyFont="1" applyFill="1" applyBorder="1" applyAlignment="1">
      <alignment horizontal="left"/>
    </xf>
    <xf numFmtId="0" fontId="2" fillId="4" borderId="59" xfId="0" applyFont="1" applyFill="1" applyBorder="1" applyAlignment="1">
      <alignment horizontal="left"/>
    </xf>
    <xf numFmtId="0" fontId="4" fillId="2" borderId="88" xfId="0" applyFont="1" applyFill="1" applyBorder="1" applyAlignment="1">
      <alignment horizontal="left" vertical="center"/>
    </xf>
    <xf numFmtId="0" fontId="4" fillId="2" borderId="64" xfId="0" applyFont="1" applyFill="1" applyBorder="1" applyAlignment="1">
      <alignment horizontal="left" vertical="center"/>
    </xf>
    <xf numFmtId="0" fontId="4" fillId="2" borderId="89" xfId="0" applyFont="1" applyFill="1" applyBorder="1" applyAlignment="1">
      <alignment horizontal="left" vertical="center"/>
    </xf>
    <xf numFmtId="0" fontId="2" fillId="2" borderId="24" xfId="0" applyFont="1" applyFill="1" applyBorder="1" applyAlignment="1">
      <alignment horizontal="left" vertical="center"/>
    </xf>
    <xf numFmtId="0" fontId="2" fillId="2" borderId="29" xfId="0" applyFont="1" applyFill="1" applyBorder="1" applyAlignment="1">
      <alignment horizontal="left" vertical="center"/>
    </xf>
    <xf numFmtId="0" fontId="4" fillId="2" borderId="28" xfId="0" applyFont="1" applyFill="1" applyBorder="1" applyAlignment="1">
      <alignment horizontal="left" vertical="center"/>
    </xf>
    <xf numFmtId="0" fontId="4" fillId="2" borderId="24" xfId="0" applyFont="1" applyFill="1" applyBorder="1" applyAlignment="1">
      <alignment horizontal="left" vertical="center"/>
    </xf>
    <xf numFmtId="0" fontId="4" fillId="2" borderId="29" xfId="0" applyFont="1" applyFill="1" applyBorder="1" applyAlignment="1">
      <alignment horizontal="left" vertical="center"/>
    </xf>
    <xf numFmtId="169" fontId="4" fillId="2" borderId="28" xfId="0" applyNumberFormat="1" applyFont="1" applyFill="1" applyBorder="1" applyAlignment="1">
      <alignment horizontal="left" vertical="center"/>
    </xf>
    <xf numFmtId="169" fontId="4" fillId="2" borderId="24" xfId="0" applyNumberFormat="1" applyFont="1" applyFill="1" applyBorder="1" applyAlignment="1">
      <alignment horizontal="left" vertical="center"/>
    </xf>
    <xf numFmtId="0" fontId="2" fillId="2" borderId="5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59" xfId="0" applyFont="1" applyFill="1" applyBorder="1" applyAlignment="1">
      <alignment horizontal="center" vertical="center"/>
    </xf>
    <xf numFmtId="4" fontId="6" fillId="2" borderId="58" xfId="0" applyNumberFormat="1" applyFont="1" applyFill="1" applyBorder="1" applyAlignment="1">
      <alignment horizontal="left"/>
    </xf>
    <xf numFmtId="4" fontId="6" fillId="2" borderId="33" xfId="0" applyNumberFormat="1" applyFont="1" applyFill="1" applyBorder="1" applyAlignment="1">
      <alignment horizontal="left"/>
    </xf>
    <xf numFmtId="4" fontId="6" fillId="2" borderId="59" xfId="0" applyNumberFormat="1" applyFont="1" applyFill="1" applyBorder="1" applyAlignment="1">
      <alignment horizontal="left"/>
    </xf>
    <xf numFmtId="4" fontId="5" fillId="2" borderId="58" xfId="0" applyNumberFormat="1" applyFont="1" applyFill="1" applyBorder="1" applyAlignment="1">
      <alignment horizontal="left" vertical="center"/>
    </xf>
    <xf numFmtId="4" fontId="5" fillId="2" borderId="33" xfId="0" applyNumberFormat="1" applyFont="1" applyFill="1" applyBorder="1" applyAlignment="1">
      <alignment horizontal="left" vertical="center"/>
    </xf>
    <xf numFmtId="4" fontId="5" fillId="2" borderId="59" xfId="0" applyNumberFormat="1" applyFont="1" applyFill="1" applyBorder="1" applyAlignment="1">
      <alignment horizontal="left" vertical="center"/>
    </xf>
    <xf numFmtId="4" fontId="5" fillId="2" borderId="58" xfId="0" applyNumberFormat="1" applyFont="1" applyFill="1" applyBorder="1" applyAlignment="1">
      <alignment horizontal="left"/>
    </xf>
    <xf numFmtId="4" fontId="5" fillId="2" borderId="33" xfId="0" applyNumberFormat="1" applyFont="1" applyFill="1" applyBorder="1" applyAlignment="1">
      <alignment horizontal="left"/>
    </xf>
    <xf numFmtId="4" fontId="5" fillId="2" borderId="59" xfId="0" applyNumberFormat="1" applyFont="1" applyFill="1" applyBorder="1" applyAlignment="1">
      <alignment horizontal="left"/>
    </xf>
    <xf numFmtId="0" fontId="2" fillId="2" borderId="58" xfId="0" applyFont="1" applyFill="1" applyBorder="1" applyAlignment="1">
      <alignment horizontal="left" vertical="center"/>
    </xf>
    <xf numFmtId="0" fontId="2" fillId="2" borderId="33" xfId="0" applyFont="1" applyFill="1" applyBorder="1" applyAlignment="1">
      <alignment horizontal="left" vertical="center"/>
    </xf>
    <xf numFmtId="0" fontId="2" fillId="2" borderId="59" xfId="0" applyFont="1" applyFill="1" applyBorder="1" applyAlignment="1">
      <alignment horizontal="left" vertical="center"/>
    </xf>
    <xf numFmtId="0" fontId="47" fillId="6" borderId="0" xfId="0" applyFont="1" applyFill="1" applyBorder="1" applyAlignment="1">
      <alignment horizontal="center" vertical="center" wrapText="1"/>
    </xf>
    <xf numFmtId="0" fontId="47" fillId="6" borderId="38" xfId="0" applyFont="1" applyFill="1" applyBorder="1" applyAlignment="1">
      <alignment horizontal="center" vertical="center" wrapText="1"/>
    </xf>
    <xf numFmtId="0" fontId="6" fillId="6" borderId="47" xfId="0" applyFont="1" applyFill="1" applyBorder="1"/>
    <xf numFmtId="0" fontId="6" fillId="6" borderId="48" xfId="0" applyFont="1" applyFill="1" applyBorder="1"/>
    <xf numFmtId="0" fontId="6" fillId="6" borderId="50" xfId="0" applyFont="1" applyFill="1" applyBorder="1"/>
    <xf numFmtId="0" fontId="6" fillId="6" borderId="14" xfId="0" applyFont="1" applyFill="1" applyBorder="1"/>
    <xf numFmtId="0" fontId="51" fillId="12" borderId="34" xfId="3" applyFont="1" applyFill="1" applyBorder="1" applyAlignment="1">
      <alignment horizontal="center" vertical="center" wrapText="1"/>
    </xf>
    <xf numFmtId="0" fontId="51" fillId="12" borderId="35" xfId="3" applyFont="1" applyFill="1" applyBorder="1" applyAlignment="1">
      <alignment horizontal="center" vertical="center" wrapText="1"/>
    </xf>
    <xf numFmtId="0" fontId="51" fillId="12" borderId="36" xfId="3" applyFont="1" applyFill="1" applyBorder="1" applyAlignment="1">
      <alignment horizontal="center" vertical="center" wrapText="1"/>
    </xf>
    <xf numFmtId="0" fontId="62" fillId="7" borderId="92" xfId="3" applyFont="1" applyFill="1" applyBorder="1" applyAlignment="1">
      <alignment horizontal="center" vertical="center" wrapText="1"/>
    </xf>
    <xf numFmtId="0" fontId="62" fillId="7" borderId="88" xfId="3" applyFont="1" applyFill="1" applyBorder="1" applyAlignment="1">
      <alignment horizontal="center" vertical="center" wrapText="1"/>
    </xf>
    <xf numFmtId="165" fontId="51" fillId="25" borderId="94" xfId="3" applyNumberFormat="1" applyFont="1" applyFill="1" applyBorder="1" applyAlignment="1">
      <alignment horizontal="center" vertical="center"/>
    </xf>
    <xf numFmtId="165" fontId="51" fillId="25" borderId="95" xfId="3" applyNumberFormat="1" applyFont="1" applyFill="1" applyBorder="1" applyAlignment="1">
      <alignment horizontal="center" vertical="center"/>
    </xf>
    <xf numFmtId="0" fontId="62" fillId="9" borderId="61" xfId="3" applyFont="1" applyFill="1" applyBorder="1" applyAlignment="1">
      <alignment horizontal="center" vertical="center"/>
    </xf>
    <xf numFmtId="0" fontId="62" fillId="9" borderId="33" xfId="3" applyFont="1" applyFill="1" applyBorder="1" applyAlignment="1">
      <alignment horizontal="center" vertical="center"/>
    </xf>
    <xf numFmtId="0" fontId="51" fillId="25" borderId="91" xfId="3" applyFont="1" applyFill="1" applyBorder="1" applyAlignment="1">
      <alignment horizontal="center" vertical="center" wrapText="1"/>
    </xf>
    <xf numFmtId="0" fontId="51" fillId="25" borderId="93" xfId="3" applyFont="1" applyFill="1" applyBorder="1" applyAlignment="1">
      <alignment horizontal="center" vertical="center" wrapText="1"/>
    </xf>
    <xf numFmtId="0" fontId="62" fillId="0" borderId="61" xfId="3" applyFont="1" applyBorder="1" applyAlignment="1">
      <alignment horizontal="center" vertical="center"/>
    </xf>
    <xf numFmtId="0" fontId="62" fillId="0" borderId="33" xfId="3" applyFont="1" applyBorder="1" applyAlignment="1">
      <alignment horizontal="center" vertical="center"/>
    </xf>
    <xf numFmtId="0" fontId="62" fillId="6" borderId="28" xfId="3" applyFont="1" applyFill="1" applyBorder="1" applyAlignment="1">
      <alignment horizontal="center" vertical="center" wrapText="1"/>
    </xf>
    <xf numFmtId="0" fontId="62" fillId="4" borderId="28" xfId="3" applyFont="1" applyFill="1" applyBorder="1" applyAlignment="1">
      <alignment horizontal="center" vertical="center" wrapText="1"/>
    </xf>
    <xf numFmtId="0" fontId="62" fillId="3" borderId="28" xfId="3" applyFont="1" applyFill="1" applyBorder="1" applyAlignment="1">
      <alignment horizontal="center" vertical="center" wrapText="1"/>
    </xf>
    <xf numFmtId="0" fontId="62" fillId="2" borderId="28" xfId="3" applyFont="1" applyFill="1" applyBorder="1" applyAlignment="1">
      <alignment horizontal="center" vertical="center" wrapText="1"/>
    </xf>
    <xf numFmtId="0" fontId="30" fillId="12" borderId="16" xfId="4" applyFont="1" applyFill="1" applyBorder="1" applyAlignment="1" applyProtection="1">
      <alignment horizontal="left" vertical="center"/>
      <protection hidden="1"/>
    </xf>
    <xf numFmtId="0" fontId="13" fillId="12" borderId="17" xfId="4" applyFont="1" applyFill="1" applyBorder="1" applyAlignment="1" applyProtection="1">
      <alignment horizontal="left" vertical="center"/>
      <protection hidden="1"/>
    </xf>
    <xf numFmtId="0" fontId="13" fillId="12" borderId="18" xfId="4" applyFont="1" applyFill="1" applyBorder="1" applyAlignment="1" applyProtection="1">
      <alignment horizontal="left" vertical="center"/>
      <protection hidden="1"/>
    </xf>
    <xf numFmtId="0" fontId="13" fillId="12" borderId="8" xfId="4" applyFont="1" applyFill="1" applyBorder="1" applyAlignment="1" applyProtection="1">
      <alignment horizontal="left" vertical="center"/>
      <protection hidden="1"/>
    </xf>
    <xf numFmtId="0" fontId="13" fillId="12" borderId="0" xfId="4" applyFont="1" applyFill="1" applyBorder="1" applyAlignment="1" applyProtection="1">
      <alignment horizontal="left" vertical="center"/>
      <protection hidden="1"/>
    </xf>
    <xf numFmtId="0" fontId="13" fillId="12" borderId="9" xfId="4" applyFont="1" applyFill="1" applyBorder="1" applyAlignment="1" applyProtection="1">
      <alignment horizontal="left" vertical="center"/>
      <protection hidden="1"/>
    </xf>
    <xf numFmtId="0" fontId="13" fillId="12" borderId="10" xfId="4" applyFont="1" applyFill="1" applyBorder="1" applyAlignment="1" applyProtection="1">
      <alignment horizontal="left" vertical="center"/>
      <protection hidden="1"/>
    </xf>
    <xf numFmtId="0" fontId="13" fillId="12" borderId="11" xfId="4" applyFont="1" applyFill="1" applyBorder="1" applyAlignment="1" applyProtection="1">
      <alignment horizontal="left" vertical="center"/>
      <protection hidden="1"/>
    </xf>
    <xf numFmtId="0" fontId="13" fillId="12" borderId="12" xfId="4" applyFont="1" applyFill="1" applyBorder="1" applyAlignment="1" applyProtection="1">
      <alignment horizontal="left" vertical="center"/>
      <protection hidden="1"/>
    </xf>
    <xf numFmtId="0" fontId="28" fillId="11" borderId="0" xfId="4" applyFont="1" applyFill="1" applyAlignment="1" applyProtection="1">
      <alignment horizontal="center" vertical="center" wrapText="1"/>
      <protection locked="0"/>
    </xf>
    <xf numFmtId="0" fontId="4" fillId="11" borderId="0" xfId="4" applyFont="1" applyFill="1" applyAlignment="1" applyProtection="1">
      <alignment horizontal="center" vertical="center" wrapText="1"/>
      <protection locked="0"/>
    </xf>
    <xf numFmtId="0" fontId="18" fillId="0" borderId="0" xfId="7" applyFont="1" applyAlignment="1" applyProtection="1">
      <alignment horizontal="right"/>
      <protection hidden="1"/>
    </xf>
    <xf numFmtId="168" fontId="17" fillId="0" borderId="0" xfId="5" applyFont="1" applyAlignment="1" applyProtection="1">
      <alignment horizontal="center"/>
      <protection hidden="1"/>
    </xf>
    <xf numFmtId="0" fontId="37" fillId="2" borderId="16" xfId="4" applyFont="1" applyFill="1" applyBorder="1" applyAlignment="1" applyProtection="1">
      <alignment horizontal="center" vertical="center"/>
      <protection hidden="1"/>
    </xf>
    <xf numFmtId="0" fontId="37" fillId="2" borderId="17" xfId="4" applyFont="1" applyFill="1" applyBorder="1" applyAlignment="1" applyProtection="1">
      <alignment horizontal="center" vertical="center"/>
      <protection hidden="1"/>
    </xf>
    <xf numFmtId="0" fontId="37" fillId="2" borderId="18" xfId="4" applyFont="1" applyFill="1" applyBorder="1" applyAlignment="1" applyProtection="1">
      <alignment horizontal="center" vertical="center"/>
      <protection hidden="1"/>
    </xf>
    <xf numFmtId="0" fontId="37" fillId="2" borderId="8" xfId="4" applyFont="1" applyFill="1" applyBorder="1" applyAlignment="1" applyProtection="1">
      <alignment horizontal="center" vertical="center"/>
      <protection hidden="1"/>
    </xf>
    <xf numFmtId="0" fontId="37" fillId="2" borderId="0" xfId="4" applyFont="1" applyFill="1" applyBorder="1" applyAlignment="1" applyProtection="1">
      <alignment horizontal="center" vertical="center"/>
      <protection hidden="1"/>
    </xf>
    <xf numFmtId="0" fontId="37" fillId="2" borderId="9" xfId="4" applyFont="1" applyFill="1" applyBorder="1" applyAlignment="1" applyProtection="1">
      <alignment horizontal="center" vertical="center"/>
      <protection hidden="1"/>
    </xf>
    <xf numFmtId="0" fontId="37" fillId="2" borderId="10" xfId="4" applyFont="1" applyFill="1" applyBorder="1" applyAlignment="1" applyProtection="1">
      <alignment horizontal="center" vertical="center"/>
      <protection hidden="1"/>
    </xf>
    <xf numFmtId="0" fontId="37" fillId="2" borderId="11" xfId="4" applyFont="1" applyFill="1" applyBorder="1" applyAlignment="1" applyProtection="1">
      <alignment horizontal="center" vertical="center"/>
      <protection hidden="1"/>
    </xf>
    <xf numFmtId="0" fontId="37" fillId="2" borderId="12" xfId="4" applyFont="1" applyFill="1" applyBorder="1" applyAlignment="1" applyProtection="1">
      <alignment horizontal="center" vertical="center"/>
      <protection hidden="1"/>
    </xf>
    <xf numFmtId="0" fontId="7" fillId="2" borderId="16" xfId="4" applyFont="1" applyFill="1" applyBorder="1" applyAlignment="1" applyProtection="1">
      <alignment horizontal="center" vertical="center"/>
      <protection hidden="1"/>
    </xf>
    <xf numFmtId="0" fontId="7" fillId="2" borderId="17" xfId="4" applyFont="1" applyFill="1" applyBorder="1" applyAlignment="1" applyProtection="1">
      <alignment horizontal="center" vertical="center"/>
      <protection hidden="1"/>
    </xf>
    <xf numFmtId="0" fontId="7" fillId="2" borderId="18" xfId="4" applyFont="1" applyFill="1" applyBorder="1" applyAlignment="1" applyProtection="1">
      <alignment horizontal="center" vertical="center"/>
      <protection hidden="1"/>
    </xf>
    <xf numFmtId="0" fontId="7" fillId="2" borderId="10" xfId="4" applyFont="1" applyFill="1" applyBorder="1" applyAlignment="1" applyProtection="1">
      <alignment horizontal="center" vertical="center"/>
      <protection hidden="1"/>
    </xf>
    <xf numFmtId="0" fontId="7" fillId="2" borderId="11" xfId="4" applyFont="1" applyFill="1" applyBorder="1" applyAlignment="1" applyProtection="1">
      <alignment horizontal="center" vertical="center"/>
      <protection hidden="1"/>
    </xf>
    <xf numFmtId="0" fontId="7" fillId="2" borderId="12" xfId="4" applyFont="1" applyFill="1" applyBorder="1" applyAlignment="1" applyProtection="1">
      <alignment horizontal="center" vertical="center"/>
      <protection hidden="1"/>
    </xf>
    <xf numFmtId="0" fontId="4" fillId="10" borderId="19" xfId="4" applyFont="1" applyFill="1" applyBorder="1" applyAlignment="1" applyProtection="1">
      <alignment horizontal="center" wrapText="1"/>
      <protection hidden="1"/>
    </xf>
    <xf numFmtId="0" fontId="4" fillId="10" borderId="20" xfId="4" applyFont="1" applyFill="1" applyBorder="1" applyAlignment="1" applyProtection="1">
      <alignment horizontal="center" wrapText="1"/>
      <protection hidden="1"/>
    </xf>
    <xf numFmtId="0" fontId="14" fillId="2" borderId="22" xfId="4" applyFont="1" applyFill="1" applyBorder="1" applyAlignment="1" applyProtection="1">
      <alignment horizontal="center" vertical="center" wrapText="1"/>
      <protection hidden="1"/>
    </xf>
    <xf numFmtId="0" fontId="14" fillId="2" borderId="77" xfId="4" applyFont="1" applyFill="1" applyBorder="1" applyAlignment="1" applyProtection="1">
      <alignment horizontal="center" vertical="center" wrapText="1"/>
      <protection hidden="1"/>
    </xf>
    <xf numFmtId="0" fontId="2" fillId="8" borderId="82" xfId="4" applyFont="1" applyFill="1" applyBorder="1" applyAlignment="1" applyProtection="1">
      <alignment horizontal="left" vertical="center" wrapText="1"/>
      <protection hidden="1"/>
    </xf>
    <xf numFmtId="0" fontId="2" fillId="8" borderId="0" xfId="4" applyFont="1" applyFill="1" applyBorder="1" applyAlignment="1" applyProtection="1">
      <alignment horizontal="left" vertical="center" wrapText="1"/>
      <protection hidden="1"/>
    </xf>
    <xf numFmtId="0" fontId="2" fillId="8" borderId="82" xfId="4" applyFont="1" applyFill="1" applyBorder="1" applyAlignment="1" applyProtection="1">
      <alignment horizontal="left"/>
      <protection hidden="1"/>
    </xf>
    <xf numFmtId="0" fontId="2" fillId="8" borderId="0" xfId="4" applyFont="1" applyFill="1" applyBorder="1" applyAlignment="1" applyProtection="1">
      <alignment horizontal="left"/>
      <protection hidden="1"/>
    </xf>
    <xf numFmtId="0" fontId="4" fillId="2" borderId="10" xfId="4" applyFont="1" applyFill="1" applyBorder="1" applyAlignment="1" applyProtection="1">
      <alignment horizontal="left" vertical="center" wrapText="1"/>
      <protection hidden="1"/>
    </xf>
    <xf numFmtId="0" fontId="4" fillId="2" borderId="11" xfId="4" applyFont="1" applyFill="1" applyBorder="1" applyAlignment="1" applyProtection="1">
      <alignment horizontal="left" vertical="center" wrapText="1"/>
      <protection hidden="1"/>
    </xf>
    <xf numFmtId="9" fontId="61" fillId="21" borderId="11" xfId="4" applyNumberFormat="1" applyFont="1" applyFill="1" applyBorder="1" applyAlignment="1" applyProtection="1">
      <alignment horizontal="center"/>
      <protection hidden="1"/>
    </xf>
    <xf numFmtId="0" fontId="61" fillId="21" borderId="11" xfId="4" applyFont="1" applyFill="1" applyBorder="1" applyAlignment="1" applyProtection="1">
      <alignment horizontal="center"/>
      <protection hidden="1"/>
    </xf>
    <xf numFmtId="9" fontId="61" fillId="22" borderId="11" xfId="4" applyNumberFormat="1" applyFont="1" applyFill="1" applyBorder="1" applyAlignment="1" applyProtection="1">
      <alignment horizontal="center"/>
      <protection hidden="1"/>
    </xf>
    <xf numFmtId="0" fontId="7" fillId="14" borderId="34" xfId="4" applyFont="1" applyFill="1" applyBorder="1" applyAlignment="1" applyProtection="1">
      <alignment horizontal="center" vertical="center"/>
      <protection hidden="1"/>
    </xf>
    <xf numFmtId="0" fontId="7" fillId="14" borderId="35" xfId="4" applyFont="1" applyFill="1" applyBorder="1" applyAlignment="1" applyProtection="1">
      <alignment horizontal="center" vertical="center"/>
      <protection hidden="1"/>
    </xf>
    <xf numFmtId="0" fontId="7" fillId="14" borderId="36" xfId="4" applyFont="1" applyFill="1" applyBorder="1" applyAlignment="1" applyProtection="1">
      <alignment horizontal="center" vertical="center"/>
      <protection hidden="1"/>
    </xf>
    <xf numFmtId="0" fontId="14" fillId="0" borderId="22" xfId="4" applyFont="1" applyBorder="1" applyAlignment="1" applyProtection="1">
      <alignment horizontal="center" vertical="center" wrapText="1"/>
      <protection hidden="1"/>
    </xf>
    <xf numFmtId="0" fontId="14" fillId="0" borderId="23" xfId="4" applyFont="1" applyBorder="1" applyAlignment="1" applyProtection="1">
      <alignment horizontal="center" vertical="center" wrapText="1"/>
      <protection hidden="1"/>
    </xf>
    <xf numFmtId="0" fontId="26" fillId="8" borderId="82" xfId="4" applyFont="1" applyFill="1" applyBorder="1" applyAlignment="1" applyProtection="1">
      <alignment horizontal="left"/>
      <protection hidden="1"/>
    </xf>
    <xf numFmtId="0" fontId="26" fillId="8" borderId="0" xfId="4" applyFont="1" applyFill="1" applyBorder="1" applyAlignment="1" applyProtection="1">
      <alignment horizontal="left"/>
      <protection hidden="1"/>
    </xf>
  </cellXfs>
  <cellStyles count="11">
    <cellStyle name="Comma" xfId="8" builtinId="3"/>
    <cellStyle name="Comma 2" xfId="5" xr:uid="{00000000-0005-0000-0000-000001000000}"/>
    <cellStyle name="Currency" xfId="1" builtinId="4"/>
    <cellStyle name="Good 2" xfId="9" xr:uid="{00000000-0005-0000-0000-000003000000}"/>
    <cellStyle name="Hyperlink" xfId="7" builtinId="8"/>
    <cellStyle name="Neutral 2" xfId="10" xr:uid="{00000000-0005-0000-0000-000005000000}"/>
    <cellStyle name="Normal" xfId="0" builtinId="0"/>
    <cellStyle name="Normal 2" xfId="3" xr:uid="{00000000-0005-0000-0000-000007000000}"/>
    <cellStyle name="Normal 3" xfId="4" xr:uid="{00000000-0005-0000-0000-000008000000}"/>
    <cellStyle name="Percent" xfId="2" builtinId="5"/>
    <cellStyle name="Percent 2" xfId="6" xr:uid="{00000000-0005-0000-0000-00000A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000"/>
      <color rgb="FF003300"/>
      <color rgb="FF0000FF"/>
      <color rgb="FFFF000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chemeClr val="dk1">
                    <a:lumMod val="75000"/>
                    <a:lumOff val="25000"/>
                  </a:schemeClr>
                </a:solidFill>
                <a:latin typeface="Verdana" panose="020B0604030504040204" pitchFamily="34" charset="0"/>
                <a:ea typeface="Verdana" panose="020B0604030504040204" pitchFamily="34" charset="0"/>
                <a:cs typeface="+mn-cs"/>
              </a:defRPr>
            </a:pPr>
            <a:r>
              <a:rPr lang="en-US"/>
              <a:t>Fresh Matter</a:t>
            </a:r>
          </a:p>
        </c:rich>
      </c:tx>
      <c:layout>
        <c:manualLayout>
          <c:xMode val="edge"/>
          <c:yMode val="edge"/>
          <c:x val="0.38824569580607188"/>
          <c:y val="2.5075108655812632E-2"/>
        </c:manualLayout>
      </c:layout>
      <c:overlay val="0"/>
      <c:spPr>
        <a:solidFill>
          <a:srgbClr val="FFFF00"/>
        </a:solidFill>
        <a:ln>
          <a:solidFill>
            <a:srgbClr val="FFFF00"/>
          </a:solidFill>
        </a:ln>
        <a:effectLst/>
      </c:spPr>
      <c:txPr>
        <a:bodyPr rot="0" spcFirstLastPara="1" vertOverflow="ellipsis" vert="horz" wrap="square" anchor="ctr" anchorCtr="1"/>
        <a:lstStyle/>
        <a:p>
          <a:pPr>
            <a:defRPr sz="1440" b="1" i="0" u="none" strike="noStrike" kern="1200" baseline="0">
              <a:solidFill>
                <a:schemeClr val="dk1">
                  <a:lumMod val="75000"/>
                  <a:lumOff val="25000"/>
                </a:schemeClr>
              </a:solidFill>
              <a:latin typeface="Verdana" panose="020B0604030504040204" pitchFamily="34" charset="0"/>
              <a:ea typeface="Verdana" panose="020B0604030504040204" pitchFamily="34" charset="0"/>
              <a:cs typeface="+mn-cs"/>
            </a:defRPr>
          </a:pPr>
          <a:endParaRPr lang="en-US"/>
        </a:p>
      </c:txPr>
    </c:title>
    <c:autoTitleDeleted val="0"/>
    <c:plotArea>
      <c:layout/>
      <c:pieChart>
        <c:varyColors val="1"/>
        <c:ser>
          <c:idx val="0"/>
          <c:order val="0"/>
          <c:explosion val="11"/>
          <c:dPt>
            <c:idx val="0"/>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BA3-4429-8815-3E6E478FA201}"/>
              </c:ext>
            </c:extLst>
          </c:dPt>
          <c:dPt>
            <c:idx val="1"/>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BA3-4429-8815-3E6E478FA201}"/>
              </c:ext>
            </c:extLst>
          </c:dPt>
          <c:dLbls>
            <c:spPr>
              <a:pattFill prst="pct75">
                <a:fgClr>
                  <a:schemeClr val="dk1">
                    <a:lumMod val="75000"/>
                    <a:lumOff val="25000"/>
                  </a:schemeClr>
                </a:fgClr>
                <a:bgClr>
                  <a:schemeClr val="dk1">
                    <a:lumMod val="65000"/>
                    <a:lumOff val="35000"/>
                  </a:schemeClr>
                </a:bgClr>
              </a:pattFill>
              <a:ln>
                <a:solidFill>
                  <a:srgbClr val="FFFF00"/>
                </a:solid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200" b="1" i="0" u="none" strike="noStrike" kern="1200" baseline="0">
                    <a:solidFill>
                      <a:schemeClr val="lt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('Baseline calcs '!$A$1,'Baseline calcs '!$H$1)</c:f>
              <c:strCache>
                <c:ptCount val="2"/>
                <c:pt idx="0">
                  <c:v>Fresh Matter tonnes/ha/yr</c:v>
                </c:pt>
                <c:pt idx="1">
                  <c:v>Volatile Solids after loses tonnes/ha/yr</c:v>
                </c:pt>
              </c:strCache>
            </c:strRef>
          </c:cat>
          <c:val>
            <c:numRef>
              <c:f>('Baseline calcs '!$A$2,'Baseline calcs '!$H$2)</c:f>
              <c:numCache>
                <c:formatCode>0.000</c:formatCode>
                <c:ptCount val="2"/>
                <c:pt idx="0" formatCode="General">
                  <c:v>450</c:v>
                </c:pt>
                <c:pt idx="1">
                  <c:v>86.525999999999996</c:v>
                </c:pt>
              </c:numCache>
            </c:numRef>
          </c:val>
          <c:extLst>
            <c:ext xmlns:c16="http://schemas.microsoft.com/office/drawing/2014/chart" uri="{C3380CC4-5D6E-409C-BE32-E72D297353CC}">
              <c16:uniqueId val="{00000004-BBA3-4429-8815-3E6E478FA201}"/>
            </c:ext>
          </c:extLst>
        </c:ser>
        <c:dLbls>
          <c:dLblPos val="ctr"/>
          <c:showLegendKey val="0"/>
          <c:showVal val="1"/>
          <c:showCatName val="1"/>
          <c:showSerName val="0"/>
          <c:showPercent val="0"/>
          <c:showBubbleSize val="0"/>
          <c:showLeaderLines val="1"/>
        </c:dLbls>
        <c:firstSliceAng val="0"/>
      </c:pieChart>
      <c:spPr>
        <a:noFill/>
        <a:ln>
          <a:noFill/>
        </a:ln>
        <a:effectLst/>
      </c:spPr>
    </c:plotArea>
    <c:legend>
      <c:legendPos val="r"/>
      <c:layout>
        <c:manualLayout>
          <c:xMode val="edge"/>
          <c:yMode val="edge"/>
          <c:x val="0.66422346004974175"/>
          <c:y val="0.10547035842148511"/>
          <c:w val="0.30173812595770816"/>
          <c:h val="0.3346198760711666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200" b="0" i="0" u="none" strike="noStrike" kern="1200" baseline="0">
              <a:solidFill>
                <a:schemeClr val="dk1">
                  <a:lumMod val="75000"/>
                  <a:lumOff val="2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tx1"/>
      </a:solidFill>
      <a:round/>
    </a:ln>
    <a:effectLst/>
  </c:spPr>
  <c:txPr>
    <a:bodyPr/>
    <a:lstStyle/>
    <a:p>
      <a:pPr>
        <a:defRPr sz="12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FF0000"/>
                </a:solidFill>
                <a:latin typeface="Verdana" panose="020B0604030504040204" pitchFamily="34" charset="0"/>
                <a:ea typeface="Verdana" panose="020B0604030504040204" pitchFamily="34" charset="0"/>
                <a:cs typeface="+mn-cs"/>
              </a:defRPr>
            </a:pPr>
            <a:r>
              <a:rPr lang="en-US" sz="1400" b="1">
                <a:solidFill>
                  <a:srgbClr val="FF0000"/>
                </a:solidFill>
                <a:latin typeface="Verdana" panose="020B0604030504040204" pitchFamily="34" charset="0"/>
                <a:ea typeface="Verdana" panose="020B0604030504040204" pitchFamily="34" charset="0"/>
              </a:rPr>
              <a:t>Brent Crude Oil Monthly Historical Data</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FF0000"/>
              </a:solidFill>
              <a:latin typeface="Verdana" panose="020B0604030504040204" pitchFamily="34" charset="0"/>
              <a:ea typeface="Verdana" panose="020B0604030504040204" pitchFamily="34" charset="0"/>
              <a:cs typeface="+mn-cs"/>
            </a:defRPr>
          </a:pPr>
          <a:endParaRPr lang="en-US"/>
        </a:p>
      </c:txPr>
    </c:title>
    <c:autoTitleDeleted val="0"/>
    <c:plotArea>
      <c:layout/>
      <c:lineChart>
        <c:grouping val="standard"/>
        <c:varyColors val="0"/>
        <c:ser>
          <c:idx val="0"/>
          <c:order val="0"/>
          <c:spPr>
            <a:ln w="28575" cap="rnd">
              <a:solidFill>
                <a:schemeClr val="accent6"/>
              </a:solidFill>
              <a:round/>
            </a:ln>
            <a:effectLst/>
          </c:spPr>
          <c:marker>
            <c:symbol val="none"/>
          </c:marker>
          <c:cat>
            <c:strRef>
              <c:f>[1]Sheet1!$A$2:$A$490</c:f>
              <c:strCache>
                <c:ptCount val="489"/>
                <c:pt idx="0">
                  <c:v>1979M01</c:v>
                </c:pt>
                <c:pt idx="1">
                  <c:v>1979M02</c:v>
                </c:pt>
                <c:pt idx="2">
                  <c:v>1979M03</c:v>
                </c:pt>
                <c:pt idx="3">
                  <c:v>1979M04</c:v>
                </c:pt>
                <c:pt idx="4">
                  <c:v>1979M05</c:v>
                </c:pt>
                <c:pt idx="5">
                  <c:v>1979M06</c:v>
                </c:pt>
                <c:pt idx="6">
                  <c:v>1979M07</c:v>
                </c:pt>
                <c:pt idx="7">
                  <c:v>1979M08</c:v>
                </c:pt>
                <c:pt idx="8">
                  <c:v>1979M09</c:v>
                </c:pt>
                <c:pt idx="9">
                  <c:v>1979M10</c:v>
                </c:pt>
                <c:pt idx="10">
                  <c:v>1979M11</c:v>
                </c:pt>
                <c:pt idx="11">
                  <c:v>1979M12</c:v>
                </c:pt>
                <c:pt idx="12">
                  <c:v>1980M01</c:v>
                </c:pt>
                <c:pt idx="13">
                  <c:v>1980M02</c:v>
                </c:pt>
                <c:pt idx="14">
                  <c:v>1980M03</c:v>
                </c:pt>
                <c:pt idx="15">
                  <c:v>1980M04</c:v>
                </c:pt>
                <c:pt idx="16">
                  <c:v>1980M05</c:v>
                </c:pt>
                <c:pt idx="17">
                  <c:v>1980M06</c:v>
                </c:pt>
                <c:pt idx="18">
                  <c:v>1980M07</c:v>
                </c:pt>
                <c:pt idx="19">
                  <c:v>1980M08</c:v>
                </c:pt>
                <c:pt idx="20">
                  <c:v>1980M09</c:v>
                </c:pt>
                <c:pt idx="21">
                  <c:v>1980M10</c:v>
                </c:pt>
                <c:pt idx="22">
                  <c:v>1980M11</c:v>
                </c:pt>
                <c:pt idx="23">
                  <c:v>1980M12</c:v>
                </c:pt>
                <c:pt idx="24">
                  <c:v>1981M01</c:v>
                </c:pt>
                <c:pt idx="25">
                  <c:v>1981M02</c:v>
                </c:pt>
                <c:pt idx="26">
                  <c:v>1981M03</c:v>
                </c:pt>
                <c:pt idx="27">
                  <c:v>1981M04</c:v>
                </c:pt>
                <c:pt idx="28">
                  <c:v>1981M05</c:v>
                </c:pt>
                <c:pt idx="29">
                  <c:v>1981M06</c:v>
                </c:pt>
                <c:pt idx="30">
                  <c:v>1981M07</c:v>
                </c:pt>
                <c:pt idx="31">
                  <c:v>1981M08</c:v>
                </c:pt>
                <c:pt idx="32">
                  <c:v>1981M09</c:v>
                </c:pt>
                <c:pt idx="33">
                  <c:v>1981M10</c:v>
                </c:pt>
                <c:pt idx="34">
                  <c:v>1981M11</c:v>
                </c:pt>
                <c:pt idx="35">
                  <c:v>1981M12</c:v>
                </c:pt>
                <c:pt idx="36">
                  <c:v>1982M01</c:v>
                </c:pt>
                <c:pt idx="37">
                  <c:v>1982M02</c:v>
                </c:pt>
                <c:pt idx="38">
                  <c:v>1982M03</c:v>
                </c:pt>
                <c:pt idx="39">
                  <c:v>1982M04</c:v>
                </c:pt>
                <c:pt idx="40">
                  <c:v>1982M05</c:v>
                </c:pt>
                <c:pt idx="41">
                  <c:v>1982M06</c:v>
                </c:pt>
                <c:pt idx="42">
                  <c:v>1982M07</c:v>
                </c:pt>
                <c:pt idx="43">
                  <c:v>1982M08</c:v>
                </c:pt>
                <c:pt idx="44">
                  <c:v>1982M09</c:v>
                </c:pt>
                <c:pt idx="45">
                  <c:v>1982M10</c:v>
                </c:pt>
                <c:pt idx="46">
                  <c:v>1982M11</c:v>
                </c:pt>
                <c:pt idx="47">
                  <c:v>1982M12</c:v>
                </c:pt>
                <c:pt idx="48">
                  <c:v>1983M01</c:v>
                </c:pt>
                <c:pt idx="49">
                  <c:v>1983M02</c:v>
                </c:pt>
                <c:pt idx="50">
                  <c:v>1983M03</c:v>
                </c:pt>
                <c:pt idx="51">
                  <c:v>1983M04</c:v>
                </c:pt>
                <c:pt idx="52">
                  <c:v>1983M05</c:v>
                </c:pt>
                <c:pt idx="53">
                  <c:v>1983M06</c:v>
                </c:pt>
                <c:pt idx="54">
                  <c:v>1983M07</c:v>
                </c:pt>
                <c:pt idx="55">
                  <c:v>1983M08</c:v>
                </c:pt>
                <c:pt idx="56">
                  <c:v>1983M09</c:v>
                </c:pt>
                <c:pt idx="57">
                  <c:v>1983M10</c:v>
                </c:pt>
                <c:pt idx="58">
                  <c:v>1983M11</c:v>
                </c:pt>
                <c:pt idx="59">
                  <c:v>1983M12</c:v>
                </c:pt>
                <c:pt idx="60">
                  <c:v>1984M01</c:v>
                </c:pt>
                <c:pt idx="61">
                  <c:v>1984M02</c:v>
                </c:pt>
                <c:pt idx="62">
                  <c:v>1984M03</c:v>
                </c:pt>
                <c:pt idx="63">
                  <c:v>1984M04</c:v>
                </c:pt>
                <c:pt idx="64">
                  <c:v>1984M05</c:v>
                </c:pt>
                <c:pt idx="65">
                  <c:v>1984M06</c:v>
                </c:pt>
                <c:pt idx="66">
                  <c:v>1984M07</c:v>
                </c:pt>
                <c:pt idx="67">
                  <c:v>1984M08</c:v>
                </c:pt>
                <c:pt idx="68">
                  <c:v>1984M09</c:v>
                </c:pt>
                <c:pt idx="69">
                  <c:v>1984M10</c:v>
                </c:pt>
                <c:pt idx="70">
                  <c:v>1984M11</c:v>
                </c:pt>
                <c:pt idx="71">
                  <c:v>1984M12</c:v>
                </c:pt>
                <c:pt idx="72">
                  <c:v>1985M01</c:v>
                </c:pt>
                <c:pt idx="73">
                  <c:v>1985M02</c:v>
                </c:pt>
                <c:pt idx="74">
                  <c:v>1985M03</c:v>
                </c:pt>
                <c:pt idx="75">
                  <c:v>1985M04</c:v>
                </c:pt>
                <c:pt idx="76">
                  <c:v>1985M05</c:v>
                </c:pt>
                <c:pt idx="77">
                  <c:v>1985M06</c:v>
                </c:pt>
                <c:pt idx="78">
                  <c:v>1985M07</c:v>
                </c:pt>
                <c:pt idx="79">
                  <c:v>1985M08</c:v>
                </c:pt>
                <c:pt idx="80">
                  <c:v>1985M09</c:v>
                </c:pt>
                <c:pt idx="81">
                  <c:v>1985M10</c:v>
                </c:pt>
                <c:pt idx="82">
                  <c:v>1985M11</c:v>
                </c:pt>
                <c:pt idx="83">
                  <c:v>1985M12</c:v>
                </c:pt>
                <c:pt idx="84">
                  <c:v>1986M01</c:v>
                </c:pt>
                <c:pt idx="85">
                  <c:v>1986M02</c:v>
                </c:pt>
                <c:pt idx="86">
                  <c:v>1986M03</c:v>
                </c:pt>
                <c:pt idx="87">
                  <c:v>1986M04</c:v>
                </c:pt>
                <c:pt idx="88">
                  <c:v>1986M05</c:v>
                </c:pt>
                <c:pt idx="89">
                  <c:v>1986M06</c:v>
                </c:pt>
                <c:pt idx="90">
                  <c:v>1986M07</c:v>
                </c:pt>
                <c:pt idx="91">
                  <c:v>1986M08</c:v>
                </c:pt>
                <c:pt idx="92">
                  <c:v>1986M09</c:v>
                </c:pt>
                <c:pt idx="93">
                  <c:v>1986M10</c:v>
                </c:pt>
                <c:pt idx="94">
                  <c:v>1986M11</c:v>
                </c:pt>
                <c:pt idx="95">
                  <c:v>1986M12</c:v>
                </c:pt>
                <c:pt idx="96">
                  <c:v>1987M01</c:v>
                </c:pt>
                <c:pt idx="97">
                  <c:v>1987M02</c:v>
                </c:pt>
                <c:pt idx="98">
                  <c:v>1987M03</c:v>
                </c:pt>
                <c:pt idx="99">
                  <c:v>1987M04</c:v>
                </c:pt>
                <c:pt idx="100">
                  <c:v>1987M05</c:v>
                </c:pt>
                <c:pt idx="101">
                  <c:v>1987M06</c:v>
                </c:pt>
                <c:pt idx="102">
                  <c:v>1987M07</c:v>
                </c:pt>
                <c:pt idx="103">
                  <c:v>1987M08</c:v>
                </c:pt>
                <c:pt idx="104">
                  <c:v>1987M09</c:v>
                </c:pt>
                <c:pt idx="105">
                  <c:v>1987M10</c:v>
                </c:pt>
                <c:pt idx="106">
                  <c:v>1987M11</c:v>
                </c:pt>
                <c:pt idx="107">
                  <c:v>1987M12</c:v>
                </c:pt>
                <c:pt idx="108">
                  <c:v>1988M01</c:v>
                </c:pt>
                <c:pt idx="109">
                  <c:v>1988M02</c:v>
                </c:pt>
                <c:pt idx="110">
                  <c:v>1988M03</c:v>
                </c:pt>
                <c:pt idx="111">
                  <c:v>1988M04</c:v>
                </c:pt>
                <c:pt idx="112">
                  <c:v>1988M05</c:v>
                </c:pt>
                <c:pt idx="113">
                  <c:v>1988M06</c:v>
                </c:pt>
                <c:pt idx="114">
                  <c:v>1988M07</c:v>
                </c:pt>
                <c:pt idx="115">
                  <c:v>1988M08</c:v>
                </c:pt>
                <c:pt idx="116">
                  <c:v>1988M09</c:v>
                </c:pt>
                <c:pt idx="117">
                  <c:v>1988M10</c:v>
                </c:pt>
                <c:pt idx="118">
                  <c:v>1988M11</c:v>
                </c:pt>
                <c:pt idx="119">
                  <c:v>1988M12</c:v>
                </c:pt>
                <c:pt idx="120">
                  <c:v>1989M01</c:v>
                </c:pt>
                <c:pt idx="121">
                  <c:v>1989M02</c:v>
                </c:pt>
                <c:pt idx="122">
                  <c:v>1989M03</c:v>
                </c:pt>
                <c:pt idx="123">
                  <c:v>1989M04</c:v>
                </c:pt>
                <c:pt idx="124">
                  <c:v>1989M05</c:v>
                </c:pt>
                <c:pt idx="125">
                  <c:v>1989M06</c:v>
                </c:pt>
                <c:pt idx="126">
                  <c:v>1989M07</c:v>
                </c:pt>
                <c:pt idx="127">
                  <c:v>1989M08</c:v>
                </c:pt>
                <c:pt idx="128">
                  <c:v>1989M09</c:v>
                </c:pt>
                <c:pt idx="129">
                  <c:v>1989M10</c:v>
                </c:pt>
                <c:pt idx="130">
                  <c:v>1989M11</c:v>
                </c:pt>
                <c:pt idx="131">
                  <c:v>1989M12</c:v>
                </c:pt>
                <c:pt idx="132">
                  <c:v>1990M01</c:v>
                </c:pt>
                <c:pt idx="133">
                  <c:v>1990M02</c:v>
                </c:pt>
                <c:pt idx="134">
                  <c:v>1990M03</c:v>
                </c:pt>
                <c:pt idx="135">
                  <c:v>1990M04</c:v>
                </c:pt>
                <c:pt idx="136">
                  <c:v>1990M05</c:v>
                </c:pt>
                <c:pt idx="137">
                  <c:v>1990M06</c:v>
                </c:pt>
                <c:pt idx="138">
                  <c:v>1990M07</c:v>
                </c:pt>
                <c:pt idx="139">
                  <c:v>1990M08</c:v>
                </c:pt>
                <c:pt idx="140">
                  <c:v>1990M09</c:v>
                </c:pt>
                <c:pt idx="141">
                  <c:v>1990M10</c:v>
                </c:pt>
                <c:pt idx="142">
                  <c:v>1990M11</c:v>
                </c:pt>
                <c:pt idx="143">
                  <c:v>1990M12</c:v>
                </c:pt>
                <c:pt idx="144">
                  <c:v>1991M01</c:v>
                </c:pt>
                <c:pt idx="145">
                  <c:v>1991M02</c:v>
                </c:pt>
                <c:pt idx="146">
                  <c:v>1991M03</c:v>
                </c:pt>
                <c:pt idx="147">
                  <c:v>1991M04</c:v>
                </c:pt>
                <c:pt idx="148">
                  <c:v>1991M05</c:v>
                </c:pt>
                <c:pt idx="149">
                  <c:v>1991M06</c:v>
                </c:pt>
                <c:pt idx="150">
                  <c:v>1991M07</c:v>
                </c:pt>
                <c:pt idx="151">
                  <c:v>1991M08</c:v>
                </c:pt>
                <c:pt idx="152">
                  <c:v>1991M09</c:v>
                </c:pt>
                <c:pt idx="153">
                  <c:v>1991M10</c:v>
                </c:pt>
                <c:pt idx="154">
                  <c:v>1991M11</c:v>
                </c:pt>
                <c:pt idx="155">
                  <c:v>1991M12</c:v>
                </c:pt>
                <c:pt idx="156">
                  <c:v>1992M01</c:v>
                </c:pt>
                <c:pt idx="157">
                  <c:v>1992M02</c:v>
                </c:pt>
                <c:pt idx="158">
                  <c:v>1992M03</c:v>
                </c:pt>
                <c:pt idx="159">
                  <c:v>1992M04</c:v>
                </c:pt>
                <c:pt idx="160">
                  <c:v>1992M05</c:v>
                </c:pt>
                <c:pt idx="161">
                  <c:v>1992M06</c:v>
                </c:pt>
                <c:pt idx="162">
                  <c:v>1992M07</c:v>
                </c:pt>
                <c:pt idx="163">
                  <c:v>1992M08</c:v>
                </c:pt>
                <c:pt idx="164">
                  <c:v>1992M09</c:v>
                </c:pt>
                <c:pt idx="165">
                  <c:v>1992M10</c:v>
                </c:pt>
                <c:pt idx="166">
                  <c:v>1992M11</c:v>
                </c:pt>
                <c:pt idx="167">
                  <c:v>1992M12</c:v>
                </c:pt>
                <c:pt idx="168">
                  <c:v>1993M01</c:v>
                </c:pt>
                <c:pt idx="169">
                  <c:v>1993M02</c:v>
                </c:pt>
                <c:pt idx="170">
                  <c:v>1993M03</c:v>
                </c:pt>
                <c:pt idx="171">
                  <c:v>1993M04</c:v>
                </c:pt>
                <c:pt idx="172">
                  <c:v>1993M05</c:v>
                </c:pt>
                <c:pt idx="173">
                  <c:v>1993M06</c:v>
                </c:pt>
                <c:pt idx="174">
                  <c:v>1993M07</c:v>
                </c:pt>
                <c:pt idx="175">
                  <c:v>1993M08</c:v>
                </c:pt>
                <c:pt idx="176">
                  <c:v>1993M09</c:v>
                </c:pt>
                <c:pt idx="177">
                  <c:v>1993M10</c:v>
                </c:pt>
                <c:pt idx="178">
                  <c:v>1993M11</c:v>
                </c:pt>
                <c:pt idx="179">
                  <c:v>1993M12</c:v>
                </c:pt>
                <c:pt idx="180">
                  <c:v>1994M01</c:v>
                </c:pt>
                <c:pt idx="181">
                  <c:v>1994M02</c:v>
                </c:pt>
                <c:pt idx="182">
                  <c:v>1994M03</c:v>
                </c:pt>
                <c:pt idx="183">
                  <c:v>1994M04</c:v>
                </c:pt>
                <c:pt idx="184">
                  <c:v>1994M05</c:v>
                </c:pt>
                <c:pt idx="185">
                  <c:v>1994M06</c:v>
                </c:pt>
                <c:pt idx="186">
                  <c:v>1994M07</c:v>
                </c:pt>
                <c:pt idx="187">
                  <c:v>1994M08</c:v>
                </c:pt>
                <c:pt idx="188">
                  <c:v>1994M09</c:v>
                </c:pt>
                <c:pt idx="189">
                  <c:v>1994M10</c:v>
                </c:pt>
                <c:pt idx="190">
                  <c:v>1994M11</c:v>
                </c:pt>
                <c:pt idx="191">
                  <c:v>1994M12</c:v>
                </c:pt>
                <c:pt idx="192">
                  <c:v>1995M01</c:v>
                </c:pt>
                <c:pt idx="193">
                  <c:v>1995M02</c:v>
                </c:pt>
                <c:pt idx="194">
                  <c:v>1995M03</c:v>
                </c:pt>
                <c:pt idx="195">
                  <c:v>1995M04</c:v>
                </c:pt>
                <c:pt idx="196">
                  <c:v>1995M05</c:v>
                </c:pt>
                <c:pt idx="197">
                  <c:v>1995M06</c:v>
                </c:pt>
                <c:pt idx="198">
                  <c:v>1995M07</c:v>
                </c:pt>
                <c:pt idx="199">
                  <c:v>1995M08</c:v>
                </c:pt>
                <c:pt idx="200">
                  <c:v>1995M09</c:v>
                </c:pt>
                <c:pt idx="201">
                  <c:v>1995M10</c:v>
                </c:pt>
                <c:pt idx="202">
                  <c:v>1995M11</c:v>
                </c:pt>
                <c:pt idx="203">
                  <c:v>1995M12</c:v>
                </c:pt>
                <c:pt idx="204">
                  <c:v>1996M01</c:v>
                </c:pt>
                <c:pt idx="205">
                  <c:v>1996M02</c:v>
                </c:pt>
                <c:pt idx="206">
                  <c:v>1996M03</c:v>
                </c:pt>
                <c:pt idx="207">
                  <c:v>1996M04</c:v>
                </c:pt>
                <c:pt idx="208">
                  <c:v>1996M05</c:v>
                </c:pt>
                <c:pt idx="209">
                  <c:v>1996M06</c:v>
                </c:pt>
                <c:pt idx="210">
                  <c:v>1996M07</c:v>
                </c:pt>
                <c:pt idx="211">
                  <c:v>1996M08</c:v>
                </c:pt>
                <c:pt idx="212">
                  <c:v>1996M09</c:v>
                </c:pt>
                <c:pt idx="213">
                  <c:v>1996M10</c:v>
                </c:pt>
                <c:pt idx="214">
                  <c:v>1996M11</c:v>
                </c:pt>
                <c:pt idx="215">
                  <c:v>1996M12</c:v>
                </c:pt>
                <c:pt idx="216">
                  <c:v>1997M01</c:v>
                </c:pt>
                <c:pt idx="217">
                  <c:v>1997M02</c:v>
                </c:pt>
                <c:pt idx="218">
                  <c:v>1997M03</c:v>
                </c:pt>
                <c:pt idx="219">
                  <c:v>1997M04</c:v>
                </c:pt>
                <c:pt idx="220">
                  <c:v>1997M05</c:v>
                </c:pt>
                <c:pt idx="221">
                  <c:v>1997M06</c:v>
                </c:pt>
                <c:pt idx="222">
                  <c:v>1997M07</c:v>
                </c:pt>
                <c:pt idx="223">
                  <c:v>1997M08</c:v>
                </c:pt>
                <c:pt idx="224">
                  <c:v>1997M09</c:v>
                </c:pt>
                <c:pt idx="225">
                  <c:v>1997M10</c:v>
                </c:pt>
                <c:pt idx="226">
                  <c:v>1997M11</c:v>
                </c:pt>
                <c:pt idx="227">
                  <c:v>1997M12</c:v>
                </c:pt>
                <c:pt idx="228">
                  <c:v>1998M01</c:v>
                </c:pt>
                <c:pt idx="229">
                  <c:v>1998M02</c:v>
                </c:pt>
                <c:pt idx="230">
                  <c:v>1998M03</c:v>
                </c:pt>
                <c:pt idx="231">
                  <c:v>1998M04</c:v>
                </c:pt>
                <c:pt idx="232">
                  <c:v>1998M05</c:v>
                </c:pt>
                <c:pt idx="233">
                  <c:v>1998M06</c:v>
                </c:pt>
                <c:pt idx="234">
                  <c:v>1998M07</c:v>
                </c:pt>
                <c:pt idx="235">
                  <c:v>1998M08</c:v>
                </c:pt>
                <c:pt idx="236">
                  <c:v>1998M09</c:v>
                </c:pt>
                <c:pt idx="237">
                  <c:v>1998M10</c:v>
                </c:pt>
                <c:pt idx="238">
                  <c:v>1998M11</c:v>
                </c:pt>
                <c:pt idx="239">
                  <c:v>1998M12</c:v>
                </c:pt>
                <c:pt idx="240">
                  <c:v>1999M01</c:v>
                </c:pt>
                <c:pt idx="241">
                  <c:v>1999M02</c:v>
                </c:pt>
                <c:pt idx="242">
                  <c:v>1999M03</c:v>
                </c:pt>
                <c:pt idx="243">
                  <c:v>1999M04</c:v>
                </c:pt>
                <c:pt idx="244">
                  <c:v>1999M05</c:v>
                </c:pt>
                <c:pt idx="245">
                  <c:v>1999M06</c:v>
                </c:pt>
                <c:pt idx="246">
                  <c:v>1999M07</c:v>
                </c:pt>
                <c:pt idx="247">
                  <c:v>1999M08</c:v>
                </c:pt>
                <c:pt idx="248">
                  <c:v>1999M09</c:v>
                </c:pt>
                <c:pt idx="249">
                  <c:v>1999M10</c:v>
                </c:pt>
                <c:pt idx="250">
                  <c:v>1999M11</c:v>
                </c:pt>
                <c:pt idx="251">
                  <c:v>1999M12</c:v>
                </c:pt>
                <c:pt idx="252">
                  <c:v>2000M01</c:v>
                </c:pt>
                <c:pt idx="253">
                  <c:v>2000M02</c:v>
                </c:pt>
                <c:pt idx="254">
                  <c:v>2000M03</c:v>
                </c:pt>
                <c:pt idx="255">
                  <c:v>2000M04</c:v>
                </c:pt>
                <c:pt idx="256">
                  <c:v>2000M05</c:v>
                </c:pt>
                <c:pt idx="257">
                  <c:v>2000M06</c:v>
                </c:pt>
                <c:pt idx="258">
                  <c:v>2000M07</c:v>
                </c:pt>
                <c:pt idx="259">
                  <c:v>2000M08</c:v>
                </c:pt>
                <c:pt idx="260">
                  <c:v>2000M09</c:v>
                </c:pt>
                <c:pt idx="261">
                  <c:v>2000M10</c:v>
                </c:pt>
                <c:pt idx="262">
                  <c:v>2000M11</c:v>
                </c:pt>
                <c:pt idx="263">
                  <c:v>2000M12</c:v>
                </c:pt>
                <c:pt idx="264">
                  <c:v>2001M01</c:v>
                </c:pt>
                <c:pt idx="265">
                  <c:v>2001M02</c:v>
                </c:pt>
                <c:pt idx="266">
                  <c:v>2001M03</c:v>
                </c:pt>
                <c:pt idx="267">
                  <c:v>2001M04</c:v>
                </c:pt>
                <c:pt idx="268">
                  <c:v>2001M05</c:v>
                </c:pt>
                <c:pt idx="269">
                  <c:v>2001M06</c:v>
                </c:pt>
                <c:pt idx="270">
                  <c:v>2001M07</c:v>
                </c:pt>
                <c:pt idx="271">
                  <c:v>2001M08</c:v>
                </c:pt>
                <c:pt idx="272">
                  <c:v>2001M09</c:v>
                </c:pt>
                <c:pt idx="273">
                  <c:v>2001M10</c:v>
                </c:pt>
                <c:pt idx="274">
                  <c:v>2001M11</c:v>
                </c:pt>
                <c:pt idx="275">
                  <c:v>2001M12</c:v>
                </c:pt>
                <c:pt idx="276">
                  <c:v>2002M01</c:v>
                </c:pt>
                <c:pt idx="277">
                  <c:v>2002M02</c:v>
                </c:pt>
                <c:pt idx="278">
                  <c:v>2002M03</c:v>
                </c:pt>
                <c:pt idx="279">
                  <c:v>2002M04</c:v>
                </c:pt>
                <c:pt idx="280">
                  <c:v>2002M05</c:v>
                </c:pt>
                <c:pt idx="281">
                  <c:v>2002M06</c:v>
                </c:pt>
                <c:pt idx="282">
                  <c:v>2002M07</c:v>
                </c:pt>
                <c:pt idx="283">
                  <c:v>2002M08</c:v>
                </c:pt>
                <c:pt idx="284">
                  <c:v>2002M09</c:v>
                </c:pt>
                <c:pt idx="285">
                  <c:v>2002M10</c:v>
                </c:pt>
                <c:pt idx="286">
                  <c:v>2002M11</c:v>
                </c:pt>
                <c:pt idx="287">
                  <c:v>2002M12</c:v>
                </c:pt>
                <c:pt idx="288">
                  <c:v>2003M01</c:v>
                </c:pt>
                <c:pt idx="289">
                  <c:v>2003M02</c:v>
                </c:pt>
                <c:pt idx="290">
                  <c:v>2003M03</c:v>
                </c:pt>
                <c:pt idx="291">
                  <c:v>2003M04</c:v>
                </c:pt>
                <c:pt idx="292">
                  <c:v>2003M05</c:v>
                </c:pt>
                <c:pt idx="293">
                  <c:v>2003M06</c:v>
                </c:pt>
                <c:pt idx="294">
                  <c:v>2003M07</c:v>
                </c:pt>
                <c:pt idx="295">
                  <c:v>2003M08</c:v>
                </c:pt>
                <c:pt idx="296">
                  <c:v>2003M09</c:v>
                </c:pt>
                <c:pt idx="297">
                  <c:v>2003M10</c:v>
                </c:pt>
                <c:pt idx="298">
                  <c:v>2003M11</c:v>
                </c:pt>
                <c:pt idx="299">
                  <c:v>2003M12</c:v>
                </c:pt>
                <c:pt idx="300">
                  <c:v>2004M01</c:v>
                </c:pt>
                <c:pt idx="301">
                  <c:v>2004M02</c:v>
                </c:pt>
                <c:pt idx="302">
                  <c:v>2004M03</c:v>
                </c:pt>
                <c:pt idx="303">
                  <c:v>2004M04</c:v>
                </c:pt>
                <c:pt idx="304">
                  <c:v>2004M05</c:v>
                </c:pt>
                <c:pt idx="305">
                  <c:v>2004M06</c:v>
                </c:pt>
                <c:pt idx="306">
                  <c:v>2004M07</c:v>
                </c:pt>
                <c:pt idx="307">
                  <c:v>2004M08</c:v>
                </c:pt>
                <c:pt idx="308">
                  <c:v>2004M09</c:v>
                </c:pt>
                <c:pt idx="309">
                  <c:v>2004M10</c:v>
                </c:pt>
                <c:pt idx="310">
                  <c:v>2004M11</c:v>
                </c:pt>
                <c:pt idx="311">
                  <c:v>2004M12</c:v>
                </c:pt>
                <c:pt idx="312">
                  <c:v>2005M01</c:v>
                </c:pt>
                <c:pt idx="313">
                  <c:v>2005M02</c:v>
                </c:pt>
                <c:pt idx="314">
                  <c:v>2005M03</c:v>
                </c:pt>
                <c:pt idx="315">
                  <c:v>2005M04</c:v>
                </c:pt>
                <c:pt idx="316">
                  <c:v>2005M05</c:v>
                </c:pt>
                <c:pt idx="317">
                  <c:v>2005M06</c:v>
                </c:pt>
                <c:pt idx="318">
                  <c:v>2005M07</c:v>
                </c:pt>
                <c:pt idx="319">
                  <c:v>2005M08</c:v>
                </c:pt>
                <c:pt idx="320">
                  <c:v>2005M09</c:v>
                </c:pt>
                <c:pt idx="321">
                  <c:v>2005M10</c:v>
                </c:pt>
                <c:pt idx="322">
                  <c:v>2005M11</c:v>
                </c:pt>
                <c:pt idx="323">
                  <c:v>2005M12</c:v>
                </c:pt>
                <c:pt idx="324">
                  <c:v>2006M01</c:v>
                </c:pt>
                <c:pt idx="325">
                  <c:v>2006M02</c:v>
                </c:pt>
                <c:pt idx="326">
                  <c:v>2006M03</c:v>
                </c:pt>
                <c:pt idx="327">
                  <c:v>2006M04</c:v>
                </c:pt>
                <c:pt idx="328">
                  <c:v>2006M05</c:v>
                </c:pt>
                <c:pt idx="329">
                  <c:v>2006M06</c:v>
                </c:pt>
                <c:pt idx="330">
                  <c:v>2006M07</c:v>
                </c:pt>
                <c:pt idx="331">
                  <c:v>2006M08</c:v>
                </c:pt>
                <c:pt idx="332">
                  <c:v>2006M09</c:v>
                </c:pt>
                <c:pt idx="333">
                  <c:v>2006M10</c:v>
                </c:pt>
                <c:pt idx="334">
                  <c:v>2006M11</c:v>
                </c:pt>
                <c:pt idx="335">
                  <c:v>2006M12</c:v>
                </c:pt>
                <c:pt idx="336">
                  <c:v>2007M01</c:v>
                </c:pt>
                <c:pt idx="337">
                  <c:v>2007M02</c:v>
                </c:pt>
                <c:pt idx="338">
                  <c:v>2007M03</c:v>
                </c:pt>
                <c:pt idx="339">
                  <c:v>2007M04</c:v>
                </c:pt>
                <c:pt idx="340">
                  <c:v>2007M05</c:v>
                </c:pt>
                <c:pt idx="341">
                  <c:v>2007M06</c:v>
                </c:pt>
                <c:pt idx="342">
                  <c:v>2007M07</c:v>
                </c:pt>
                <c:pt idx="343">
                  <c:v>2007M08</c:v>
                </c:pt>
                <c:pt idx="344">
                  <c:v>2007M09</c:v>
                </c:pt>
                <c:pt idx="345">
                  <c:v>2007M10</c:v>
                </c:pt>
                <c:pt idx="346">
                  <c:v>2007M11</c:v>
                </c:pt>
                <c:pt idx="347">
                  <c:v>2007M12</c:v>
                </c:pt>
                <c:pt idx="348">
                  <c:v>2008M01</c:v>
                </c:pt>
                <c:pt idx="349">
                  <c:v>2008M02</c:v>
                </c:pt>
                <c:pt idx="350">
                  <c:v>2008M03</c:v>
                </c:pt>
                <c:pt idx="351">
                  <c:v>2008M04</c:v>
                </c:pt>
                <c:pt idx="352">
                  <c:v>2008M05</c:v>
                </c:pt>
                <c:pt idx="353">
                  <c:v>2008M06</c:v>
                </c:pt>
                <c:pt idx="354">
                  <c:v>2008M07</c:v>
                </c:pt>
                <c:pt idx="355">
                  <c:v>2008M08</c:v>
                </c:pt>
                <c:pt idx="356">
                  <c:v>2008M09</c:v>
                </c:pt>
                <c:pt idx="357">
                  <c:v>2008M10</c:v>
                </c:pt>
                <c:pt idx="358">
                  <c:v>2008M11</c:v>
                </c:pt>
                <c:pt idx="359">
                  <c:v>2008M12</c:v>
                </c:pt>
                <c:pt idx="360">
                  <c:v>2009M01</c:v>
                </c:pt>
                <c:pt idx="361">
                  <c:v>2009M02</c:v>
                </c:pt>
                <c:pt idx="362">
                  <c:v>2009M03</c:v>
                </c:pt>
                <c:pt idx="363">
                  <c:v>2009M04</c:v>
                </c:pt>
                <c:pt idx="364">
                  <c:v>2009M05</c:v>
                </c:pt>
                <c:pt idx="365">
                  <c:v>2009M06</c:v>
                </c:pt>
                <c:pt idx="366">
                  <c:v>2009M07</c:v>
                </c:pt>
                <c:pt idx="367">
                  <c:v>2009M08</c:v>
                </c:pt>
                <c:pt idx="368">
                  <c:v>2009M09</c:v>
                </c:pt>
                <c:pt idx="369">
                  <c:v>2009M10</c:v>
                </c:pt>
                <c:pt idx="370">
                  <c:v>2009M11</c:v>
                </c:pt>
                <c:pt idx="371">
                  <c:v>2009M12</c:v>
                </c:pt>
                <c:pt idx="372">
                  <c:v>2010M01</c:v>
                </c:pt>
                <c:pt idx="373">
                  <c:v>2010M02</c:v>
                </c:pt>
                <c:pt idx="374">
                  <c:v>2010M03</c:v>
                </c:pt>
                <c:pt idx="375">
                  <c:v>2010M04</c:v>
                </c:pt>
                <c:pt idx="376">
                  <c:v>2010M05</c:v>
                </c:pt>
                <c:pt idx="377">
                  <c:v>2010M06</c:v>
                </c:pt>
                <c:pt idx="378">
                  <c:v>2010M07</c:v>
                </c:pt>
                <c:pt idx="379">
                  <c:v>2010M08</c:v>
                </c:pt>
                <c:pt idx="380">
                  <c:v>2010M09</c:v>
                </c:pt>
                <c:pt idx="381">
                  <c:v>2010M10</c:v>
                </c:pt>
                <c:pt idx="382">
                  <c:v>2010M11</c:v>
                </c:pt>
                <c:pt idx="383">
                  <c:v>2010M12</c:v>
                </c:pt>
                <c:pt idx="384">
                  <c:v>2011M01</c:v>
                </c:pt>
                <c:pt idx="385">
                  <c:v>2011M02</c:v>
                </c:pt>
                <c:pt idx="386">
                  <c:v>2011M03</c:v>
                </c:pt>
                <c:pt idx="387">
                  <c:v>2011M04</c:v>
                </c:pt>
                <c:pt idx="388">
                  <c:v>2011M05</c:v>
                </c:pt>
                <c:pt idx="389">
                  <c:v>2011M06</c:v>
                </c:pt>
                <c:pt idx="390">
                  <c:v>2011M07</c:v>
                </c:pt>
                <c:pt idx="391">
                  <c:v>2011M08</c:v>
                </c:pt>
                <c:pt idx="392">
                  <c:v>2011M09</c:v>
                </c:pt>
                <c:pt idx="393">
                  <c:v>2011M10</c:v>
                </c:pt>
                <c:pt idx="394">
                  <c:v>2011M11</c:v>
                </c:pt>
                <c:pt idx="395">
                  <c:v>2011M12</c:v>
                </c:pt>
                <c:pt idx="396">
                  <c:v>2012M01</c:v>
                </c:pt>
                <c:pt idx="397">
                  <c:v>2012M02</c:v>
                </c:pt>
                <c:pt idx="398">
                  <c:v>2012M03</c:v>
                </c:pt>
                <c:pt idx="399">
                  <c:v>2012M04</c:v>
                </c:pt>
                <c:pt idx="400">
                  <c:v>2012M05</c:v>
                </c:pt>
                <c:pt idx="401">
                  <c:v>2012M06</c:v>
                </c:pt>
                <c:pt idx="402">
                  <c:v>2012M07</c:v>
                </c:pt>
                <c:pt idx="403">
                  <c:v>2012M08</c:v>
                </c:pt>
                <c:pt idx="404">
                  <c:v>2012M09</c:v>
                </c:pt>
                <c:pt idx="405">
                  <c:v>2012M10</c:v>
                </c:pt>
                <c:pt idx="406">
                  <c:v>2012M11</c:v>
                </c:pt>
                <c:pt idx="407">
                  <c:v>2012M12</c:v>
                </c:pt>
                <c:pt idx="408">
                  <c:v>2013M01</c:v>
                </c:pt>
                <c:pt idx="409">
                  <c:v>2013M02</c:v>
                </c:pt>
                <c:pt idx="410">
                  <c:v>2013M03</c:v>
                </c:pt>
                <c:pt idx="411">
                  <c:v>2013M04</c:v>
                </c:pt>
                <c:pt idx="412">
                  <c:v>2013M05</c:v>
                </c:pt>
                <c:pt idx="413">
                  <c:v>2013M06</c:v>
                </c:pt>
                <c:pt idx="414">
                  <c:v>2013M07</c:v>
                </c:pt>
                <c:pt idx="415">
                  <c:v>2013M08</c:v>
                </c:pt>
                <c:pt idx="416">
                  <c:v>2013M09</c:v>
                </c:pt>
                <c:pt idx="417">
                  <c:v>2013M10</c:v>
                </c:pt>
                <c:pt idx="418">
                  <c:v>2013M11</c:v>
                </c:pt>
                <c:pt idx="419">
                  <c:v>2013M12</c:v>
                </c:pt>
                <c:pt idx="420">
                  <c:v>2014M01</c:v>
                </c:pt>
                <c:pt idx="421">
                  <c:v>2014M02</c:v>
                </c:pt>
                <c:pt idx="422">
                  <c:v>2014M03</c:v>
                </c:pt>
                <c:pt idx="423">
                  <c:v>2014M04</c:v>
                </c:pt>
                <c:pt idx="424">
                  <c:v>2014M05</c:v>
                </c:pt>
                <c:pt idx="425">
                  <c:v>2014M06</c:v>
                </c:pt>
                <c:pt idx="426">
                  <c:v>2014M07</c:v>
                </c:pt>
                <c:pt idx="427">
                  <c:v>2014M08</c:v>
                </c:pt>
                <c:pt idx="428">
                  <c:v>2014M09</c:v>
                </c:pt>
                <c:pt idx="429">
                  <c:v>2014M10</c:v>
                </c:pt>
                <c:pt idx="430">
                  <c:v>2014M11</c:v>
                </c:pt>
                <c:pt idx="431">
                  <c:v>2014M12</c:v>
                </c:pt>
                <c:pt idx="432">
                  <c:v>2015M01</c:v>
                </c:pt>
                <c:pt idx="433">
                  <c:v>2015M02</c:v>
                </c:pt>
                <c:pt idx="434">
                  <c:v>2015M03</c:v>
                </c:pt>
                <c:pt idx="435">
                  <c:v>2015M04</c:v>
                </c:pt>
                <c:pt idx="436">
                  <c:v>2015M05</c:v>
                </c:pt>
                <c:pt idx="437">
                  <c:v>2015M06</c:v>
                </c:pt>
                <c:pt idx="438">
                  <c:v>2015M07</c:v>
                </c:pt>
                <c:pt idx="439">
                  <c:v>2015M08</c:v>
                </c:pt>
                <c:pt idx="440">
                  <c:v>2015M09</c:v>
                </c:pt>
                <c:pt idx="441">
                  <c:v>2015M10</c:v>
                </c:pt>
                <c:pt idx="442">
                  <c:v>2015M11</c:v>
                </c:pt>
                <c:pt idx="443">
                  <c:v>2015M12</c:v>
                </c:pt>
                <c:pt idx="444">
                  <c:v>2016M01</c:v>
                </c:pt>
                <c:pt idx="445">
                  <c:v>2016M02</c:v>
                </c:pt>
                <c:pt idx="446">
                  <c:v>2016M03</c:v>
                </c:pt>
                <c:pt idx="447">
                  <c:v>2016M04</c:v>
                </c:pt>
                <c:pt idx="448">
                  <c:v>2016M05</c:v>
                </c:pt>
                <c:pt idx="449">
                  <c:v>2016M06</c:v>
                </c:pt>
                <c:pt idx="450">
                  <c:v>2016M07</c:v>
                </c:pt>
                <c:pt idx="451">
                  <c:v>2016M08</c:v>
                </c:pt>
                <c:pt idx="452">
                  <c:v>2016M09</c:v>
                </c:pt>
                <c:pt idx="453">
                  <c:v>2016M10</c:v>
                </c:pt>
                <c:pt idx="454">
                  <c:v>2016M11</c:v>
                </c:pt>
                <c:pt idx="455">
                  <c:v>2016M12</c:v>
                </c:pt>
                <c:pt idx="456">
                  <c:v>2017M01</c:v>
                </c:pt>
                <c:pt idx="457">
                  <c:v>2017M02</c:v>
                </c:pt>
                <c:pt idx="458">
                  <c:v>2017M03</c:v>
                </c:pt>
                <c:pt idx="459">
                  <c:v>2017M04</c:v>
                </c:pt>
                <c:pt idx="460">
                  <c:v>2017M05</c:v>
                </c:pt>
                <c:pt idx="461">
                  <c:v>2017M06</c:v>
                </c:pt>
                <c:pt idx="462">
                  <c:v>2017M07</c:v>
                </c:pt>
                <c:pt idx="463">
                  <c:v>2017M08</c:v>
                </c:pt>
                <c:pt idx="464">
                  <c:v>2017M09</c:v>
                </c:pt>
                <c:pt idx="465">
                  <c:v>2017M10</c:v>
                </c:pt>
                <c:pt idx="466">
                  <c:v>2017M11</c:v>
                </c:pt>
                <c:pt idx="467">
                  <c:v>2017M12</c:v>
                </c:pt>
                <c:pt idx="468">
                  <c:v>2018M01</c:v>
                </c:pt>
                <c:pt idx="469">
                  <c:v>2018M02</c:v>
                </c:pt>
                <c:pt idx="470">
                  <c:v>2018M03</c:v>
                </c:pt>
                <c:pt idx="471">
                  <c:v>2018M04</c:v>
                </c:pt>
                <c:pt idx="472">
                  <c:v>2018M05</c:v>
                </c:pt>
                <c:pt idx="473">
                  <c:v>2018M06</c:v>
                </c:pt>
                <c:pt idx="474">
                  <c:v>2018M07</c:v>
                </c:pt>
                <c:pt idx="475">
                  <c:v>2018M08</c:v>
                </c:pt>
                <c:pt idx="476">
                  <c:v>2018M09</c:v>
                </c:pt>
                <c:pt idx="477">
                  <c:v>2018M10</c:v>
                </c:pt>
                <c:pt idx="478">
                  <c:v>2018M11</c:v>
                </c:pt>
                <c:pt idx="479">
                  <c:v>2018M12</c:v>
                </c:pt>
                <c:pt idx="480">
                  <c:v>2019M01</c:v>
                </c:pt>
                <c:pt idx="481">
                  <c:v>2019M02</c:v>
                </c:pt>
                <c:pt idx="482">
                  <c:v>2019M03</c:v>
                </c:pt>
                <c:pt idx="483">
                  <c:v>2019M04</c:v>
                </c:pt>
                <c:pt idx="484">
                  <c:v>2019M05</c:v>
                </c:pt>
                <c:pt idx="485">
                  <c:v>2019M06</c:v>
                </c:pt>
                <c:pt idx="486">
                  <c:v>2019M07</c:v>
                </c:pt>
                <c:pt idx="487">
                  <c:v>2019M08</c:v>
                </c:pt>
                <c:pt idx="488">
                  <c:v>2019M09</c:v>
                </c:pt>
              </c:strCache>
            </c:strRef>
          </c:cat>
          <c:val>
            <c:numRef>
              <c:f>[1]Sheet1!$B$2:$B$490</c:f>
              <c:numCache>
                <c:formatCode>General</c:formatCode>
                <c:ptCount val="489"/>
                <c:pt idx="0">
                  <c:v>18.950000762939499</c:v>
                </c:pt>
                <c:pt idx="1">
                  <c:v>22</c:v>
                </c:pt>
                <c:pt idx="2">
                  <c:v>23.25</c:v>
                </c:pt>
                <c:pt idx="3">
                  <c:v>23.649999618530298</c:v>
                </c:pt>
                <c:pt idx="4">
                  <c:v>32.75</c:v>
                </c:pt>
                <c:pt idx="5">
                  <c:v>36.5</c:v>
                </c:pt>
                <c:pt idx="6">
                  <c:v>35</c:v>
                </c:pt>
                <c:pt idx="7">
                  <c:v>35.75</c:v>
                </c:pt>
                <c:pt idx="8">
                  <c:v>36.5</c:v>
                </c:pt>
                <c:pt idx="9">
                  <c:v>38.5</c:v>
                </c:pt>
                <c:pt idx="10">
                  <c:v>42</c:v>
                </c:pt>
                <c:pt idx="11">
                  <c:v>40.5</c:v>
                </c:pt>
                <c:pt idx="12">
                  <c:v>40</c:v>
                </c:pt>
                <c:pt idx="13">
                  <c:v>38.5</c:v>
                </c:pt>
                <c:pt idx="14">
                  <c:v>38.25</c:v>
                </c:pt>
                <c:pt idx="15">
                  <c:v>38.150001525878899</c:v>
                </c:pt>
                <c:pt idx="16">
                  <c:v>38.5</c:v>
                </c:pt>
                <c:pt idx="17">
                  <c:v>38</c:v>
                </c:pt>
                <c:pt idx="18">
                  <c:v>37.400001525878899</c:v>
                </c:pt>
                <c:pt idx="19">
                  <c:v>33.599998474121101</c:v>
                </c:pt>
                <c:pt idx="20">
                  <c:v>33.400001525878899</c:v>
                </c:pt>
                <c:pt idx="21">
                  <c:v>37.900001525878899</c:v>
                </c:pt>
                <c:pt idx="22">
                  <c:v>40.849998474121101</c:v>
                </c:pt>
                <c:pt idx="23">
                  <c:v>40.150001525878899</c:v>
                </c:pt>
                <c:pt idx="24">
                  <c:v>40.299999237060497</c:v>
                </c:pt>
                <c:pt idx="25">
                  <c:v>38.700000762939503</c:v>
                </c:pt>
                <c:pt idx="26">
                  <c:v>38.349998474121101</c:v>
                </c:pt>
                <c:pt idx="27">
                  <c:v>37.189998626708999</c:v>
                </c:pt>
                <c:pt idx="28">
                  <c:v>35.189998626708999</c:v>
                </c:pt>
                <c:pt idx="29">
                  <c:v>33.25</c:v>
                </c:pt>
                <c:pt idx="30">
                  <c:v>35.060001373291001</c:v>
                </c:pt>
                <c:pt idx="31">
                  <c:v>35.799999237060497</c:v>
                </c:pt>
                <c:pt idx="32">
                  <c:v>35.909999847412102</c:v>
                </c:pt>
                <c:pt idx="33">
                  <c:v>36.540000915527301</c:v>
                </c:pt>
                <c:pt idx="34">
                  <c:v>37.119998931884801</c:v>
                </c:pt>
                <c:pt idx="35">
                  <c:v>36.700000762939503</c:v>
                </c:pt>
                <c:pt idx="36">
                  <c:v>35.849998474121101</c:v>
                </c:pt>
                <c:pt idx="37">
                  <c:v>31.620000839233398</c:v>
                </c:pt>
                <c:pt idx="38">
                  <c:v>29.299999237060501</c:v>
                </c:pt>
                <c:pt idx="39">
                  <c:v>33.119998931884801</c:v>
                </c:pt>
                <c:pt idx="40">
                  <c:v>35.180000305175803</c:v>
                </c:pt>
                <c:pt idx="41">
                  <c:v>34.599998474121101</c:v>
                </c:pt>
                <c:pt idx="42">
                  <c:v>33.700000762939503</c:v>
                </c:pt>
                <c:pt idx="43">
                  <c:v>32.849998474121101</c:v>
                </c:pt>
                <c:pt idx="44">
                  <c:v>34.25</c:v>
                </c:pt>
                <c:pt idx="45">
                  <c:v>35</c:v>
                </c:pt>
                <c:pt idx="46">
                  <c:v>33.799999237060497</c:v>
                </c:pt>
                <c:pt idx="47">
                  <c:v>31.75</c:v>
                </c:pt>
                <c:pt idx="48">
                  <c:v>30.850000381469702</c:v>
                </c:pt>
                <c:pt idx="49">
                  <c:v>29.100000381469702</c:v>
                </c:pt>
                <c:pt idx="50">
                  <c:v>28.200000762939499</c:v>
                </c:pt>
                <c:pt idx="51">
                  <c:v>29.75</c:v>
                </c:pt>
                <c:pt idx="52">
                  <c:v>29.600000381469702</c:v>
                </c:pt>
                <c:pt idx="53">
                  <c:v>30.200000762939499</c:v>
                </c:pt>
                <c:pt idx="54">
                  <c:v>30.799999237060501</c:v>
                </c:pt>
                <c:pt idx="55">
                  <c:v>31.100000381469702</c:v>
                </c:pt>
                <c:pt idx="56">
                  <c:v>30.350000381469702</c:v>
                </c:pt>
                <c:pt idx="57">
                  <c:v>29.850000381469702</c:v>
                </c:pt>
                <c:pt idx="58">
                  <c:v>29.200000762939499</c:v>
                </c:pt>
                <c:pt idx="59">
                  <c:v>28.950000762939499</c:v>
                </c:pt>
                <c:pt idx="60">
                  <c:v>29.559999465942401</c:v>
                </c:pt>
                <c:pt idx="61">
                  <c:v>29.879999160766602</c:v>
                </c:pt>
                <c:pt idx="62">
                  <c:v>30.079999923706101</c:v>
                </c:pt>
                <c:pt idx="63">
                  <c:v>30.129999160766602</c:v>
                </c:pt>
                <c:pt idx="64">
                  <c:v>29.899999618530298</c:v>
                </c:pt>
                <c:pt idx="65">
                  <c:v>29.200000762939499</c:v>
                </c:pt>
                <c:pt idx="66">
                  <c:v>27.909999847412099</c:v>
                </c:pt>
                <c:pt idx="67">
                  <c:v>28.110000610351602</c:v>
                </c:pt>
                <c:pt idx="68">
                  <c:v>28.360000610351602</c:v>
                </c:pt>
                <c:pt idx="69">
                  <c:v>27.809999465942401</c:v>
                </c:pt>
                <c:pt idx="70">
                  <c:v>27.700000762939499</c:v>
                </c:pt>
                <c:pt idx="71">
                  <c:v>26.9799995422363</c:v>
                </c:pt>
                <c:pt idx="72">
                  <c:v>26.95</c:v>
                </c:pt>
                <c:pt idx="73">
                  <c:v>28.2</c:v>
                </c:pt>
                <c:pt idx="74">
                  <c:v>28.1</c:v>
                </c:pt>
                <c:pt idx="75">
                  <c:v>27.9</c:v>
                </c:pt>
                <c:pt idx="76">
                  <c:v>26.65</c:v>
                </c:pt>
                <c:pt idx="77">
                  <c:v>26.45</c:v>
                </c:pt>
                <c:pt idx="78">
                  <c:v>26.6</c:v>
                </c:pt>
                <c:pt idx="79">
                  <c:v>27.15</c:v>
                </c:pt>
                <c:pt idx="80">
                  <c:v>27.15</c:v>
                </c:pt>
                <c:pt idx="81">
                  <c:v>27.9</c:v>
                </c:pt>
                <c:pt idx="82">
                  <c:v>29.05</c:v>
                </c:pt>
                <c:pt idx="83">
                  <c:v>25.85</c:v>
                </c:pt>
                <c:pt idx="84">
                  <c:v>25.75</c:v>
                </c:pt>
                <c:pt idx="85">
                  <c:v>17.55</c:v>
                </c:pt>
                <c:pt idx="86">
                  <c:v>13.85</c:v>
                </c:pt>
                <c:pt idx="87">
                  <c:v>12.5</c:v>
                </c:pt>
                <c:pt idx="88">
                  <c:v>14.2</c:v>
                </c:pt>
                <c:pt idx="89">
                  <c:v>11.85</c:v>
                </c:pt>
                <c:pt idx="90">
                  <c:v>9.4499999999999993</c:v>
                </c:pt>
                <c:pt idx="91">
                  <c:v>13.65</c:v>
                </c:pt>
                <c:pt idx="92">
                  <c:v>14.2</c:v>
                </c:pt>
                <c:pt idx="93">
                  <c:v>13.8</c:v>
                </c:pt>
                <c:pt idx="94">
                  <c:v>14.55</c:v>
                </c:pt>
                <c:pt idx="95">
                  <c:v>15.9</c:v>
                </c:pt>
                <c:pt idx="96">
                  <c:v>18.399999999999999</c:v>
                </c:pt>
                <c:pt idx="97">
                  <c:v>17.3</c:v>
                </c:pt>
                <c:pt idx="98">
                  <c:v>17.899999999999999</c:v>
                </c:pt>
                <c:pt idx="99">
                  <c:v>18.100000000000001</c:v>
                </c:pt>
                <c:pt idx="100">
                  <c:v>18.75</c:v>
                </c:pt>
                <c:pt idx="101">
                  <c:v>18.850000000000001</c:v>
                </c:pt>
                <c:pt idx="102">
                  <c:v>19.8</c:v>
                </c:pt>
                <c:pt idx="103">
                  <c:v>18.95</c:v>
                </c:pt>
                <c:pt idx="104">
                  <c:v>18.350000000000001</c:v>
                </c:pt>
                <c:pt idx="105">
                  <c:v>18.8</c:v>
                </c:pt>
                <c:pt idx="106">
                  <c:v>17.8</c:v>
                </c:pt>
                <c:pt idx="107">
                  <c:v>17.100000000000001</c:v>
                </c:pt>
                <c:pt idx="108">
                  <c:v>16.850000000000001</c:v>
                </c:pt>
                <c:pt idx="109">
                  <c:v>15.75</c:v>
                </c:pt>
                <c:pt idx="110">
                  <c:v>14.75</c:v>
                </c:pt>
                <c:pt idx="111">
                  <c:v>16.600000000000001</c:v>
                </c:pt>
                <c:pt idx="112">
                  <c:v>16.399999999999999</c:v>
                </c:pt>
                <c:pt idx="113">
                  <c:v>15.55</c:v>
                </c:pt>
                <c:pt idx="114">
                  <c:v>14.9</c:v>
                </c:pt>
                <c:pt idx="115">
                  <c:v>14.95</c:v>
                </c:pt>
                <c:pt idx="116">
                  <c:v>13.3</c:v>
                </c:pt>
                <c:pt idx="117">
                  <c:v>12.45</c:v>
                </c:pt>
                <c:pt idx="118">
                  <c:v>13</c:v>
                </c:pt>
                <c:pt idx="119">
                  <c:v>15.15</c:v>
                </c:pt>
                <c:pt idx="120">
                  <c:v>17</c:v>
                </c:pt>
                <c:pt idx="121">
                  <c:v>16.649999999999999</c:v>
                </c:pt>
                <c:pt idx="122">
                  <c:v>18.7</c:v>
                </c:pt>
                <c:pt idx="123">
                  <c:v>19.75</c:v>
                </c:pt>
                <c:pt idx="124">
                  <c:v>18.350000000000001</c:v>
                </c:pt>
                <c:pt idx="125">
                  <c:v>17.5</c:v>
                </c:pt>
                <c:pt idx="126">
                  <c:v>17.75</c:v>
                </c:pt>
                <c:pt idx="127">
                  <c:v>17.100000000000001</c:v>
                </c:pt>
                <c:pt idx="128">
                  <c:v>17.8</c:v>
                </c:pt>
                <c:pt idx="129">
                  <c:v>19</c:v>
                </c:pt>
                <c:pt idx="130">
                  <c:v>19.149999999999999</c:v>
                </c:pt>
                <c:pt idx="131">
                  <c:v>19.850000000000001</c:v>
                </c:pt>
                <c:pt idx="132">
                  <c:v>20.95</c:v>
                </c:pt>
                <c:pt idx="133">
                  <c:v>19.899999999999999</c:v>
                </c:pt>
                <c:pt idx="134">
                  <c:v>18.45</c:v>
                </c:pt>
                <c:pt idx="135">
                  <c:v>16.75</c:v>
                </c:pt>
                <c:pt idx="136">
                  <c:v>16.7</c:v>
                </c:pt>
                <c:pt idx="137">
                  <c:v>15.7</c:v>
                </c:pt>
                <c:pt idx="138">
                  <c:v>17.55</c:v>
                </c:pt>
                <c:pt idx="139">
                  <c:v>27.05</c:v>
                </c:pt>
                <c:pt idx="140">
                  <c:v>34.1</c:v>
                </c:pt>
                <c:pt idx="141">
                  <c:v>36.049999999999997</c:v>
                </c:pt>
                <c:pt idx="142">
                  <c:v>33</c:v>
                </c:pt>
                <c:pt idx="143">
                  <c:v>28</c:v>
                </c:pt>
                <c:pt idx="144">
                  <c:v>23.65</c:v>
                </c:pt>
                <c:pt idx="145">
                  <c:v>19.399999999999999</c:v>
                </c:pt>
                <c:pt idx="146">
                  <c:v>19.45</c:v>
                </c:pt>
                <c:pt idx="147">
                  <c:v>19.25</c:v>
                </c:pt>
                <c:pt idx="148">
                  <c:v>19.3</c:v>
                </c:pt>
                <c:pt idx="149">
                  <c:v>18.2</c:v>
                </c:pt>
                <c:pt idx="150">
                  <c:v>19.45</c:v>
                </c:pt>
                <c:pt idx="151">
                  <c:v>19.75</c:v>
                </c:pt>
                <c:pt idx="152">
                  <c:v>20.5</c:v>
                </c:pt>
                <c:pt idx="153">
                  <c:v>22.2</c:v>
                </c:pt>
                <c:pt idx="154">
                  <c:v>21.25</c:v>
                </c:pt>
                <c:pt idx="155">
                  <c:v>18.399999999999999</c:v>
                </c:pt>
                <c:pt idx="156">
                  <c:v>18.149999999999999</c:v>
                </c:pt>
                <c:pt idx="157">
                  <c:v>18.100000000000001</c:v>
                </c:pt>
                <c:pt idx="158">
                  <c:v>17.600000000000001</c:v>
                </c:pt>
                <c:pt idx="159">
                  <c:v>18.95</c:v>
                </c:pt>
                <c:pt idx="160">
                  <c:v>19.899999999999999</c:v>
                </c:pt>
                <c:pt idx="161">
                  <c:v>21.15</c:v>
                </c:pt>
                <c:pt idx="162">
                  <c:v>20.25</c:v>
                </c:pt>
                <c:pt idx="163">
                  <c:v>19.75</c:v>
                </c:pt>
                <c:pt idx="164">
                  <c:v>20.25</c:v>
                </c:pt>
                <c:pt idx="165">
                  <c:v>20.3</c:v>
                </c:pt>
                <c:pt idx="166">
                  <c:v>19.2</c:v>
                </c:pt>
                <c:pt idx="167">
                  <c:v>18.149999999999999</c:v>
                </c:pt>
                <c:pt idx="168">
                  <c:v>17.399999999999999</c:v>
                </c:pt>
                <c:pt idx="169">
                  <c:v>18.45</c:v>
                </c:pt>
                <c:pt idx="170">
                  <c:v>18.75</c:v>
                </c:pt>
                <c:pt idx="171">
                  <c:v>18.649999999999999</c:v>
                </c:pt>
                <c:pt idx="172">
                  <c:v>18.5</c:v>
                </c:pt>
                <c:pt idx="173">
                  <c:v>17.649999999999999</c:v>
                </c:pt>
                <c:pt idx="174">
                  <c:v>16.8</c:v>
                </c:pt>
                <c:pt idx="175">
                  <c:v>16.7</c:v>
                </c:pt>
                <c:pt idx="176">
                  <c:v>16</c:v>
                </c:pt>
                <c:pt idx="177">
                  <c:v>16.600000000000001</c:v>
                </c:pt>
                <c:pt idx="178">
                  <c:v>15.15</c:v>
                </c:pt>
                <c:pt idx="179">
                  <c:v>13.6</c:v>
                </c:pt>
                <c:pt idx="180">
                  <c:v>14.25</c:v>
                </c:pt>
                <c:pt idx="181">
                  <c:v>13.8</c:v>
                </c:pt>
                <c:pt idx="182">
                  <c:v>13.95</c:v>
                </c:pt>
                <c:pt idx="183">
                  <c:v>15.15</c:v>
                </c:pt>
                <c:pt idx="184">
                  <c:v>16.2</c:v>
                </c:pt>
                <c:pt idx="185">
                  <c:v>16.75</c:v>
                </c:pt>
                <c:pt idx="186">
                  <c:v>17.600000000000001</c:v>
                </c:pt>
                <c:pt idx="187">
                  <c:v>16.8</c:v>
                </c:pt>
                <c:pt idx="188">
                  <c:v>15.9</c:v>
                </c:pt>
                <c:pt idx="189">
                  <c:v>16.399999999999999</c:v>
                </c:pt>
                <c:pt idx="190">
                  <c:v>17.2</c:v>
                </c:pt>
                <c:pt idx="191">
                  <c:v>15.96</c:v>
                </c:pt>
                <c:pt idx="192">
                  <c:v>16.63</c:v>
                </c:pt>
                <c:pt idx="193">
                  <c:v>17.079999999999998</c:v>
                </c:pt>
                <c:pt idx="194">
                  <c:v>17.010000000000002</c:v>
                </c:pt>
                <c:pt idx="195">
                  <c:v>18.670000000000002</c:v>
                </c:pt>
                <c:pt idx="196">
                  <c:v>18.38</c:v>
                </c:pt>
                <c:pt idx="197">
                  <c:v>17.350000000000001</c:v>
                </c:pt>
                <c:pt idx="198">
                  <c:v>15.86</c:v>
                </c:pt>
                <c:pt idx="199">
                  <c:v>16.07</c:v>
                </c:pt>
                <c:pt idx="200">
                  <c:v>16.78</c:v>
                </c:pt>
                <c:pt idx="201">
                  <c:v>16.12</c:v>
                </c:pt>
                <c:pt idx="202">
                  <c:v>16.88</c:v>
                </c:pt>
                <c:pt idx="203">
                  <c:v>17.96</c:v>
                </c:pt>
                <c:pt idx="204">
                  <c:v>17.940000000000001</c:v>
                </c:pt>
                <c:pt idx="205">
                  <c:v>17.97</c:v>
                </c:pt>
                <c:pt idx="206">
                  <c:v>19.989999999999998</c:v>
                </c:pt>
                <c:pt idx="207">
                  <c:v>21.01</c:v>
                </c:pt>
                <c:pt idx="208">
                  <c:v>19.12</c:v>
                </c:pt>
                <c:pt idx="209">
                  <c:v>18.27</c:v>
                </c:pt>
                <c:pt idx="210">
                  <c:v>19.61</c:v>
                </c:pt>
                <c:pt idx="211">
                  <c:v>20.58</c:v>
                </c:pt>
                <c:pt idx="212">
                  <c:v>22.59</c:v>
                </c:pt>
                <c:pt idx="213">
                  <c:v>24.18</c:v>
                </c:pt>
                <c:pt idx="214">
                  <c:v>22.64</c:v>
                </c:pt>
                <c:pt idx="215">
                  <c:v>23.9</c:v>
                </c:pt>
                <c:pt idx="216">
                  <c:v>23.47</c:v>
                </c:pt>
                <c:pt idx="217">
                  <c:v>20.83</c:v>
                </c:pt>
                <c:pt idx="218">
                  <c:v>19.21</c:v>
                </c:pt>
                <c:pt idx="219">
                  <c:v>17.47</c:v>
                </c:pt>
                <c:pt idx="220">
                  <c:v>19.142499999999998</c:v>
                </c:pt>
                <c:pt idx="221">
                  <c:v>17.55</c:v>
                </c:pt>
                <c:pt idx="222">
                  <c:v>18.399999999999999</c:v>
                </c:pt>
                <c:pt idx="223">
                  <c:v>18.71</c:v>
                </c:pt>
                <c:pt idx="224">
                  <c:v>18.45</c:v>
                </c:pt>
                <c:pt idx="225">
                  <c:v>19.850000000000001</c:v>
                </c:pt>
                <c:pt idx="226">
                  <c:v>19</c:v>
                </c:pt>
                <c:pt idx="227">
                  <c:v>17</c:v>
                </c:pt>
                <c:pt idx="228">
                  <c:v>15.09</c:v>
                </c:pt>
                <c:pt idx="229">
                  <c:v>14.06</c:v>
                </c:pt>
                <c:pt idx="230">
                  <c:v>13.08</c:v>
                </c:pt>
                <c:pt idx="231">
                  <c:v>13.39</c:v>
                </c:pt>
                <c:pt idx="232">
                  <c:v>14.39</c:v>
                </c:pt>
                <c:pt idx="233">
                  <c:v>12.058</c:v>
                </c:pt>
                <c:pt idx="234">
                  <c:v>12.01</c:v>
                </c:pt>
                <c:pt idx="235">
                  <c:v>11.8805</c:v>
                </c:pt>
                <c:pt idx="236">
                  <c:v>13.36</c:v>
                </c:pt>
                <c:pt idx="237">
                  <c:v>12.56</c:v>
                </c:pt>
                <c:pt idx="238">
                  <c:v>10.92</c:v>
                </c:pt>
                <c:pt idx="239">
                  <c:v>9.8000000000000007</c:v>
                </c:pt>
                <c:pt idx="240">
                  <c:v>11.06</c:v>
                </c:pt>
                <c:pt idx="241">
                  <c:v>10.199999999999999</c:v>
                </c:pt>
                <c:pt idx="242">
                  <c:v>12.47</c:v>
                </c:pt>
                <c:pt idx="243">
                  <c:v>15.3</c:v>
                </c:pt>
                <c:pt idx="244">
                  <c:v>15.14</c:v>
                </c:pt>
                <c:pt idx="245">
                  <c:v>15.77</c:v>
                </c:pt>
                <c:pt idx="246">
                  <c:v>19.010000000000002</c:v>
                </c:pt>
                <c:pt idx="247">
                  <c:v>20.22</c:v>
                </c:pt>
                <c:pt idx="248">
                  <c:v>22.4</c:v>
                </c:pt>
                <c:pt idx="249">
                  <c:v>21.95</c:v>
                </c:pt>
                <c:pt idx="250">
                  <c:v>24.59</c:v>
                </c:pt>
                <c:pt idx="251">
                  <c:v>25.59</c:v>
                </c:pt>
                <c:pt idx="252">
                  <c:v>25.38</c:v>
                </c:pt>
                <c:pt idx="253">
                  <c:v>27.704799999999999</c:v>
                </c:pt>
                <c:pt idx="254">
                  <c:v>27.47</c:v>
                </c:pt>
                <c:pt idx="255">
                  <c:v>22.54</c:v>
                </c:pt>
                <c:pt idx="256">
                  <c:v>27.34</c:v>
                </c:pt>
                <c:pt idx="257">
                  <c:v>29.677299999999999</c:v>
                </c:pt>
                <c:pt idx="258">
                  <c:v>28.53</c:v>
                </c:pt>
                <c:pt idx="259">
                  <c:v>29.43</c:v>
                </c:pt>
                <c:pt idx="260">
                  <c:v>32.621000000000002</c:v>
                </c:pt>
                <c:pt idx="261">
                  <c:v>30.932300000000001</c:v>
                </c:pt>
                <c:pt idx="262">
                  <c:v>32.524090909090901</c:v>
                </c:pt>
                <c:pt idx="263">
                  <c:v>25.125499999999999</c:v>
                </c:pt>
                <c:pt idx="264">
                  <c:v>25.636363636363601</c:v>
                </c:pt>
                <c:pt idx="265">
                  <c:v>27.405999999999999</c:v>
                </c:pt>
                <c:pt idx="266">
                  <c:v>24.395454545454498</c:v>
                </c:pt>
                <c:pt idx="267">
                  <c:v>25.640999999999998</c:v>
                </c:pt>
                <c:pt idx="268">
                  <c:v>28.450476190476198</c:v>
                </c:pt>
                <c:pt idx="269">
                  <c:v>27.724285714285699</c:v>
                </c:pt>
                <c:pt idx="270">
                  <c:v>24.538181818181801</c:v>
                </c:pt>
                <c:pt idx="271">
                  <c:v>25.6978260869565</c:v>
                </c:pt>
                <c:pt idx="272">
                  <c:v>25.544</c:v>
                </c:pt>
                <c:pt idx="273">
                  <c:v>20.478260869565201</c:v>
                </c:pt>
                <c:pt idx="274">
                  <c:v>18.942272727272702</c:v>
                </c:pt>
                <c:pt idx="275">
                  <c:v>18.6047368421053</c:v>
                </c:pt>
                <c:pt idx="276">
                  <c:v>19.484999999999999</c:v>
                </c:pt>
                <c:pt idx="277">
                  <c:v>20.291499999999999</c:v>
                </c:pt>
                <c:pt idx="278">
                  <c:v>23.6905</c:v>
                </c:pt>
                <c:pt idx="279">
                  <c:v>25.6540909090909</c:v>
                </c:pt>
                <c:pt idx="280">
                  <c:v>25.387272727272698</c:v>
                </c:pt>
                <c:pt idx="281">
                  <c:v>24.127894736842102</c:v>
                </c:pt>
                <c:pt idx="282">
                  <c:v>25.7678260869565</c:v>
                </c:pt>
                <c:pt idx="283">
                  <c:v>26.632857142857102</c:v>
                </c:pt>
                <c:pt idx="284">
                  <c:v>28.342380952380999</c:v>
                </c:pt>
                <c:pt idx="285">
                  <c:v>27.548695652173901</c:v>
                </c:pt>
                <c:pt idx="286">
                  <c:v>24.184761904761899</c:v>
                </c:pt>
                <c:pt idx="287">
                  <c:v>28.520952380952401</c:v>
                </c:pt>
                <c:pt idx="288">
                  <c:v>31.246666666666702</c:v>
                </c:pt>
                <c:pt idx="289">
                  <c:v>32.648499999999999</c:v>
                </c:pt>
                <c:pt idx="290">
                  <c:v>30.339047619047602</c:v>
                </c:pt>
                <c:pt idx="291">
                  <c:v>25.015999999999998</c:v>
                </c:pt>
                <c:pt idx="292">
                  <c:v>25.8095</c:v>
                </c:pt>
                <c:pt idx="293">
                  <c:v>27.5457142857143</c:v>
                </c:pt>
                <c:pt idx="294">
                  <c:v>28.398260869565199</c:v>
                </c:pt>
                <c:pt idx="295">
                  <c:v>29.825714285714302</c:v>
                </c:pt>
                <c:pt idx="296">
                  <c:v>27.0981818181818</c:v>
                </c:pt>
                <c:pt idx="297">
                  <c:v>29.5904347826087</c:v>
                </c:pt>
                <c:pt idx="298">
                  <c:v>28.771999999999998</c:v>
                </c:pt>
                <c:pt idx="299">
                  <c:v>29.926666666666701</c:v>
                </c:pt>
                <c:pt idx="300">
                  <c:v>31.1752380952381</c:v>
                </c:pt>
                <c:pt idx="301">
                  <c:v>30.866</c:v>
                </c:pt>
                <c:pt idx="302">
                  <c:v>33.799130434782597</c:v>
                </c:pt>
                <c:pt idx="303">
                  <c:v>33.362272727272703</c:v>
                </c:pt>
                <c:pt idx="304">
                  <c:v>37.9163157894737</c:v>
                </c:pt>
                <c:pt idx="305">
                  <c:v>35.191363636363597</c:v>
                </c:pt>
                <c:pt idx="306">
                  <c:v>38.3704545454545</c:v>
                </c:pt>
                <c:pt idx="307">
                  <c:v>43.03</c:v>
                </c:pt>
                <c:pt idx="308">
                  <c:v>43.381363636363602</c:v>
                </c:pt>
                <c:pt idx="309">
                  <c:v>49.818095238095196</c:v>
                </c:pt>
                <c:pt idx="310">
                  <c:v>43.0536363636364</c:v>
                </c:pt>
                <c:pt idx="311">
                  <c:v>39.644285714285701</c:v>
                </c:pt>
                <c:pt idx="312">
                  <c:v>44.283333333333303</c:v>
                </c:pt>
                <c:pt idx="313">
                  <c:v>45.557000000000002</c:v>
                </c:pt>
                <c:pt idx="314">
                  <c:v>53.084090909090897</c:v>
                </c:pt>
                <c:pt idx="315">
                  <c:v>51.857142857142897</c:v>
                </c:pt>
                <c:pt idx="316">
                  <c:v>48.665909090909103</c:v>
                </c:pt>
                <c:pt idx="317">
                  <c:v>54.306818181818201</c:v>
                </c:pt>
                <c:pt idx="318">
                  <c:v>57.5790476190476</c:v>
                </c:pt>
                <c:pt idx="319">
                  <c:v>64.09</c:v>
                </c:pt>
                <c:pt idx="320">
                  <c:v>62.981818181818198</c:v>
                </c:pt>
                <c:pt idx="321">
                  <c:v>58.5219047619048</c:v>
                </c:pt>
                <c:pt idx="322">
                  <c:v>55.534999999999997</c:v>
                </c:pt>
                <c:pt idx="323">
                  <c:v>56.747500000000002</c:v>
                </c:pt>
                <c:pt idx="324">
                  <c:v>63.574285714285701</c:v>
                </c:pt>
                <c:pt idx="325">
                  <c:v>59.923000000000002</c:v>
                </c:pt>
                <c:pt idx="326">
                  <c:v>62.253043478260899</c:v>
                </c:pt>
                <c:pt idx="327">
                  <c:v>70.442105263157899</c:v>
                </c:pt>
                <c:pt idx="328">
                  <c:v>70.187272727272699</c:v>
                </c:pt>
                <c:pt idx="329">
                  <c:v>68.857727272727303</c:v>
                </c:pt>
                <c:pt idx="330">
                  <c:v>73.897142857142896</c:v>
                </c:pt>
                <c:pt idx="331">
                  <c:v>73.612173913043506</c:v>
                </c:pt>
                <c:pt idx="332">
                  <c:v>62.7719047619048</c:v>
                </c:pt>
                <c:pt idx="333">
                  <c:v>58.38</c:v>
                </c:pt>
                <c:pt idx="334">
                  <c:v>58.483181818181798</c:v>
                </c:pt>
                <c:pt idx="335">
                  <c:v>62.314736842105297</c:v>
                </c:pt>
                <c:pt idx="336">
                  <c:v>54.2990909090909</c:v>
                </c:pt>
                <c:pt idx="337">
                  <c:v>57.756999999999998</c:v>
                </c:pt>
                <c:pt idx="338">
                  <c:v>62.143636363636404</c:v>
                </c:pt>
                <c:pt idx="339">
                  <c:v>67.398421052631605</c:v>
                </c:pt>
                <c:pt idx="340">
                  <c:v>67.476086956521698</c:v>
                </c:pt>
                <c:pt idx="341">
                  <c:v>71.316190476190499</c:v>
                </c:pt>
                <c:pt idx="342">
                  <c:v>77.204090909090894</c:v>
                </c:pt>
                <c:pt idx="343">
                  <c:v>70.796521739130398</c:v>
                </c:pt>
                <c:pt idx="344">
                  <c:v>77.126999999999995</c:v>
                </c:pt>
                <c:pt idx="345">
                  <c:v>82.857826086956507</c:v>
                </c:pt>
                <c:pt idx="346">
                  <c:v>92.528181818181807</c:v>
                </c:pt>
                <c:pt idx="347">
                  <c:v>91.45</c:v>
                </c:pt>
                <c:pt idx="348">
                  <c:v>91.920454545454504</c:v>
                </c:pt>
                <c:pt idx="349">
                  <c:v>94.816666666666706</c:v>
                </c:pt>
                <c:pt idx="350">
                  <c:v>103.2775</c:v>
                </c:pt>
                <c:pt idx="351">
                  <c:v>110.187727272727</c:v>
                </c:pt>
                <c:pt idx="352">
                  <c:v>123.93619047619001</c:v>
                </c:pt>
                <c:pt idx="353">
                  <c:v>133.04857142857099</c:v>
                </c:pt>
                <c:pt idx="354">
                  <c:v>133.873043478261</c:v>
                </c:pt>
                <c:pt idx="355">
                  <c:v>113.84904761904799</c:v>
                </c:pt>
                <c:pt idx="356">
                  <c:v>99.064090909090893</c:v>
                </c:pt>
                <c:pt idx="357">
                  <c:v>72.842608695652203</c:v>
                </c:pt>
                <c:pt idx="358">
                  <c:v>53.241</c:v>
                </c:pt>
                <c:pt idx="359">
                  <c:v>41.580909090909103</c:v>
                </c:pt>
                <c:pt idx="360">
                  <c:v>44.86</c:v>
                </c:pt>
                <c:pt idx="361">
                  <c:v>43.2425</c:v>
                </c:pt>
                <c:pt idx="362">
                  <c:v>46.839090909090899</c:v>
                </c:pt>
                <c:pt idx="363">
                  <c:v>50.845238095238102</c:v>
                </c:pt>
                <c:pt idx="364">
                  <c:v>57.940952380952403</c:v>
                </c:pt>
                <c:pt idx="365">
                  <c:v>68.616818181818203</c:v>
                </c:pt>
                <c:pt idx="366">
                  <c:v>64.91</c:v>
                </c:pt>
                <c:pt idx="367">
                  <c:v>72.504761904761907</c:v>
                </c:pt>
                <c:pt idx="368">
                  <c:v>67.686818181818197</c:v>
                </c:pt>
                <c:pt idx="369">
                  <c:v>73.194090909090903</c:v>
                </c:pt>
                <c:pt idx="370">
                  <c:v>77.036666666666704</c:v>
                </c:pt>
                <c:pt idx="371">
                  <c:v>74.669545454545499</c:v>
                </c:pt>
                <c:pt idx="372">
                  <c:v>76.373000000000005</c:v>
                </c:pt>
                <c:pt idx="373">
                  <c:v>74.311999999999998</c:v>
                </c:pt>
                <c:pt idx="374">
                  <c:v>79.274782608695602</c:v>
                </c:pt>
                <c:pt idx="375">
                  <c:v>84.978571428571399</c:v>
                </c:pt>
                <c:pt idx="376">
                  <c:v>76.250952380952398</c:v>
                </c:pt>
                <c:pt idx="377">
                  <c:v>74.838181818181795</c:v>
                </c:pt>
                <c:pt idx="378">
                  <c:v>74.735454545454502</c:v>
                </c:pt>
                <c:pt idx="379">
                  <c:v>76.693181818181799</c:v>
                </c:pt>
                <c:pt idx="380">
                  <c:v>77.786818181818205</c:v>
                </c:pt>
                <c:pt idx="381">
                  <c:v>82.918095238095205</c:v>
                </c:pt>
                <c:pt idx="382">
                  <c:v>85.67</c:v>
                </c:pt>
                <c:pt idx="383">
                  <c:v>91.796521739130398</c:v>
                </c:pt>
                <c:pt idx="384">
                  <c:v>96.294285714285706</c:v>
                </c:pt>
                <c:pt idx="385">
                  <c:v>103.9555</c:v>
                </c:pt>
                <c:pt idx="386">
                  <c:v>114.44130434782601</c:v>
                </c:pt>
                <c:pt idx="387">
                  <c:v>123.07</c:v>
                </c:pt>
                <c:pt idx="388">
                  <c:v>114.458181818182</c:v>
                </c:pt>
                <c:pt idx="389">
                  <c:v>113.757727272727</c:v>
                </c:pt>
                <c:pt idx="390">
                  <c:v>116.46</c:v>
                </c:pt>
                <c:pt idx="391">
                  <c:v>110.08130434782601</c:v>
                </c:pt>
                <c:pt idx="392">
                  <c:v>110.879090909091</c:v>
                </c:pt>
                <c:pt idx="393">
                  <c:v>109.468571428571</c:v>
                </c:pt>
                <c:pt idx="394">
                  <c:v>110.504090909091</c:v>
                </c:pt>
                <c:pt idx="395">
                  <c:v>107.909047619048</c:v>
                </c:pt>
                <c:pt idx="396">
                  <c:v>111.15619047619001</c:v>
                </c:pt>
                <c:pt idx="397">
                  <c:v>119.70238095238101</c:v>
                </c:pt>
                <c:pt idx="398">
                  <c:v>124.928636363636</c:v>
                </c:pt>
                <c:pt idx="399">
                  <c:v>120.4635</c:v>
                </c:pt>
                <c:pt idx="400">
                  <c:v>110.52173913043499</c:v>
                </c:pt>
                <c:pt idx="401">
                  <c:v>95.589047619047605</c:v>
                </c:pt>
                <c:pt idx="402">
                  <c:v>103.14090909090901</c:v>
                </c:pt>
                <c:pt idx="403">
                  <c:v>113.34</c:v>
                </c:pt>
                <c:pt idx="404">
                  <c:v>113.38249999999999</c:v>
                </c:pt>
                <c:pt idx="405">
                  <c:v>111.97347826087</c:v>
                </c:pt>
                <c:pt idx="406">
                  <c:v>109.711818181818</c:v>
                </c:pt>
                <c:pt idx="407">
                  <c:v>109.6765</c:v>
                </c:pt>
                <c:pt idx="408">
                  <c:v>112.973636363636</c:v>
                </c:pt>
                <c:pt idx="409">
                  <c:v>116.51949999999999</c:v>
                </c:pt>
                <c:pt idx="410">
                  <c:v>109.24</c:v>
                </c:pt>
                <c:pt idx="411">
                  <c:v>102.875454545455</c:v>
                </c:pt>
                <c:pt idx="412">
                  <c:v>103.026956521739</c:v>
                </c:pt>
                <c:pt idx="413">
                  <c:v>103.11</c:v>
                </c:pt>
                <c:pt idx="414">
                  <c:v>107.71608695652201</c:v>
                </c:pt>
                <c:pt idx="415">
                  <c:v>110.964545454545</c:v>
                </c:pt>
                <c:pt idx="416">
                  <c:v>111.62142857142901</c:v>
                </c:pt>
                <c:pt idx="417">
                  <c:v>109.478695652174</c:v>
                </c:pt>
                <c:pt idx="418">
                  <c:v>108.07619047619001</c:v>
                </c:pt>
                <c:pt idx="419">
                  <c:v>110.67400000000001</c:v>
                </c:pt>
                <c:pt idx="420">
                  <c:v>107.42</c:v>
                </c:pt>
                <c:pt idx="421">
                  <c:v>108.81</c:v>
                </c:pt>
                <c:pt idx="422">
                  <c:v>107.4</c:v>
                </c:pt>
                <c:pt idx="423">
                  <c:v>107.79</c:v>
                </c:pt>
                <c:pt idx="424">
                  <c:v>109.68</c:v>
                </c:pt>
                <c:pt idx="425">
                  <c:v>111.87</c:v>
                </c:pt>
                <c:pt idx="426">
                  <c:v>106.98</c:v>
                </c:pt>
                <c:pt idx="427">
                  <c:v>101.92</c:v>
                </c:pt>
                <c:pt idx="428">
                  <c:v>97.34</c:v>
                </c:pt>
                <c:pt idx="429">
                  <c:v>87.27</c:v>
                </c:pt>
                <c:pt idx="430">
                  <c:v>78.44</c:v>
                </c:pt>
                <c:pt idx="431">
                  <c:v>62.33</c:v>
                </c:pt>
                <c:pt idx="432">
                  <c:v>48.07</c:v>
                </c:pt>
                <c:pt idx="433">
                  <c:v>57.93</c:v>
                </c:pt>
                <c:pt idx="434">
                  <c:v>55.79</c:v>
                </c:pt>
                <c:pt idx="435">
                  <c:v>59.39</c:v>
                </c:pt>
                <c:pt idx="436">
                  <c:v>64.56</c:v>
                </c:pt>
                <c:pt idx="437">
                  <c:v>62.34</c:v>
                </c:pt>
                <c:pt idx="438">
                  <c:v>55.87</c:v>
                </c:pt>
                <c:pt idx="439">
                  <c:v>46.99</c:v>
                </c:pt>
                <c:pt idx="440">
                  <c:v>47.24</c:v>
                </c:pt>
                <c:pt idx="441">
                  <c:v>48.12</c:v>
                </c:pt>
                <c:pt idx="442">
                  <c:v>44.42</c:v>
                </c:pt>
                <c:pt idx="443">
                  <c:v>37.72</c:v>
                </c:pt>
                <c:pt idx="444">
                  <c:v>30.8</c:v>
                </c:pt>
                <c:pt idx="445">
                  <c:v>33.200000000000003</c:v>
                </c:pt>
                <c:pt idx="446">
                  <c:v>39.07</c:v>
                </c:pt>
                <c:pt idx="447">
                  <c:v>42.25</c:v>
                </c:pt>
                <c:pt idx="448">
                  <c:v>47.13</c:v>
                </c:pt>
                <c:pt idx="449">
                  <c:v>48.48</c:v>
                </c:pt>
                <c:pt idx="450">
                  <c:v>45.07</c:v>
                </c:pt>
                <c:pt idx="451">
                  <c:v>46.14</c:v>
                </c:pt>
                <c:pt idx="452">
                  <c:v>46.19</c:v>
                </c:pt>
                <c:pt idx="453">
                  <c:v>49.73</c:v>
                </c:pt>
                <c:pt idx="454">
                  <c:v>46.44</c:v>
                </c:pt>
                <c:pt idx="455">
                  <c:v>54.07</c:v>
                </c:pt>
                <c:pt idx="456">
                  <c:v>54.89</c:v>
                </c:pt>
                <c:pt idx="457">
                  <c:v>55.49</c:v>
                </c:pt>
                <c:pt idx="458">
                  <c:v>51.97</c:v>
                </c:pt>
                <c:pt idx="459">
                  <c:v>52.98</c:v>
                </c:pt>
                <c:pt idx="460">
                  <c:v>50.87</c:v>
                </c:pt>
                <c:pt idx="461">
                  <c:v>46.89</c:v>
                </c:pt>
                <c:pt idx="462">
                  <c:v>48.69</c:v>
                </c:pt>
                <c:pt idx="463">
                  <c:v>51.37</c:v>
                </c:pt>
                <c:pt idx="464">
                  <c:v>55.16</c:v>
                </c:pt>
                <c:pt idx="465">
                  <c:v>57.62</c:v>
                </c:pt>
                <c:pt idx="466">
                  <c:v>62.57</c:v>
                </c:pt>
                <c:pt idx="467">
                  <c:v>64.209999999999994</c:v>
                </c:pt>
                <c:pt idx="468">
                  <c:v>68.989999999999995</c:v>
                </c:pt>
                <c:pt idx="469">
                  <c:v>65.42</c:v>
                </c:pt>
                <c:pt idx="470">
                  <c:v>66.45</c:v>
                </c:pt>
                <c:pt idx="471">
                  <c:v>71.63</c:v>
                </c:pt>
                <c:pt idx="472">
                  <c:v>76.650000000000006</c:v>
                </c:pt>
                <c:pt idx="473">
                  <c:v>75.19</c:v>
                </c:pt>
                <c:pt idx="474">
                  <c:v>74.44</c:v>
                </c:pt>
                <c:pt idx="475">
                  <c:v>73.13</c:v>
                </c:pt>
                <c:pt idx="476">
                  <c:v>78.86</c:v>
                </c:pt>
                <c:pt idx="477">
                  <c:v>80.47</c:v>
                </c:pt>
                <c:pt idx="478">
                  <c:v>65.17</c:v>
                </c:pt>
                <c:pt idx="479">
                  <c:v>56.46</c:v>
                </c:pt>
                <c:pt idx="480">
                  <c:v>59.27</c:v>
                </c:pt>
                <c:pt idx="481">
                  <c:v>64.13</c:v>
                </c:pt>
                <c:pt idx="482">
                  <c:v>66.41</c:v>
                </c:pt>
                <c:pt idx="483">
                  <c:v>71.2</c:v>
                </c:pt>
                <c:pt idx="484">
                  <c:v>70.53</c:v>
                </c:pt>
                <c:pt idx="485">
                  <c:v>63.3</c:v>
                </c:pt>
                <c:pt idx="486">
                  <c:v>64</c:v>
                </c:pt>
                <c:pt idx="487">
                  <c:v>59.25</c:v>
                </c:pt>
                <c:pt idx="488">
                  <c:v>62.33</c:v>
                </c:pt>
              </c:numCache>
            </c:numRef>
          </c:val>
          <c:smooth val="0"/>
          <c:extLst>
            <c:ext xmlns:c16="http://schemas.microsoft.com/office/drawing/2014/chart" uri="{C3380CC4-5D6E-409C-BE32-E72D297353CC}">
              <c16:uniqueId val="{00000000-EACC-476B-B743-CA3F93F6A48D}"/>
            </c:ext>
          </c:extLst>
        </c:ser>
        <c:ser>
          <c:idx val="1"/>
          <c:order val="1"/>
          <c:spPr>
            <a:ln w="28575" cap="rnd">
              <a:solidFill>
                <a:schemeClr val="accent5"/>
              </a:solidFill>
              <a:round/>
            </a:ln>
            <a:effectLst/>
          </c:spPr>
          <c:marker>
            <c:symbol val="none"/>
          </c:marker>
          <c:cat>
            <c:strRef>
              <c:f>[1]Sheet1!$A$2:$A$490</c:f>
              <c:strCache>
                <c:ptCount val="489"/>
                <c:pt idx="0">
                  <c:v>1979M01</c:v>
                </c:pt>
                <c:pt idx="1">
                  <c:v>1979M02</c:v>
                </c:pt>
                <c:pt idx="2">
                  <c:v>1979M03</c:v>
                </c:pt>
                <c:pt idx="3">
                  <c:v>1979M04</c:v>
                </c:pt>
                <c:pt idx="4">
                  <c:v>1979M05</c:v>
                </c:pt>
                <c:pt idx="5">
                  <c:v>1979M06</c:v>
                </c:pt>
                <c:pt idx="6">
                  <c:v>1979M07</c:v>
                </c:pt>
                <c:pt idx="7">
                  <c:v>1979M08</c:v>
                </c:pt>
                <c:pt idx="8">
                  <c:v>1979M09</c:v>
                </c:pt>
                <c:pt idx="9">
                  <c:v>1979M10</c:v>
                </c:pt>
                <c:pt idx="10">
                  <c:v>1979M11</c:v>
                </c:pt>
                <c:pt idx="11">
                  <c:v>1979M12</c:v>
                </c:pt>
                <c:pt idx="12">
                  <c:v>1980M01</c:v>
                </c:pt>
                <c:pt idx="13">
                  <c:v>1980M02</c:v>
                </c:pt>
                <c:pt idx="14">
                  <c:v>1980M03</c:v>
                </c:pt>
                <c:pt idx="15">
                  <c:v>1980M04</c:v>
                </c:pt>
                <c:pt idx="16">
                  <c:v>1980M05</c:v>
                </c:pt>
                <c:pt idx="17">
                  <c:v>1980M06</c:v>
                </c:pt>
                <c:pt idx="18">
                  <c:v>1980M07</c:v>
                </c:pt>
                <c:pt idx="19">
                  <c:v>1980M08</c:v>
                </c:pt>
                <c:pt idx="20">
                  <c:v>1980M09</c:v>
                </c:pt>
                <c:pt idx="21">
                  <c:v>1980M10</c:v>
                </c:pt>
                <c:pt idx="22">
                  <c:v>1980M11</c:v>
                </c:pt>
                <c:pt idx="23">
                  <c:v>1980M12</c:v>
                </c:pt>
                <c:pt idx="24">
                  <c:v>1981M01</c:v>
                </c:pt>
                <c:pt idx="25">
                  <c:v>1981M02</c:v>
                </c:pt>
                <c:pt idx="26">
                  <c:v>1981M03</c:v>
                </c:pt>
                <c:pt idx="27">
                  <c:v>1981M04</c:v>
                </c:pt>
                <c:pt idx="28">
                  <c:v>1981M05</c:v>
                </c:pt>
                <c:pt idx="29">
                  <c:v>1981M06</c:v>
                </c:pt>
                <c:pt idx="30">
                  <c:v>1981M07</c:v>
                </c:pt>
                <c:pt idx="31">
                  <c:v>1981M08</c:v>
                </c:pt>
                <c:pt idx="32">
                  <c:v>1981M09</c:v>
                </c:pt>
                <c:pt idx="33">
                  <c:v>1981M10</c:v>
                </c:pt>
                <c:pt idx="34">
                  <c:v>1981M11</c:v>
                </c:pt>
                <c:pt idx="35">
                  <c:v>1981M12</c:v>
                </c:pt>
                <c:pt idx="36">
                  <c:v>1982M01</c:v>
                </c:pt>
                <c:pt idx="37">
                  <c:v>1982M02</c:v>
                </c:pt>
                <c:pt idx="38">
                  <c:v>1982M03</c:v>
                </c:pt>
                <c:pt idx="39">
                  <c:v>1982M04</c:v>
                </c:pt>
                <c:pt idx="40">
                  <c:v>1982M05</c:v>
                </c:pt>
                <c:pt idx="41">
                  <c:v>1982M06</c:v>
                </c:pt>
                <c:pt idx="42">
                  <c:v>1982M07</c:v>
                </c:pt>
                <c:pt idx="43">
                  <c:v>1982M08</c:v>
                </c:pt>
                <c:pt idx="44">
                  <c:v>1982M09</c:v>
                </c:pt>
                <c:pt idx="45">
                  <c:v>1982M10</c:v>
                </c:pt>
                <c:pt idx="46">
                  <c:v>1982M11</c:v>
                </c:pt>
                <c:pt idx="47">
                  <c:v>1982M12</c:v>
                </c:pt>
                <c:pt idx="48">
                  <c:v>1983M01</c:v>
                </c:pt>
                <c:pt idx="49">
                  <c:v>1983M02</c:v>
                </c:pt>
                <c:pt idx="50">
                  <c:v>1983M03</c:v>
                </c:pt>
                <c:pt idx="51">
                  <c:v>1983M04</c:v>
                </c:pt>
                <c:pt idx="52">
                  <c:v>1983M05</c:v>
                </c:pt>
                <c:pt idx="53">
                  <c:v>1983M06</c:v>
                </c:pt>
                <c:pt idx="54">
                  <c:v>1983M07</c:v>
                </c:pt>
                <c:pt idx="55">
                  <c:v>1983M08</c:v>
                </c:pt>
                <c:pt idx="56">
                  <c:v>1983M09</c:v>
                </c:pt>
                <c:pt idx="57">
                  <c:v>1983M10</c:v>
                </c:pt>
                <c:pt idx="58">
                  <c:v>1983M11</c:v>
                </c:pt>
                <c:pt idx="59">
                  <c:v>1983M12</c:v>
                </c:pt>
                <c:pt idx="60">
                  <c:v>1984M01</c:v>
                </c:pt>
                <c:pt idx="61">
                  <c:v>1984M02</c:v>
                </c:pt>
                <c:pt idx="62">
                  <c:v>1984M03</c:v>
                </c:pt>
                <c:pt idx="63">
                  <c:v>1984M04</c:v>
                </c:pt>
                <c:pt idx="64">
                  <c:v>1984M05</c:v>
                </c:pt>
                <c:pt idx="65">
                  <c:v>1984M06</c:v>
                </c:pt>
                <c:pt idx="66">
                  <c:v>1984M07</c:v>
                </c:pt>
                <c:pt idx="67">
                  <c:v>1984M08</c:v>
                </c:pt>
                <c:pt idx="68">
                  <c:v>1984M09</c:v>
                </c:pt>
                <c:pt idx="69">
                  <c:v>1984M10</c:v>
                </c:pt>
                <c:pt idx="70">
                  <c:v>1984M11</c:v>
                </c:pt>
                <c:pt idx="71">
                  <c:v>1984M12</c:v>
                </c:pt>
                <c:pt idx="72">
                  <c:v>1985M01</c:v>
                </c:pt>
                <c:pt idx="73">
                  <c:v>1985M02</c:v>
                </c:pt>
                <c:pt idx="74">
                  <c:v>1985M03</c:v>
                </c:pt>
                <c:pt idx="75">
                  <c:v>1985M04</c:v>
                </c:pt>
                <c:pt idx="76">
                  <c:v>1985M05</c:v>
                </c:pt>
                <c:pt idx="77">
                  <c:v>1985M06</c:v>
                </c:pt>
                <c:pt idx="78">
                  <c:v>1985M07</c:v>
                </c:pt>
                <c:pt idx="79">
                  <c:v>1985M08</c:v>
                </c:pt>
                <c:pt idx="80">
                  <c:v>1985M09</c:v>
                </c:pt>
                <c:pt idx="81">
                  <c:v>1985M10</c:v>
                </c:pt>
                <c:pt idx="82">
                  <c:v>1985M11</c:v>
                </c:pt>
                <c:pt idx="83">
                  <c:v>1985M12</c:v>
                </c:pt>
                <c:pt idx="84">
                  <c:v>1986M01</c:v>
                </c:pt>
                <c:pt idx="85">
                  <c:v>1986M02</c:v>
                </c:pt>
                <c:pt idx="86">
                  <c:v>1986M03</c:v>
                </c:pt>
                <c:pt idx="87">
                  <c:v>1986M04</c:v>
                </c:pt>
                <c:pt idx="88">
                  <c:v>1986M05</c:v>
                </c:pt>
                <c:pt idx="89">
                  <c:v>1986M06</c:v>
                </c:pt>
                <c:pt idx="90">
                  <c:v>1986M07</c:v>
                </c:pt>
                <c:pt idx="91">
                  <c:v>1986M08</c:v>
                </c:pt>
                <c:pt idx="92">
                  <c:v>1986M09</c:v>
                </c:pt>
                <c:pt idx="93">
                  <c:v>1986M10</c:v>
                </c:pt>
                <c:pt idx="94">
                  <c:v>1986M11</c:v>
                </c:pt>
                <c:pt idx="95">
                  <c:v>1986M12</c:v>
                </c:pt>
                <c:pt idx="96">
                  <c:v>1987M01</c:v>
                </c:pt>
                <c:pt idx="97">
                  <c:v>1987M02</c:v>
                </c:pt>
                <c:pt idx="98">
                  <c:v>1987M03</c:v>
                </c:pt>
                <c:pt idx="99">
                  <c:v>1987M04</c:v>
                </c:pt>
                <c:pt idx="100">
                  <c:v>1987M05</c:v>
                </c:pt>
                <c:pt idx="101">
                  <c:v>1987M06</c:v>
                </c:pt>
                <c:pt idx="102">
                  <c:v>1987M07</c:v>
                </c:pt>
                <c:pt idx="103">
                  <c:v>1987M08</c:v>
                </c:pt>
                <c:pt idx="104">
                  <c:v>1987M09</c:v>
                </c:pt>
                <c:pt idx="105">
                  <c:v>1987M10</c:v>
                </c:pt>
                <c:pt idx="106">
                  <c:v>1987M11</c:v>
                </c:pt>
                <c:pt idx="107">
                  <c:v>1987M12</c:v>
                </c:pt>
                <c:pt idx="108">
                  <c:v>1988M01</c:v>
                </c:pt>
                <c:pt idx="109">
                  <c:v>1988M02</c:v>
                </c:pt>
                <c:pt idx="110">
                  <c:v>1988M03</c:v>
                </c:pt>
                <c:pt idx="111">
                  <c:v>1988M04</c:v>
                </c:pt>
                <c:pt idx="112">
                  <c:v>1988M05</c:v>
                </c:pt>
                <c:pt idx="113">
                  <c:v>1988M06</c:v>
                </c:pt>
                <c:pt idx="114">
                  <c:v>1988M07</c:v>
                </c:pt>
                <c:pt idx="115">
                  <c:v>1988M08</c:v>
                </c:pt>
                <c:pt idx="116">
                  <c:v>1988M09</c:v>
                </c:pt>
                <c:pt idx="117">
                  <c:v>1988M10</c:v>
                </c:pt>
                <c:pt idx="118">
                  <c:v>1988M11</c:v>
                </c:pt>
                <c:pt idx="119">
                  <c:v>1988M12</c:v>
                </c:pt>
                <c:pt idx="120">
                  <c:v>1989M01</c:v>
                </c:pt>
                <c:pt idx="121">
                  <c:v>1989M02</c:v>
                </c:pt>
                <c:pt idx="122">
                  <c:v>1989M03</c:v>
                </c:pt>
                <c:pt idx="123">
                  <c:v>1989M04</c:v>
                </c:pt>
                <c:pt idx="124">
                  <c:v>1989M05</c:v>
                </c:pt>
                <c:pt idx="125">
                  <c:v>1989M06</c:v>
                </c:pt>
                <c:pt idx="126">
                  <c:v>1989M07</c:v>
                </c:pt>
                <c:pt idx="127">
                  <c:v>1989M08</c:v>
                </c:pt>
                <c:pt idx="128">
                  <c:v>1989M09</c:v>
                </c:pt>
                <c:pt idx="129">
                  <c:v>1989M10</c:v>
                </c:pt>
                <c:pt idx="130">
                  <c:v>1989M11</c:v>
                </c:pt>
                <c:pt idx="131">
                  <c:v>1989M12</c:v>
                </c:pt>
                <c:pt idx="132">
                  <c:v>1990M01</c:v>
                </c:pt>
                <c:pt idx="133">
                  <c:v>1990M02</c:v>
                </c:pt>
                <c:pt idx="134">
                  <c:v>1990M03</c:v>
                </c:pt>
                <c:pt idx="135">
                  <c:v>1990M04</c:v>
                </c:pt>
                <c:pt idx="136">
                  <c:v>1990M05</c:v>
                </c:pt>
                <c:pt idx="137">
                  <c:v>1990M06</c:v>
                </c:pt>
                <c:pt idx="138">
                  <c:v>1990M07</c:v>
                </c:pt>
                <c:pt idx="139">
                  <c:v>1990M08</c:v>
                </c:pt>
                <c:pt idx="140">
                  <c:v>1990M09</c:v>
                </c:pt>
                <c:pt idx="141">
                  <c:v>1990M10</c:v>
                </c:pt>
                <c:pt idx="142">
                  <c:v>1990M11</c:v>
                </c:pt>
                <c:pt idx="143">
                  <c:v>1990M12</c:v>
                </c:pt>
                <c:pt idx="144">
                  <c:v>1991M01</c:v>
                </c:pt>
                <c:pt idx="145">
                  <c:v>1991M02</c:v>
                </c:pt>
                <c:pt idx="146">
                  <c:v>1991M03</c:v>
                </c:pt>
                <c:pt idx="147">
                  <c:v>1991M04</c:v>
                </c:pt>
                <c:pt idx="148">
                  <c:v>1991M05</c:v>
                </c:pt>
                <c:pt idx="149">
                  <c:v>1991M06</c:v>
                </c:pt>
                <c:pt idx="150">
                  <c:v>1991M07</c:v>
                </c:pt>
                <c:pt idx="151">
                  <c:v>1991M08</c:v>
                </c:pt>
                <c:pt idx="152">
                  <c:v>1991M09</c:v>
                </c:pt>
                <c:pt idx="153">
                  <c:v>1991M10</c:v>
                </c:pt>
                <c:pt idx="154">
                  <c:v>1991M11</c:v>
                </c:pt>
                <c:pt idx="155">
                  <c:v>1991M12</c:v>
                </c:pt>
                <c:pt idx="156">
                  <c:v>1992M01</c:v>
                </c:pt>
                <c:pt idx="157">
                  <c:v>1992M02</c:v>
                </c:pt>
                <c:pt idx="158">
                  <c:v>1992M03</c:v>
                </c:pt>
                <c:pt idx="159">
                  <c:v>1992M04</c:v>
                </c:pt>
                <c:pt idx="160">
                  <c:v>1992M05</c:v>
                </c:pt>
                <c:pt idx="161">
                  <c:v>1992M06</c:v>
                </c:pt>
                <c:pt idx="162">
                  <c:v>1992M07</c:v>
                </c:pt>
                <c:pt idx="163">
                  <c:v>1992M08</c:v>
                </c:pt>
                <c:pt idx="164">
                  <c:v>1992M09</c:v>
                </c:pt>
                <c:pt idx="165">
                  <c:v>1992M10</c:v>
                </c:pt>
                <c:pt idx="166">
                  <c:v>1992M11</c:v>
                </c:pt>
                <c:pt idx="167">
                  <c:v>1992M12</c:v>
                </c:pt>
                <c:pt idx="168">
                  <c:v>1993M01</c:v>
                </c:pt>
                <c:pt idx="169">
                  <c:v>1993M02</c:v>
                </c:pt>
                <c:pt idx="170">
                  <c:v>1993M03</c:v>
                </c:pt>
                <c:pt idx="171">
                  <c:v>1993M04</c:v>
                </c:pt>
                <c:pt idx="172">
                  <c:v>1993M05</c:v>
                </c:pt>
                <c:pt idx="173">
                  <c:v>1993M06</c:v>
                </c:pt>
                <c:pt idx="174">
                  <c:v>1993M07</c:v>
                </c:pt>
                <c:pt idx="175">
                  <c:v>1993M08</c:v>
                </c:pt>
                <c:pt idx="176">
                  <c:v>1993M09</c:v>
                </c:pt>
                <c:pt idx="177">
                  <c:v>1993M10</c:v>
                </c:pt>
                <c:pt idx="178">
                  <c:v>1993M11</c:v>
                </c:pt>
                <c:pt idx="179">
                  <c:v>1993M12</c:v>
                </c:pt>
                <c:pt idx="180">
                  <c:v>1994M01</c:v>
                </c:pt>
                <c:pt idx="181">
                  <c:v>1994M02</c:v>
                </c:pt>
                <c:pt idx="182">
                  <c:v>1994M03</c:v>
                </c:pt>
                <c:pt idx="183">
                  <c:v>1994M04</c:v>
                </c:pt>
                <c:pt idx="184">
                  <c:v>1994M05</c:v>
                </c:pt>
                <c:pt idx="185">
                  <c:v>1994M06</c:v>
                </c:pt>
                <c:pt idx="186">
                  <c:v>1994M07</c:v>
                </c:pt>
                <c:pt idx="187">
                  <c:v>1994M08</c:v>
                </c:pt>
                <c:pt idx="188">
                  <c:v>1994M09</c:v>
                </c:pt>
                <c:pt idx="189">
                  <c:v>1994M10</c:v>
                </c:pt>
                <c:pt idx="190">
                  <c:v>1994M11</c:v>
                </c:pt>
                <c:pt idx="191">
                  <c:v>1994M12</c:v>
                </c:pt>
                <c:pt idx="192">
                  <c:v>1995M01</c:v>
                </c:pt>
                <c:pt idx="193">
                  <c:v>1995M02</c:v>
                </c:pt>
                <c:pt idx="194">
                  <c:v>1995M03</c:v>
                </c:pt>
                <c:pt idx="195">
                  <c:v>1995M04</c:v>
                </c:pt>
                <c:pt idx="196">
                  <c:v>1995M05</c:v>
                </c:pt>
                <c:pt idx="197">
                  <c:v>1995M06</c:v>
                </c:pt>
                <c:pt idx="198">
                  <c:v>1995M07</c:v>
                </c:pt>
                <c:pt idx="199">
                  <c:v>1995M08</c:v>
                </c:pt>
                <c:pt idx="200">
                  <c:v>1995M09</c:v>
                </c:pt>
                <c:pt idx="201">
                  <c:v>1995M10</c:v>
                </c:pt>
                <c:pt idx="202">
                  <c:v>1995M11</c:v>
                </c:pt>
                <c:pt idx="203">
                  <c:v>1995M12</c:v>
                </c:pt>
                <c:pt idx="204">
                  <c:v>1996M01</c:v>
                </c:pt>
                <c:pt idx="205">
                  <c:v>1996M02</c:v>
                </c:pt>
                <c:pt idx="206">
                  <c:v>1996M03</c:v>
                </c:pt>
                <c:pt idx="207">
                  <c:v>1996M04</c:v>
                </c:pt>
                <c:pt idx="208">
                  <c:v>1996M05</c:v>
                </c:pt>
                <c:pt idx="209">
                  <c:v>1996M06</c:v>
                </c:pt>
                <c:pt idx="210">
                  <c:v>1996M07</c:v>
                </c:pt>
                <c:pt idx="211">
                  <c:v>1996M08</c:v>
                </c:pt>
                <c:pt idx="212">
                  <c:v>1996M09</c:v>
                </c:pt>
                <c:pt idx="213">
                  <c:v>1996M10</c:v>
                </c:pt>
                <c:pt idx="214">
                  <c:v>1996M11</c:v>
                </c:pt>
                <c:pt idx="215">
                  <c:v>1996M12</c:v>
                </c:pt>
                <c:pt idx="216">
                  <c:v>1997M01</c:v>
                </c:pt>
                <c:pt idx="217">
                  <c:v>1997M02</c:v>
                </c:pt>
                <c:pt idx="218">
                  <c:v>1997M03</c:v>
                </c:pt>
                <c:pt idx="219">
                  <c:v>1997M04</c:v>
                </c:pt>
                <c:pt idx="220">
                  <c:v>1997M05</c:v>
                </c:pt>
                <c:pt idx="221">
                  <c:v>1997M06</c:v>
                </c:pt>
                <c:pt idx="222">
                  <c:v>1997M07</c:v>
                </c:pt>
                <c:pt idx="223">
                  <c:v>1997M08</c:v>
                </c:pt>
                <c:pt idx="224">
                  <c:v>1997M09</c:v>
                </c:pt>
                <c:pt idx="225">
                  <c:v>1997M10</c:v>
                </c:pt>
                <c:pt idx="226">
                  <c:v>1997M11</c:v>
                </c:pt>
                <c:pt idx="227">
                  <c:v>1997M12</c:v>
                </c:pt>
                <c:pt idx="228">
                  <c:v>1998M01</c:v>
                </c:pt>
                <c:pt idx="229">
                  <c:v>1998M02</c:v>
                </c:pt>
                <c:pt idx="230">
                  <c:v>1998M03</c:v>
                </c:pt>
                <c:pt idx="231">
                  <c:v>1998M04</c:v>
                </c:pt>
                <c:pt idx="232">
                  <c:v>1998M05</c:v>
                </c:pt>
                <c:pt idx="233">
                  <c:v>1998M06</c:v>
                </c:pt>
                <c:pt idx="234">
                  <c:v>1998M07</c:v>
                </c:pt>
                <c:pt idx="235">
                  <c:v>1998M08</c:v>
                </c:pt>
                <c:pt idx="236">
                  <c:v>1998M09</c:v>
                </c:pt>
                <c:pt idx="237">
                  <c:v>1998M10</c:v>
                </c:pt>
                <c:pt idx="238">
                  <c:v>1998M11</c:v>
                </c:pt>
                <c:pt idx="239">
                  <c:v>1998M12</c:v>
                </c:pt>
                <c:pt idx="240">
                  <c:v>1999M01</c:v>
                </c:pt>
                <c:pt idx="241">
                  <c:v>1999M02</c:v>
                </c:pt>
                <c:pt idx="242">
                  <c:v>1999M03</c:v>
                </c:pt>
                <c:pt idx="243">
                  <c:v>1999M04</c:v>
                </c:pt>
                <c:pt idx="244">
                  <c:v>1999M05</c:v>
                </c:pt>
                <c:pt idx="245">
                  <c:v>1999M06</c:v>
                </c:pt>
                <c:pt idx="246">
                  <c:v>1999M07</c:v>
                </c:pt>
                <c:pt idx="247">
                  <c:v>1999M08</c:v>
                </c:pt>
                <c:pt idx="248">
                  <c:v>1999M09</c:v>
                </c:pt>
                <c:pt idx="249">
                  <c:v>1999M10</c:v>
                </c:pt>
                <c:pt idx="250">
                  <c:v>1999M11</c:v>
                </c:pt>
                <c:pt idx="251">
                  <c:v>1999M12</c:v>
                </c:pt>
                <c:pt idx="252">
                  <c:v>2000M01</c:v>
                </c:pt>
                <c:pt idx="253">
                  <c:v>2000M02</c:v>
                </c:pt>
                <c:pt idx="254">
                  <c:v>2000M03</c:v>
                </c:pt>
                <c:pt idx="255">
                  <c:v>2000M04</c:v>
                </c:pt>
                <c:pt idx="256">
                  <c:v>2000M05</c:v>
                </c:pt>
                <c:pt idx="257">
                  <c:v>2000M06</c:v>
                </c:pt>
                <c:pt idx="258">
                  <c:v>2000M07</c:v>
                </c:pt>
                <c:pt idx="259">
                  <c:v>2000M08</c:v>
                </c:pt>
                <c:pt idx="260">
                  <c:v>2000M09</c:v>
                </c:pt>
                <c:pt idx="261">
                  <c:v>2000M10</c:v>
                </c:pt>
                <c:pt idx="262">
                  <c:v>2000M11</c:v>
                </c:pt>
                <c:pt idx="263">
                  <c:v>2000M12</c:v>
                </c:pt>
                <c:pt idx="264">
                  <c:v>2001M01</c:v>
                </c:pt>
                <c:pt idx="265">
                  <c:v>2001M02</c:v>
                </c:pt>
                <c:pt idx="266">
                  <c:v>2001M03</c:v>
                </c:pt>
                <c:pt idx="267">
                  <c:v>2001M04</c:v>
                </c:pt>
                <c:pt idx="268">
                  <c:v>2001M05</c:v>
                </c:pt>
                <c:pt idx="269">
                  <c:v>2001M06</c:v>
                </c:pt>
                <c:pt idx="270">
                  <c:v>2001M07</c:v>
                </c:pt>
                <c:pt idx="271">
                  <c:v>2001M08</c:v>
                </c:pt>
                <c:pt idx="272">
                  <c:v>2001M09</c:v>
                </c:pt>
                <c:pt idx="273">
                  <c:v>2001M10</c:v>
                </c:pt>
                <c:pt idx="274">
                  <c:v>2001M11</c:v>
                </c:pt>
                <c:pt idx="275">
                  <c:v>2001M12</c:v>
                </c:pt>
                <c:pt idx="276">
                  <c:v>2002M01</c:v>
                </c:pt>
                <c:pt idx="277">
                  <c:v>2002M02</c:v>
                </c:pt>
                <c:pt idx="278">
                  <c:v>2002M03</c:v>
                </c:pt>
                <c:pt idx="279">
                  <c:v>2002M04</c:v>
                </c:pt>
                <c:pt idx="280">
                  <c:v>2002M05</c:v>
                </c:pt>
                <c:pt idx="281">
                  <c:v>2002M06</c:v>
                </c:pt>
                <c:pt idx="282">
                  <c:v>2002M07</c:v>
                </c:pt>
                <c:pt idx="283">
                  <c:v>2002M08</c:v>
                </c:pt>
                <c:pt idx="284">
                  <c:v>2002M09</c:v>
                </c:pt>
                <c:pt idx="285">
                  <c:v>2002M10</c:v>
                </c:pt>
                <c:pt idx="286">
                  <c:v>2002M11</c:v>
                </c:pt>
                <c:pt idx="287">
                  <c:v>2002M12</c:v>
                </c:pt>
                <c:pt idx="288">
                  <c:v>2003M01</c:v>
                </c:pt>
                <c:pt idx="289">
                  <c:v>2003M02</c:v>
                </c:pt>
                <c:pt idx="290">
                  <c:v>2003M03</c:v>
                </c:pt>
                <c:pt idx="291">
                  <c:v>2003M04</c:v>
                </c:pt>
                <c:pt idx="292">
                  <c:v>2003M05</c:v>
                </c:pt>
                <c:pt idx="293">
                  <c:v>2003M06</c:v>
                </c:pt>
                <c:pt idx="294">
                  <c:v>2003M07</c:v>
                </c:pt>
                <c:pt idx="295">
                  <c:v>2003M08</c:v>
                </c:pt>
                <c:pt idx="296">
                  <c:v>2003M09</c:v>
                </c:pt>
                <c:pt idx="297">
                  <c:v>2003M10</c:v>
                </c:pt>
                <c:pt idx="298">
                  <c:v>2003M11</c:v>
                </c:pt>
                <c:pt idx="299">
                  <c:v>2003M12</c:v>
                </c:pt>
                <c:pt idx="300">
                  <c:v>2004M01</c:v>
                </c:pt>
                <c:pt idx="301">
                  <c:v>2004M02</c:v>
                </c:pt>
                <c:pt idx="302">
                  <c:v>2004M03</c:v>
                </c:pt>
                <c:pt idx="303">
                  <c:v>2004M04</c:v>
                </c:pt>
                <c:pt idx="304">
                  <c:v>2004M05</c:v>
                </c:pt>
                <c:pt idx="305">
                  <c:v>2004M06</c:v>
                </c:pt>
                <c:pt idx="306">
                  <c:v>2004M07</c:v>
                </c:pt>
                <c:pt idx="307">
                  <c:v>2004M08</c:v>
                </c:pt>
                <c:pt idx="308">
                  <c:v>2004M09</c:v>
                </c:pt>
                <c:pt idx="309">
                  <c:v>2004M10</c:v>
                </c:pt>
                <c:pt idx="310">
                  <c:v>2004M11</c:v>
                </c:pt>
                <c:pt idx="311">
                  <c:v>2004M12</c:v>
                </c:pt>
                <c:pt idx="312">
                  <c:v>2005M01</c:v>
                </c:pt>
                <c:pt idx="313">
                  <c:v>2005M02</c:v>
                </c:pt>
                <c:pt idx="314">
                  <c:v>2005M03</c:v>
                </c:pt>
                <c:pt idx="315">
                  <c:v>2005M04</c:v>
                </c:pt>
                <c:pt idx="316">
                  <c:v>2005M05</c:v>
                </c:pt>
                <c:pt idx="317">
                  <c:v>2005M06</c:v>
                </c:pt>
                <c:pt idx="318">
                  <c:v>2005M07</c:v>
                </c:pt>
                <c:pt idx="319">
                  <c:v>2005M08</c:v>
                </c:pt>
                <c:pt idx="320">
                  <c:v>2005M09</c:v>
                </c:pt>
                <c:pt idx="321">
                  <c:v>2005M10</c:v>
                </c:pt>
                <c:pt idx="322">
                  <c:v>2005M11</c:v>
                </c:pt>
                <c:pt idx="323">
                  <c:v>2005M12</c:v>
                </c:pt>
                <c:pt idx="324">
                  <c:v>2006M01</c:v>
                </c:pt>
                <c:pt idx="325">
                  <c:v>2006M02</c:v>
                </c:pt>
                <c:pt idx="326">
                  <c:v>2006M03</c:v>
                </c:pt>
                <c:pt idx="327">
                  <c:v>2006M04</c:v>
                </c:pt>
                <c:pt idx="328">
                  <c:v>2006M05</c:v>
                </c:pt>
                <c:pt idx="329">
                  <c:v>2006M06</c:v>
                </c:pt>
                <c:pt idx="330">
                  <c:v>2006M07</c:v>
                </c:pt>
                <c:pt idx="331">
                  <c:v>2006M08</c:v>
                </c:pt>
                <c:pt idx="332">
                  <c:v>2006M09</c:v>
                </c:pt>
                <c:pt idx="333">
                  <c:v>2006M10</c:v>
                </c:pt>
                <c:pt idx="334">
                  <c:v>2006M11</c:v>
                </c:pt>
                <c:pt idx="335">
                  <c:v>2006M12</c:v>
                </c:pt>
                <c:pt idx="336">
                  <c:v>2007M01</c:v>
                </c:pt>
                <c:pt idx="337">
                  <c:v>2007M02</c:v>
                </c:pt>
                <c:pt idx="338">
                  <c:v>2007M03</c:v>
                </c:pt>
                <c:pt idx="339">
                  <c:v>2007M04</c:v>
                </c:pt>
                <c:pt idx="340">
                  <c:v>2007M05</c:v>
                </c:pt>
                <c:pt idx="341">
                  <c:v>2007M06</c:v>
                </c:pt>
                <c:pt idx="342">
                  <c:v>2007M07</c:v>
                </c:pt>
                <c:pt idx="343">
                  <c:v>2007M08</c:v>
                </c:pt>
                <c:pt idx="344">
                  <c:v>2007M09</c:v>
                </c:pt>
                <c:pt idx="345">
                  <c:v>2007M10</c:v>
                </c:pt>
                <c:pt idx="346">
                  <c:v>2007M11</c:v>
                </c:pt>
                <c:pt idx="347">
                  <c:v>2007M12</c:v>
                </c:pt>
                <c:pt idx="348">
                  <c:v>2008M01</c:v>
                </c:pt>
                <c:pt idx="349">
                  <c:v>2008M02</c:v>
                </c:pt>
                <c:pt idx="350">
                  <c:v>2008M03</c:v>
                </c:pt>
                <c:pt idx="351">
                  <c:v>2008M04</c:v>
                </c:pt>
                <c:pt idx="352">
                  <c:v>2008M05</c:v>
                </c:pt>
                <c:pt idx="353">
                  <c:v>2008M06</c:v>
                </c:pt>
                <c:pt idx="354">
                  <c:v>2008M07</c:v>
                </c:pt>
                <c:pt idx="355">
                  <c:v>2008M08</c:v>
                </c:pt>
                <c:pt idx="356">
                  <c:v>2008M09</c:v>
                </c:pt>
                <c:pt idx="357">
                  <c:v>2008M10</c:v>
                </c:pt>
                <c:pt idx="358">
                  <c:v>2008M11</c:v>
                </c:pt>
                <c:pt idx="359">
                  <c:v>2008M12</c:v>
                </c:pt>
                <c:pt idx="360">
                  <c:v>2009M01</c:v>
                </c:pt>
                <c:pt idx="361">
                  <c:v>2009M02</c:v>
                </c:pt>
                <c:pt idx="362">
                  <c:v>2009M03</c:v>
                </c:pt>
                <c:pt idx="363">
                  <c:v>2009M04</c:v>
                </c:pt>
                <c:pt idx="364">
                  <c:v>2009M05</c:v>
                </c:pt>
                <c:pt idx="365">
                  <c:v>2009M06</c:v>
                </c:pt>
                <c:pt idx="366">
                  <c:v>2009M07</c:v>
                </c:pt>
                <c:pt idx="367">
                  <c:v>2009M08</c:v>
                </c:pt>
                <c:pt idx="368">
                  <c:v>2009M09</c:v>
                </c:pt>
                <c:pt idx="369">
                  <c:v>2009M10</c:v>
                </c:pt>
                <c:pt idx="370">
                  <c:v>2009M11</c:v>
                </c:pt>
                <c:pt idx="371">
                  <c:v>2009M12</c:v>
                </c:pt>
                <c:pt idx="372">
                  <c:v>2010M01</c:v>
                </c:pt>
                <c:pt idx="373">
                  <c:v>2010M02</c:v>
                </c:pt>
                <c:pt idx="374">
                  <c:v>2010M03</c:v>
                </c:pt>
                <c:pt idx="375">
                  <c:v>2010M04</c:v>
                </c:pt>
                <c:pt idx="376">
                  <c:v>2010M05</c:v>
                </c:pt>
                <c:pt idx="377">
                  <c:v>2010M06</c:v>
                </c:pt>
                <c:pt idx="378">
                  <c:v>2010M07</c:v>
                </c:pt>
                <c:pt idx="379">
                  <c:v>2010M08</c:v>
                </c:pt>
                <c:pt idx="380">
                  <c:v>2010M09</c:v>
                </c:pt>
                <c:pt idx="381">
                  <c:v>2010M10</c:v>
                </c:pt>
                <c:pt idx="382">
                  <c:v>2010M11</c:v>
                </c:pt>
                <c:pt idx="383">
                  <c:v>2010M12</c:v>
                </c:pt>
                <c:pt idx="384">
                  <c:v>2011M01</c:v>
                </c:pt>
                <c:pt idx="385">
                  <c:v>2011M02</c:v>
                </c:pt>
                <c:pt idx="386">
                  <c:v>2011M03</c:v>
                </c:pt>
                <c:pt idx="387">
                  <c:v>2011M04</c:v>
                </c:pt>
                <c:pt idx="388">
                  <c:v>2011M05</c:v>
                </c:pt>
                <c:pt idx="389">
                  <c:v>2011M06</c:v>
                </c:pt>
                <c:pt idx="390">
                  <c:v>2011M07</c:v>
                </c:pt>
                <c:pt idx="391">
                  <c:v>2011M08</c:v>
                </c:pt>
                <c:pt idx="392">
                  <c:v>2011M09</c:v>
                </c:pt>
                <c:pt idx="393">
                  <c:v>2011M10</c:v>
                </c:pt>
                <c:pt idx="394">
                  <c:v>2011M11</c:v>
                </c:pt>
                <c:pt idx="395">
                  <c:v>2011M12</c:v>
                </c:pt>
                <c:pt idx="396">
                  <c:v>2012M01</c:v>
                </c:pt>
                <c:pt idx="397">
                  <c:v>2012M02</c:v>
                </c:pt>
                <c:pt idx="398">
                  <c:v>2012M03</c:v>
                </c:pt>
                <c:pt idx="399">
                  <c:v>2012M04</c:v>
                </c:pt>
                <c:pt idx="400">
                  <c:v>2012M05</c:v>
                </c:pt>
                <c:pt idx="401">
                  <c:v>2012M06</c:v>
                </c:pt>
                <c:pt idx="402">
                  <c:v>2012M07</c:v>
                </c:pt>
                <c:pt idx="403">
                  <c:v>2012M08</c:v>
                </c:pt>
                <c:pt idx="404">
                  <c:v>2012M09</c:v>
                </c:pt>
                <c:pt idx="405">
                  <c:v>2012M10</c:v>
                </c:pt>
                <c:pt idx="406">
                  <c:v>2012M11</c:v>
                </c:pt>
                <c:pt idx="407">
                  <c:v>2012M12</c:v>
                </c:pt>
                <c:pt idx="408">
                  <c:v>2013M01</c:v>
                </c:pt>
                <c:pt idx="409">
                  <c:v>2013M02</c:v>
                </c:pt>
                <c:pt idx="410">
                  <c:v>2013M03</c:v>
                </c:pt>
                <c:pt idx="411">
                  <c:v>2013M04</c:v>
                </c:pt>
                <c:pt idx="412">
                  <c:v>2013M05</c:v>
                </c:pt>
                <c:pt idx="413">
                  <c:v>2013M06</c:v>
                </c:pt>
                <c:pt idx="414">
                  <c:v>2013M07</c:v>
                </c:pt>
                <c:pt idx="415">
                  <c:v>2013M08</c:v>
                </c:pt>
                <c:pt idx="416">
                  <c:v>2013M09</c:v>
                </c:pt>
                <c:pt idx="417">
                  <c:v>2013M10</c:v>
                </c:pt>
                <c:pt idx="418">
                  <c:v>2013M11</c:v>
                </c:pt>
                <c:pt idx="419">
                  <c:v>2013M12</c:v>
                </c:pt>
                <c:pt idx="420">
                  <c:v>2014M01</c:v>
                </c:pt>
                <c:pt idx="421">
                  <c:v>2014M02</c:v>
                </c:pt>
                <c:pt idx="422">
                  <c:v>2014M03</c:v>
                </c:pt>
                <c:pt idx="423">
                  <c:v>2014M04</c:v>
                </c:pt>
                <c:pt idx="424">
                  <c:v>2014M05</c:v>
                </c:pt>
                <c:pt idx="425">
                  <c:v>2014M06</c:v>
                </c:pt>
                <c:pt idx="426">
                  <c:v>2014M07</c:v>
                </c:pt>
                <c:pt idx="427">
                  <c:v>2014M08</c:v>
                </c:pt>
                <c:pt idx="428">
                  <c:v>2014M09</c:v>
                </c:pt>
                <c:pt idx="429">
                  <c:v>2014M10</c:v>
                </c:pt>
                <c:pt idx="430">
                  <c:v>2014M11</c:v>
                </c:pt>
                <c:pt idx="431">
                  <c:v>2014M12</c:v>
                </c:pt>
                <c:pt idx="432">
                  <c:v>2015M01</c:v>
                </c:pt>
                <c:pt idx="433">
                  <c:v>2015M02</c:v>
                </c:pt>
                <c:pt idx="434">
                  <c:v>2015M03</c:v>
                </c:pt>
                <c:pt idx="435">
                  <c:v>2015M04</c:v>
                </c:pt>
                <c:pt idx="436">
                  <c:v>2015M05</c:v>
                </c:pt>
                <c:pt idx="437">
                  <c:v>2015M06</c:v>
                </c:pt>
                <c:pt idx="438">
                  <c:v>2015M07</c:v>
                </c:pt>
                <c:pt idx="439">
                  <c:v>2015M08</c:v>
                </c:pt>
                <c:pt idx="440">
                  <c:v>2015M09</c:v>
                </c:pt>
                <c:pt idx="441">
                  <c:v>2015M10</c:v>
                </c:pt>
                <c:pt idx="442">
                  <c:v>2015M11</c:v>
                </c:pt>
                <c:pt idx="443">
                  <c:v>2015M12</c:v>
                </c:pt>
                <c:pt idx="444">
                  <c:v>2016M01</c:v>
                </c:pt>
                <c:pt idx="445">
                  <c:v>2016M02</c:v>
                </c:pt>
                <c:pt idx="446">
                  <c:v>2016M03</c:v>
                </c:pt>
                <c:pt idx="447">
                  <c:v>2016M04</c:v>
                </c:pt>
                <c:pt idx="448">
                  <c:v>2016M05</c:v>
                </c:pt>
                <c:pt idx="449">
                  <c:v>2016M06</c:v>
                </c:pt>
                <c:pt idx="450">
                  <c:v>2016M07</c:v>
                </c:pt>
                <c:pt idx="451">
                  <c:v>2016M08</c:v>
                </c:pt>
                <c:pt idx="452">
                  <c:v>2016M09</c:v>
                </c:pt>
                <c:pt idx="453">
                  <c:v>2016M10</c:v>
                </c:pt>
                <c:pt idx="454">
                  <c:v>2016M11</c:v>
                </c:pt>
                <c:pt idx="455">
                  <c:v>2016M12</c:v>
                </c:pt>
                <c:pt idx="456">
                  <c:v>2017M01</c:v>
                </c:pt>
                <c:pt idx="457">
                  <c:v>2017M02</c:v>
                </c:pt>
                <c:pt idx="458">
                  <c:v>2017M03</c:v>
                </c:pt>
                <c:pt idx="459">
                  <c:v>2017M04</c:v>
                </c:pt>
                <c:pt idx="460">
                  <c:v>2017M05</c:v>
                </c:pt>
                <c:pt idx="461">
                  <c:v>2017M06</c:v>
                </c:pt>
                <c:pt idx="462">
                  <c:v>2017M07</c:v>
                </c:pt>
                <c:pt idx="463">
                  <c:v>2017M08</c:v>
                </c:pt>
                <c:pt idx="464">
                  <c:v>2017M09</c:v>
                </c:pt>
                <c:pt idx="465">
                  <c:v>2017M10</c:v>
                </c:pt>
                <c:pt idx="466">
                  <c:v>2017M11</c:v>
                </c:pt>
                <c:pt idx="467">
                  <c:v>2017M12</c:v>
                </c:pt>
                <c:pt idx="468">
                  <c:v>2018M01</c:v>
                </c:pt>
                <c:pt idx="469">
                  <c:v>2018M02</c:v>
                </c:pt>
                <c:pt idx="470">
                  <c:v>2018M03</c:v>
                </c:pt>
                <c:pt idx="471">
                  <c:v>2018M04</c:v>
                </c:pt>
                <c:pt idx="472">
                  <c:v>2018M05</c:v>
                </c:pt>
                <c:pt idx="473">
                  <c:v>2018M06</c:v>
                </c:pt>
                <c:pt idx="474">
                  <c:v>2018M07</c:v>
                </c:pt>
                <c:pt idx="475">
                  <c:v>2018M08</c:v>
                </c:pt>
                <c:pt idx="476">
                  <c:v>2018M09</c:v>
                </c:pt>
                <c:pt idx="477">
                  <c:v>2018M10</c:v>
                </c:pt>
                <c:pt idx="478">
                  <c:v>2018M11</c:v>
                </c:pt>
                <c:pt idx="479">
                  <c:v>2018M12</c:v>
                </c:pt>
                <c:pt idx="480">
                  <c:v>2019M01</c:v>
                </c:pt>
                <c:pt idx="481">
                  <c:v>2019M02</c:v>
                </c:pt>
                <c:pt idx="482">
                  <c:v>2019M03</c:v>
                </c:pt>
                <c:pt idx="483">
                  <c:v>2019M04</c:v>
                </c:pt>
                <c:pt idx="484">
                  <c:v>2019M05</c:v>
                </c:pt>
                <c:pt idx="485">
                  <c:v>2019M06</c:v>
                </c:pt>
                <c:pt idx="486">
                  <c:v>2019M07</c:v>
                </c:pt>
                <c:pt idx="487">
                  <c:v>2019M08</c:v>
                </c:pt>
                <c:pt idx="488">
                  <c:v>2019M09</c:v>
                </c:pt>
              </c:strCache>
            </c:strRef>
          </c:cat>
          <c:val>
            <c:numRef>
              <c:f>[1]Sheet1!$C$2:$C$490</c:f>
              <c:numCache>
                <c:formatCode>General</c:formatCode>
                <c:ptCount val="48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10</c:v>
                </c:pt>
                <c:pt idx="112">
                  <c:v>10</c:v>
                </c:pt>
                <c:pt idx="113">
                  <c:v>10</c:v>
                </c:pt>
                <c:pt idx="114">
                  <c:v>10</c:v>
                </c:pt>
                <c:pt idx="115">
                  <c:v>10</c:v>
                </c:pt>
                <c:pt idx="116">
                  <c:v>10</c:v>
                </c:pt>
                <c:pt idx="117">
                  <c:v>10</c:v>
                </c:pt>
                <c:pt idx="118">
                  <c:v>10</c:v>
                </c:pt>
                <c:pt idx="119">
                  <c:v>10</c:v>
                </c:pt>
                <c:pt idx="120">
                  <c:v>10</c:v>
                </c:pt>
                <c:pt idx="121">
                  <c:v>10</c:v>
                </c:pt>
                <c:pt idx="122">
                  <c:v>10</c:v>
                </c:pt>
                <c:pt idx="123">
                  <c:v>10</c:v>
                </c:pt>
                <c:pt idx="124">
                  <c:v>10</c:v>
                </c:pt>
                <c:pt idx="125">
                  <c:v>10</c:v>
                </c:pt>
                <c:pt idx="126">
                  <c:v>10</c:v>
                </c:pt>
                <c:pt idx="127">
                  <c:v>10</c:v>
                </c:pt>
                <c:pt idx="128">
                  <c:v>10</c:v>
                </c:pt>
                <c:pt idx="129">
                  <c:v>10</c:v>
                </c:pt>
                <c:pt idx="130">
                  <c:v>10</c:v>
                </c:pt>
                <c:pt idx="131">
                  <c:v>10</c:v>
                </c:pt>
                <c:pt idx="132">
                  <c:v>10</c:v>
                </c:pt>
                <c:pt idx="133">
                  <c:v>10</c:v>
                </c:pt>
                <c:pt idx="134">
                  <c:v>10</c:v>
                </c:pt>
                <c:pt idx="135">
                  <c:v>10</c:v>
                </c:pt>
                <c:pt idx="136">
                  <c:v>10</c:v>
                </c:pt>
                <c:pt idx="137">
                  <c:v>10</c:v>
                </c:pt>
                <c:pt idx="138">
                  <c:v>10</c:v>
                </c:pt>
                <c:pt idx="139">
                  <c:v>10</c:v>
                </c:pt>
                <c:pt idx="140">
                  <c:v>10</c:v>
                </c:pt>
                <c:pt idx="141">
                  <c:v>10</c:v>
                </c:pt>
                <c:pt idx="142">
                  <c:v>10</c:v>
                </c:pt>
                <c:pt idx="143">
                  <c:v>10</c:v>
                </c:pt>
                <c:pt idx="144">
                  <c:v>10</c:v>
                </c:pt>
                <c:pt idx="145">
                  <c:v>10</c:v>
                </c:pt>
                <c:pt idx="146">
                  <c:v>10</c:v>
                </c:pt>
                <c:pt idx="147">
                  <c:v>10</c:v>
                </c:pt>
                <c:pt idx="148">
                  <c:v>10</c:v>
                </c:pt>
                <c:pt idx="149">
                  <c:v>10</c:v>
                </c:pt>
                <c:pt idx="150">
                  <c:v>10</c:v>
                </c:pt>
                <c:pt idx="151">
                  <c:v>10</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166">
                  <c:v>10</c:v>
                </c:pt>
                <c:pt idx="167">
                  <c:v>10</c:v>
                </c:pt>
                <c:pt idx="168">
                  <c:v>10</c:v>
                </c:pt>
                <c:pt idx="169">
                  <c:v>10</c:v>
                </c:pt>
                <c:pt idx="170">
                  <c:v>10</c:v>
                </c:pt>
                <c:pt idx="171">
                  <c:v>10</c:v>
                </c:pt>
                <c:pt idx="172">
                  <c:v>10</c:v>
                </c:pt>
                <c:pt idx="173">
                  <c:v>10</c:v>
                </c:pt>
                <c:pt idx="174">
                  <c:v>10</c:v>
                </c:pt>
                <c:pt idx="175">
                  <c:v>10</c:v>
                </c:pt>
                <c:pt idx="176">
                  <c:v>10</c:v>
                </c:pt>
                <c:pt idx="177">
                  <c:v>10</c:v>
                </c:pt>
                <c:pt idx="178">
                  <c:v>10</c:v>
                </c:pt>
                <c:pt idx="179">
                  <c:v>10</c:v>
                </c:pt>
                <c:pt idx="180">
                  <c:v>10</c:v>
                </c:pt>
                <c:pt idx="181">
                  <c:v>10</c:v>
                </c:pt>
                <c:pt idx="182">
                  <c:v>10</c:v>
                </c:pt>
                <c:pt idx="183">
                  <c:v>10</c:v>
                </c:pt>
                <c:pt idx="184">
                  <c:v>10</c:v>
                </c:pt>
                <c:pt idx="185">
                  <c:v>10</c:v>
                </c:pt>
                <c:pt idx="186">
                  <c:v>10</c:v>
                </c:pt>
                <c:pt idx="187">
                  <c:v>10</c:v>
                </c:pt>
                <c:pt idx="188">
                  <c:v>10</c:v>
                </c:pt>
                <c:pt idx="189">
                  <c:v>10</c:v>
                </c:pt>
                <c:pt idx="190">
                  <c:v>10</c:v>
                </c:pt>
                <c:pt idx="191">
                  <c:v>10</c:v>
                </c:pt>
                <c:pt idx="192">
                  <c:v>10</c:v>
                </c:pt>
                <c:pt idx="193">
                  <c:v>10</c:v>
                </c:pt>
                <c:pt idx="194">
                  <c:v>10</c:v>
                </c:pt>
                <c:pt idx="195">
                  <c:v>10</c:v>
                </c:pt>
                <c:pt idx="196">
                  <c:v>10</c:v>
                </c:pt>
                <c:pt idx="197">
                  <c:v>10</c:v>
                </c:pt>
                <c:pt idx="198">
                  <c:v>10</c:v>
                </c:pt>
                <c:pt idx="199">
                  <c:v>10</c:v>
                </c:pt>
                <c:pt idx="200">
                  <c:v>10</c:v>
                </c:pt>
                <c:pt idx="201">
                  <c:v>10</c:v>
                </c:pt>
                <c:pt idx="202">
                  <c:v>10</c:v>
                </c:pt>
                <c:pt idx="203">
                  <c:v>10</c:v>
                </c:pt>
                <c:pt idx="204">
                  <c:v>10</c:v>
                </c:pt>
                <c:pt idx="205">
                  <c:v>10</c:v>
                </c:pt>
                <c:pt idx="206">
                  <c:v>10</c:v>
                </c:pt>
                <c:pt idx="207">
                  <c:v>10</c:v>
                </c:pt>
                <c:pt idx="208">
                  <c:v>10</c:v>
                </c:pt>
                <c:pt idx="209">
                  <c:v>10</c:v>
                </c:pt>
                <c:pt idx="210">
                  <c:v>10</c:v>
                </c:pt>
                <c:pt idx="211">
                  <c:v>10</c:v>
                </c:pt>
                <c:pt idx="212">
                  <c:v>10</c:v>
                </c:pt>
                <c:pt idx="213">
                  <c:v>10</c:v>
                </c:pt>
                <c:pt idx="214">
                  <c:v>10</c:v>
                </c:pt>
                <c:pt idx="215">
                  <c:v>10</c:v>
                </c:pt>
                <c:pt idx="216">
                  <c:v>10</c:v>
                </c:pt>
                <c:pt idx="217">
                  <c:v>10</c:v>
                </c:pt>
                <c:pt idx="218">
                  <c:v>10</c:v>
                </c:pt>
                <c:pt idx="219">
                  <c:v>10</c:v>
                </c:pt>
                <c:pt idx="220">
                  <c:v>10</c:v>
                </c:pt>
                <c:pt idx="221">
                  <c:v>10</c:v>
                </c:pt>
                <c:pt idx="222">
                  <c:v>10</c:v>
                </c:pt>
                <c:pt idx="223">
                  <c:v>10</c:v>
                </c:pt>
                <c:pt idx="224">
                  <c:v>10</c:v>
                </c:pt>
                <c:pt idx="225">
                  <c:v>10</c:v>
                </c:pt>
                <c:pt idx="226">
                  <c:v>10</c:v>
                </c:pt>
                <c:pt idx="227">
                  <c:v>10</c:v>
                </c:pt>
                <c:pt idx="228">
                  <c:v>10</c:v>
                </c:pt>
                <c:pt idx="229">
                  <c:v>10</c:v>
                </c:pt>
                <c:pt idx="230">
                  <c:v>10</c:v>
                </c:pt>
                <c:pt idx="231">
                  <c:v>10</c:v>
                </c:pt>
                <c:pt idx="232">
                  <c:v>10</c:v>
                </c:pt>
                <c:pt idx="233">
                  <c:v>10</c:v>
                </c:pt>
                <c:pt idx="234">
                  <c:v>10</c:v>
                </c:pt>
                <c:pt idx="235">
                  <c:v>10</c:v>
                </c:pt>
                <c:pt idx="236">
                  <c:v>10</c:v>
                </c:pt>
                <c:pt idx="237">
                  <c:v>10</c:v>
                </c:pt>
                <c:pt idx="238">
                  <c:v>10</c:v>
                </c:pt>
                <c:pt idx="239">
                  <c:v>10</c:v>
                </c:pt>
                <c:pt idx="240">
                  <c:v>10</c:v>
                </c:pt>
                <c:pt idx="241">
                  <c:v>10</c:v>
                </c:pt>
                <c:pt idx="242">
                  <c:v>10</c:v>
                </c:pt>
                <c:pt idx="243">
                  <c:v>10</c:v>
                </c:pt>
                <c:pt idx="244">
                  <c:v>10</c:v>
                </c:pt>
                <c:pt idx="245">
                  <c:v>10</c:v>
                </c:pt>
                <c:pt idx="246">
                  <c:v>10</c:v>
                </c:pt>
                <c:pt idx="247">
                  <c:v>10</c:v>
                </c:pt>
                <c:pt idx="248">
                  <c:v>10</c:v>
                </c:pt>
                <c:pt idx="249">
                  <c:v>10</c:v>
                </c:pt>
                <c:pt idx="250">
                  <c:v>10</c:v>
                </c:pt>
                <c:pt idx="251">
                  <c:v>10</c:v>
                </c:pt>
                <c:pt idx="252">
                  <c:v>10</c:v>
                </c:pt>
                <c:pt idx="253">
                  <c:v>10</c:v>
                </c:pt>
                <c:pt idx="254">
                  <c:v>10</c:v>
                </c:pt>
                <c:pt idx="255">
                  <c:v>10</c:v>
                </c:pt>
                <c:pt idx="256">
                  <c:v>10</c:v>
                </c:pt>
                <c:pt idx="257">
                  <c:v>10</c:v>
                </c:pt>
                <c:pt idx="258">
                  <c:v>10</c:v>
                </c:pt>
                <c:pt idx="259">
                  <c:v>10</c:v>
                </c:pt>
                <c:pt idx="260">
                  <c:v>10</c:v>
                </c:pt>
                <c:pt idx="261">
                  <c:v>10</c:v>
                </c:pt>
                <c:pt idx="262">
                  <c:v>10</c:v>
                </c:pt>
                <c:pt idx="263">
                  <c:v>10</c:v>
                </c:pt>
                <c:pt idx="264">
                  <c:v>10</c:v>
                </c:pt>
                <c:pt idx="265">
                  <c:v>10</c:v>
                </c:pt>
                <c:pt idx="266">
                  <c:v>10</c:v>
                </c:pt>
                <c:pt idx="267">
                  <c:v>10</c:v>
                </c:pt>
                <c:pt idx="268">
                  <c:v>10</c:v>
                </c:pt>
                <c:pt idx="269">
                  <c:v>10</c:v>
                </c:pt>
                <c:pt idx="270">
                  <c:v>10</c:v>
                </c:pt>
                <c:pt idx="271">
                  <c:v>10</c:v>
                </c:pt>
                <c:pt idx="272">
                  <c:v>10</c:v>
                </c:pt>
                <c:pt idx="273">
                  <c:v>10</c:v>
                </c:pt>
                <c:pt idx="274">
                  <c:v>10</c:v>
                </c:pt>
                <c:pt idx="275">
                  <c:v>10</c:v>
                </c:pt>
                <c:pt idx="276">
                  <c:v>10</c:v>
                </c:pt>
                <c:pt idx="277">
                  <c:v>10</c:v>
                </c:pt>
                <c:pt idx="278">
                  <c:v>10</c:v>
                </c:pt>
                <c:pt idx="279">
                  <c:v>10</c:v>
                </c:pt>
                <c:pt idx="280">
                  <c:v>10</c:v>
                </c:pt>
                <c:pt idx="281">
                  <c:v>10</c:v>
                </c:pt>
                <c:pt idx="282">
                  <c:v>10</c:v>
                </c:pt>
                <c:pt idx="283">
                  <c:v>10</c:v>
                </c:pt>
                <c:pt idx="284">
                  <c:v>10</c:v>
                </c:pt>
                <c:pt idx="285">
                  <c:v>10</c:v>
                </c:pt>
                <c:pt idx="286">
                  <c:v>10</c:v>
                </c:pt>
                <c:pt idx="287">
                  <c:v>10</c:v>
                </c:pt>
                <c:pt idx="288">
                  <c:v>10</c:v>
                </c:pt>
                <c:pt idx="289">
                  <c:v>10</c:v>
                </c:pt>
                <c:pt idx="290">
                  <c:v>10</c:v>
                </c:pt>
                <c:pt idx="291">
                  <c:v>10</c:v>
                </c:pt>
                <c:pt idx="292">
                  <c:v>10</c:v>
                </c:pt>
                <c:pt idx="293">
                  <c:v>10</c:v>
                </c:pt>
                <c:pt idx="294">
                  <c:v>10</c:v>
                </c:pt>
                <c:pt idx="295">
                  <c:v>10</c:v>
                </c:pt>
                <c:pt idx="296">
                  <c:v>10</c:v>
                </c:pt>
                <c:pt idx="297">
                  <c:v>10</c:v>
                </c:pt>
                <c:pt idx="298">
                  <c:v>10</c:v>
                </c:pt>
                <c:pt idx="299">
                  <c:v>10</c:v>
                </c:pt>
                <c:pt idx="300">
                  <c:v>10</c:v>
                </c:pt>
                <c:pt idx="301">
                  <c:v>10</c:v>
                </c:pt>
                <c:pt idx="302">
                  <c:v>10</c:v>
                </c:pt>
                <c:pt idx="303">
                  <c:v>10</c:v>
                </c:pt>
                <c:pt idx="304">
                  <c:v>10</c:v>
                </c:pt>
                <c:pt idx="305">
                  <c:v>10</c:v>
                </c:pt>
                <c:pt idx="306">
                  <c:v>10</c:v>
                </c:pt>
                <c:pt idx="307">
                  <c:v>10</c:v>
                </c:pt>
                <c:pt idx="308">
                  <c:v>10</c:v>
                </c:pt>
                <c:pt idx="309">
                  <c:v>10</c:v>
                </c:pt>
                <c:pt idx="310">
                  <c:v>10</c:v>
                </c:pt>
                <c:pt idx="311">
                  <c:v>10</c:v>
                </c:pt>
                <c:pt idx="312">
                  <c:v>10</c:v>
                </c:pt>
                <c:pt idx="313">
                  <c:v>10</c:v>
                </c:pt>
                <c:pt idx="314">
                  <c:v>10</c:v>
                </c:pt>
                <c:pt idx="315">
                  <c:v>10</c:v>
                </c:pt>
                <c:pt idx="316">
                  <c:v>10</c:v>
                </c:pt>
                <c:pt idx="317">
                  <c:v>10</c:v>
                </c:pt>
                <c:pt idx="318">
                  <c:v>10</c:v>
                </c:pt>
                <c:pt idx="319">
                  <c:v>10</c:v>
                </c:pt>
                <c:pt idx="320">
                  <c:v>10</c:v>
                </c:pt>
                <c:pt idx="321">
                  <c:v>10</c:v>
                </c:pt>
                <c:pt idx="322">
                  <c:v>10</c:v>
                </c:pt>
                <c:pt idx="323">
                  <c:v>10</c:v>
                </c:pt>
                <c:pt idx="324">
                  <c:v>10</c:v>
                </c:pt>
                <c:pt idx="325">
                  <c:v>10</c:v>
                </c:pt>
                <c:pt idx="326">
                  <c:v>10</c:v>
                </c:pt>
                <c:pt idx="327">
                  <c:v>10</c:v>
                </c:pt>
                <c:pt idx="328">
                  <c:v>10</c:v>
                </c:pt>
                <c:pt idx="329">
                  <c:v>10</c:v>
                </c:pt>
                <c:pt idx="330">
                  <c:v>10</c:v>
                </c:pt>
                <c:pt idx="331">
                  <c:v>10</c:v>
                </c:pt>
                <c:pt idx="332">
                  <c:v>10</c:v>
                </c:pt>
                <c:pt idx="333">
                  <c:v>10</c:v>
                </c:pt>
                <c:pt idx="334">
                  <c:v>10</c:v>
                </c:pt>
                <c:pt idx="335">
                  <c:v>10</c:v>
                </c:pt>
                <c:pt idx="336">
                  <c:v>10</c:v>
                </c:pt>
                <c:pt idx="337">
                  <c:v>10</c:v>
                </c:pt>
                <c:pt idx="338">
                  <c:v>10</c:v>
                </c:pt>
                <c:pt idx="339">
                  <c:v>10</c:v>
                </c:pt>
                <c:pt idx="340">
                  <c:v>10</c:v>
                </c:pt>
                <c:pt idx="341">
                  <c:v>10</c:v>
                </c:pt>
                <c:pt idx="342">
                  <c:v>10</c:v>
                </c:pt>
                <c:pt idx="343">
                  <c:v>10</c:v>
                </c:pt>
                <c:pt idx="344">
                  <c:v>10</c:v>
                </c:pt>
                <c:pt idx="345">
                  <c:v>10</c:v>
                </c:pt>
                <c:pt idx="346">
                  <c:v>10</c:v>
                </c:pt>
                <c:pt idx="347">
                  <c:v>10</c:v>
                </c:pt>
                <c:pt idx="348">
                  <c:v>10</c:v>
                </c:pt>
                <c:pt idx="349">
                  <c:v>10</c:v>
                </c:pt>
                <c:pt idx="350">
                  <c:v>10</c:v>
                </c:pt>
                <c:pt idx="351">
                  <c:v>10</c:v>
                </c:pt>
                <c:pt idx="352">
                  <c:v>10</c:v>
                </c:pt>
                <c:pt idx="353">
                  <c:v>10</c:v>
                </c:pt>
                <c:pt idx="354">
                  <c:v>10</c:v>
                </c:pt>
                <c:pt idx="355">
                  <c:v>10</c:v>
                </c:pt>
                <c:pt idx="356">
                  <c:v>10</c:v>
                </c:pt>
                <c:pt idx="357">
                  <c:v>10</c:v>
                </c:pt>
                <c:pt idx="358">
                  <c:v>10</c:v>
                </c:pt>
                <c:pt idx="359">
                  <c:v>10</c:v>
                </c:pt>
                <c:pt idx="360">
                  <c:v>10</c:v>
                </c:pt>
                <c:pt idx="361">
                  <c:v>10</c:v>
                </c:pt>
                <c:pt idx="362">
                  <c:v>10</c:v>
                </c:pt>
                <c:pt idx="363">
                  <c:v>10</c:v>
                </c:pt>
                <c:pt idx="364">
                  <c:v>10</c:v>
                </c:pt>
                <c:pt idx="365">
                  <c:v>10</c:v>
                </c:pt>
                <c:pt idx="366">
                  <c:v>10</c:v>
                </c:pt>
                <c:pt idx="367">
                  <c:v>10</c:v>
                </c:pt>
                <c:pt idx="368">
                  <c:v>10</c:v>
                </c:pt>
                <c:pt idx="369">
                  <c:v>10</c:v>
                </c:pt>
                <c:pt idx="370">
                  <c:v>10</c:v>
                </c:pt>
                <c:pt idx="371">
                  <c:v>10</c:v>
                </c:pt>
                <c:pt idx="372">
                  <c:v>10</c:v>
                </c:pt>
                <c:pt idx="373">
                  <c:v>10</c:v>
                </c:pt>
                <c:pt idx="374">
                  <c:v>10</c:v>
                </c:pt>
                <c:pt idx="375">
                  <c:v>10</c:v>
                </c:pt>
                <c:pt idx="376">
                  <c:v>10</c:v>
                </c:pt>
                <c:pt idx="377">
                  <c:v>10</c:v>
                </c:pt>
                <c:pt idx="378">
                  <c:v>10</c:v>
                </c:pt>
                <c:pt idx="379">
                  <c:v>10</c:v>
                </c:pt>
                <c:pt idx="380">
                  <c:v>10</c:v>
                </c:pt>
                <c:pt idx="381">
                  <c:v>10</c:v>
                </c:pt>
                <c:pt idx="382">
                  <c:v>10</c:v>
                </c:pt>
                <c:pt idx="383">
                  <c:v>10</c:v>
                </c:pt>
                <c:pt idx="384">
                  <c:v>10</c:v>
                </c:pt>
                <c:pt idx="385">
                  <c:v>10</c:v>
                </c:pt>
                <c:pt idx="386">
                  <c:v>10</c:v>
                </c:pt>
                <c:pt idx="387">
                  <c:v>10</c:v>
                </c:pt>
                <c:pt idx="388">
                  <c:v>10</c:v>
                </c:pt>
                <c:pt idx="389">
                  <c:v>10</c:v>
                </c:pt>
                <c:pt idx="390">
                  <c:v>10</c:v>
                </c:pt>
                <c:pt idx="391">
                  <c:v>10</c:v>
                </c:pt>
                <c:pt idx="392">
                  <c:v>10</c:v>
                </c:pt>
                <c:pt idx="393">
                  <c:v>10</c:v>
                </c:pt>
                <c:pt idx="394">
                  <c:v>10</c:v>
                </c:pt>
                <c:pt idx="395">
                  <c:v>10</c:v>
                </c:pt>
                <c:pt idx="396">
                  <c:v>10</c:v>
                </c:pt>
                <c:pt idx="397">
                  <c:v>10</c:v>
                </c:pt>
                <c:pt idx="398">
                  <c:v>10</c:v>
                </c:pt>
                <c:pt idx="399">
                  <c:v>10</c:v>
                </c:pt>
                <c:pt idx="400">
                  <c:v>10</c:v>
                </c:pt>
                <c:pt idx="401">
                  <c:v>10</c:v>
                </c:pt>
                <c:pt idx="402">
                  <c:v>10</c:v>
                </c:pt>
                <c:pt idx="403">
                  <c:v>10</c:v>
                </c:pt>
                <c:pt idx="404">
                  <c:v>10</c:v>
                </c:pt>
                <c:pt idx="405">
                  <c:v>10</c:v>
                </c:pt>
                <c:pt idx="406">
                  <c:v>10</c:v>
                </c:pt>
                <c:pt idx="407">
                  <c:v>10</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10</c:v>
                </c:pt>
                <c:pt idx="445">
                  <c:v>10</c:v>
                </c:pt>
                <c:pt idx="446">
                  <c:v>10</c:v>
                </c:pt>
                <c:pt idx="447">
                  <c:v>10</c:v>
                </c:pt>
                <c:pt idx="448">
                  <c:v>10</c:v>
                </c:pt>
                <c:pt idx="449">
                  <c:v>10</c:v>
                </c:pt>
                <c:pt idx="450">
                  <c:v>10</c:v>
                </c:pt>
                <c:pt idx="451">
                  <c:v>10</c:v>
                </c:pt>
                <c:pt idx="452">
                  <c:v>10</c:v>
                </c:pt>
                <c:pt idx="453">
                  <c:v>10</c:v>
                </c:pt>
                <c:pt idx="454">
                  <c:v>10</c:v>
                </c:pt>
                <c:pt idx="455">
                  <c:v>10</c:v>
                </c:pt>
                <c:pt idx="456">
                  <c:v>10</c:v>
                </c:pt>
                <c:pt idx="457">
                  <c:v>10</c:v>
                </c:pt>
                <c:pt idx="458">
                  <c:v>10</c:v>
                </c:pt>
                <c:pt idx="459">
                  <c:v>10</c:v>
                </c:pt>
                <c:pt idx="460">
                  <c:v>10</c:v>
                </c:pt>
                <c:pt idx="461">
                  <c:v>10</c:v>
                </c:pt>
                <c:pt idx="462">
                  <c:v>10</c:v>
                </c:pt>
                <c:pt idx="463">
                  <c:v>10</c:v>
                </c:pt>
                <c:pt idx="464">
                  <c:v>10</c:v>
                </c:pt>
                <c:pt idx="465">
                  <c:v>10</c:v>
                </c:pt>
                <c:pt idx="466">
                  <c:v>10</c:v>
                </c:pt>
                <c:pt idx="467">
                  <c:v>10</c:v>
                </c:pt>
                <c:pt idx="468">
                  <c:v>10</c:v>
                </c:pt>
                <c:pt idx="469">
                  <c:v>10</c:v>
                </c:pt>
                <c:pt idx="470">
                  <c:v>10</c:v>
                </c:pt>
                <c:pt idx="471">
                  <c:v>10</c:v>
                </c:pt>
                <c:pt idx="472">
                  <c:v>10</c:v>
                </c:pt>
                <c:pt idx="473">
                  <c:v>10</c:v>
                </c:pt>
                <c:pt idx="474">
                  <c:v>10</c:v>
                </c:pt>
                <c:pt idx="475">
                  <c:v>10</c:v>
                </c:pt>
                <c:pt idx="476">
                  <c:v>10</c:v>
                </c:pt>
                <c:pt idx="477">
                  <c:v>10</c:v>
                </c:pt>
                <c:pt idx="478">
                  <c:v>10</c:v>
                </c:pt>
                <c:pt idx="479">
                  <c:v>10</c:v>
                </c:pt>
                <c:pt idx="480">
                  <c:v>10</c:v>
                </c:pt>
                <c:pt idx="481">
                  <c:v>10</c:v>
                </c:pt>
                <c:pt idx="482">
                  <c:v>10</c:v>
                </c:pt>
                <c:pt idx="483">
                  <c:v>10</c:v>
                </c:pt>
                <c:pt idx="484">
                  <c:v>10</c:v>
                </c:pt>
                <c:pt idx="485">
                  <c:v>10</c:v>
                </c:pt>
                <c:pt idx="486">
                  <c:v>10</c:v>
                </c:pt>
                <c:pt idx="487">
                  <c:v>10</c:v>
                </c:pt>
                <c:pt idx="488">
                  <c:v>10</c:v>
                </c:pt>
              </c:numCache>
            </c:numRef>
          </c:val>
          <c:smooth val="0"/>
          <c:extLst>
            <c:ext xmlns:c16="http://schemas.microsoft.com/office/drawing/2014/chart" uri="{C3380CC4-5D6E-409C-BE32-E72D297353CC}">
              <c16:uniqueId val="{00000001-EACC-476B-B743-CA3F93F6A48D}"/>
            </c:ext>
          </c:extLst>
        </c:ser>
        <c:ser>
          <c:idx val="2"/>
          <c:order val="2"/>
          <c:spPr>
            <a:ln w="28575" cap="rnd">
              <a:solidFill>
                <a:schemeClr val="accent4"/>
              </a:solidFill>
              <a:round/>
            </a:ln>
            <a:effectLst/>
          </c:spPr>
          <c:marker>
            <c:symbol val="none"/>
          </c:marker>
          <c:cat>
            <c:strRef>
              <c:f>[1]Sheet1!$A$2:$A$490</c:f>
              <c:strCache>
                <c:ptCount val="489"/>
                <c:pt idx="0">
                  <c:v>1979M01</c:v>
                </c:pt>
                <c:pt idx="1">
                  <c:v>1979M02</c:v>
                </c:pt>
                <c:pt idx="2">
                  <c:v>1979M03</c:v>
                </c:pt>
                <c:pt idx="3">
                  <c:v>1979M04</c:v>
                </c:pt>
                <c:pt idx="4">
                  <c:v>1979M05</c:v>
                </c:pt>
                <c:pt idx="5">
                  <c:v>1979M06</c:v>
                </c:pt>
                <c:pt idx="6">
                  <c:v>1979M07</c:v>
                </c:pt>
                <c:pt idx="7">
                  <c:v>1979M08</c:v>
                </c:pt>
                <c:pt idx="8">
                  <c:v>1979M09</c:v>
                </c:pt>
                <c:pt idx="9">
                  <c:v>1979M10</c:v>
                </c:pt>
                <c:pt idx="10">
                  <c:v>1979M11</c:v>
                </c:pt>
                <c:pt idx="11">
                  <c:v>1979M12</c:v>
                </c:pt>
                <c:pt idx="12">
                  <c:v>1980M01</c:v>
                </c:pt>
                <c:pt idx="13">
                  <c:v>1980M02</c:v>
                </c:pt>
                <c:pt idx="14">
                  <c:v>1980M03</c:v>
                </c:pt>
                <c:pt idx="15">
                  <c:v>1980M04</c:v>
                </c:pt>
                <c:pt idx="16">
                  <c:v>1980M05</c:v>
                </c:pt>
                <c:pt idx="17">
                  <c:v>1980M06</c:v>
                </c:pt>
                <c:pt idx="18">
                  <c:v>1980M07</c:v>
                </c:pt>
                <c:pt idx="19">
                  <c:v>1980M08</c:v>
                </c:pt>
                <c:pt idx="20">
                  <c:v>1980M09</c:v>
                </c:pt>
                <c:pt idx="21">
                  <c:v>1980M10</c:v>
                </c:pt>
                <c:pt idx="22">
                  <c:v>1980M11</c:v>
                </c:pt>
                <c:pt idx="23">
                  <c:v>1980M12</c:v>
                </c:pt>
                <c:pt idx="24">
                  <c:v>1981M01</c:v>
                </c:pt>
                <c:pt idx="25">
                  <c:v>1981M02</c:v>
                </c:pt>
                <c:pt idx="26">
                  <c:v>1981M03</c:v>
                </c:pt>
                <c:pt idx="27">
                  <c:v>1981M04</c:v>
                </c:pt>
                <c:pt idx="28">
                  <c:v>1981M05</c:v>
                </c:pt>
                <c:pt idx="29">
                  <c:v>1981M06</c:v>
                </c:pt>
                <c:pt idx="30">
                  <c:v>1981M07</c:v>
                </c:pt>
                <c:pt idx="31">
                  <c:v>1981M08</c:v>
                </c:pt>
                <c:pt idx="32">
                  <c:v>1981M09</c:v>
                </c:pt>
                <c:pt idx="33">
                  <c:v>1981M10</c:v>
                </c:pt>
                <c:pt idx="34">
                  <c:v>1981M11</c:v>
                </c:pt>
                <c:pt idx="35">
                  <c:v>1981M12</c:v>
                </c:pt>
                <c:pt idx="36">
                  <c:v>1982M01</c:v>
                </c:pt>
                <c:pt idx="37">
                  <c:v>1982M02</c:v>
                </c:pt>
                <c:pt idx="38">
                  <c:v>1982M03</c:v>
                </c:pt>
                <c:pt idx="39">
                  <c:v>1982M04</c:v>
                </c:pt>
                <c:pt idx="40">
                  <c:v>1982M05</c:v>
                </c:pt>
                <c:pt idx="41">
                  <c:v>1982M06</c:v>
                </c:pt>
                <c:pt idx="42">
                  <c:v>1982M07</c:v>
                </c:pt>
                <c:pt idx="43">
                  <c:v>1982M08</c:v>
                </c:pt>
                <c:pt idx="44">
                  <c:v>1982M09</c:v>
                </c:pt>
                <c:pt idx="45">
                  <c:v>1982M10</c:v>
                </c:pt>
                <c:pt idx="46">
                  <c:v>1982M11</c:v>
                </c:pt>
                <c:pt idx="47">
                  <c:v>1982M12</c:v>
                </c:pt>
                <c:pt idx="48">
                  <c:v>1983M01</c:v>
                </c:pt>
                <c:pt idx="49">
                  <c:v>1983M02</c:v>
                </c:pt>
                <c:pt idx="50">
                  <c:v>1983M03</c:v>
                </c:pt>
                <c:pt idx="51">
                  <c:v>1983M04</c:v>
                </c:pt>
                <c:pt idx="52">
                  <c:v>1983M05</c:v>
                </c:pt>
                <c:pt idx="53">
                  <c:v>1983M06</c:v>
                </c:pt>
                <c:pt idx="54">
                  <c:v>1983M07</c:v>
                </c:pt>
                <c:pt idx="55">
                  <c:v>1983M08</c:v>
                </c:pt>
                <c:pt idx="56">
                  <c:v>1983M09</c:v>
                </c:pt>
                <c:pt idx="57">
                  <c:v>1983M10</c:v>
                </c:pt>
                <c:pt idx="58">
                  <c:v>1983M11</c:v>
                </c:pt>
                <c:pt idx="59">
                  <c:v>1983M12</c:v>
                </c:pt>
                <c:pt idx="60">
                  <c:v>1984M01</c:v>
                </c:pt>
                <c:pt idx="61">
                  <c:v>1984M02</c:v>
                </c:pt>
                <c:pt idx="62">
                  <c:v>1984M03</c:v>
                </c:pt>
                <c:pt idx="63">
                  <c:v>1984M04</c:v>
                </c:pt>
                <c:pt idx="64">
                  <c:v>1984M05</c:v>
                </c:pt>
                <c:pt idx="65">
                  <c:v>1984M06</c:v>
                </c:pt>
                <c:pt idx="66">
                  <c:v>1984M07</c:v>
                </c:pt>
                <c:pt idx="67">
                  <c:v>1984M08</c:v>
                </c:pt>
                <c:pt idx="68">
                  <c:v>1984M09</c:v>
                </c:pt>
                <c:pt idx="69">
                  <c:v>1984M10</c:v>
                </c:pt>
                <c:pt idx="70">
                  <c:v>1984M11</c:v>
                </c:pt>
                <c:pt idx="71">
                  <c:v>1984M12</c:v>
                </c:pt>
                <c:pt idx="72">
                  <c:v>1985M01</c:v>
                </c:pt>
                <c:pt idx="73">
                  <c:v>1985M02</c:v>
                </c:pt>
                <c:pt idx="74">
                  <c:v>1985M03</c:v>
                </c:pt>
                <c:pt idx="75">
                  <c:v>1985M04</c:v>
                </c:pt>
                <c:pt idx="76">
                  <c:v>1985M05</c:v>
                </c:pt>
                <c:pt idx="77">
                  <c:v>1985M06</c:v>
                </c:pt>
                <c:pt idx="78">
                  <c:v>1985M07</c:v>
                </c:pt>
                <c:pt idx="79">
                  <c:v>1985M08</c:v>
                </c:pt>
                <c:pt idx="80">
                  <c:v>1985M09</c:v>
                </c:pt>
                <c:pt idx="81">
                  <c:v>1985M10</c:v>
                </c:pt>
                <c:pt idx="82">
                  <c:v>1985M11</c:v>
                </c:pt>
                <c:pt idx="83">
                  <c:v>1985M12</c:v>
                </c:pt>
                <c:pt idx="84">
                  <c:v>1986M01</c:v>
                </c:pt>
                <c:pt idx="85">
                  <c:v>1986M02</c:v>
                </c:pt>
                <c:pt idx="86">
                  <c:v>1986M03</c:v>
                </c:pt>
                <c:pt idx="87">
                  <c:v>1986M04</c:v>
                </c:pt>
                <c:pt idx="88">
                  <c:v>1986M05</c:v>
                </c:pt>
                <c:pt idx="89">
                  <c:v>1986M06</c:v>
                </c:pt>
                <c:pt idx="90">
                  <c:v>1986M07</c:v>
                </c:pt>
                <c:pt idx="91">
                  <c:v>1986M08</c:v>
                </c:pt>
                <c:pt idx="92">
                  <c:v>1986M09</c:v>
                </c:pt>
                <c:pt idx="93">
                  <c:v>1986M10</c:v>
                </c:pt>
                <c:pt idx="94">
                  <c:v>1986M11</c:v>
                </c:pt>
                <c:pt idx="95">
                  <c:v>1986M12</c:v>
                </c:pt>
                <c:pt idx="96">
                  <c:v>1987M01</c:v>
                </c:pt>
                <c:pt idx="97">
                  <c:v>1987M02</c:v>
                </c:pt>
                <c:pt idx="98">
                  <c:v>1987M03</c:v>
                </c:pt>
                <c:pt idx="99">
                  <c:v>1987M04</c:v>
                </c:pt>
                <c:pt idx="100">
                  <c:v>1987M05</c:v>
                </c:pt>
                <c:pt idx="101">
                  <c:v>1987M06</c:v>
                </c:pt>
                <c:pt idx="102">
                  <c:v>1987M07</c:v>
                </c:pt>
                <c:pt idx="103">
                  <c:v>1987M08</c:v>
                </c:pt>
                <c:pt idx="104">
                  <c:v>1987M09</c:v>
                </c:pt>
                <c:pt idx="105">
                  <c:v>1987M10</c:v>
                </c:pt>
                <c:pt idx="106">
                  <c:v>1987M11</c:v>
                </c:pt>
                <c:pt idx="107">
                  <c:v>1987M12</c:v>
                </c:pt>
                <c:pt idx="108">
                  <c:v>1988M01</c:v>
                </c:pt>
                <c:pt idx="109">
                  <c:v>1988M02</c:v>
                </c:pt>
                <c:pt idx="110">
                  <c:v>1988M03</c:v>
                </c:pt>
                <c:pt idx="111">
                  <c:v>1988M04</c:v>
                </c:pt>
                <c:pt idx="112">
                  <c:v>1988M05</c:v>
                </c:pt>
                <c:pt idx="113">
                  <c:v>1988M06</c:v>
                </c:pt>
                <c:pt idx="114">
                  <c:v>1988M07</c:v>
                </c:pt>
                <c:pt idx="115">
                  <c:v>1988M08</c:v>
                </c:pt>
                <c:pt idx="116">
                  <c:v>1988M09</c:v>
                </c:pt>
                <c:pt idx="117">
                  <c:v>1988M10</c:v>
                </c:pt>
                <c:pt idx="118">
                  <c:v>1988M11</c:v>
                </c:pt>
                <c:pt idx="119">
                  <c:v>1988M12</c:v>
                </c:pt>
                <c:pt idx="120">
                  <c:v>1989M01</c:v>
                </c:pt>
                <c:pt idx="121">
                  <c:v>1989M02</c:v>
                </c:pt>
                <c:pt idx="122">
                  <c:v>1989M03</c:v>
                </c:pt>
                <c:pt idx="123">
                  <c:v>1989M04</c:v>
                </c:pt>
                <c:pt idx="124">
                  <c:v>1989M05</c:v>
                </c:pt>
                <c:pt idx="125">
                  <c:v>1989M06</c:v>
                </c:pt>
                <c:pt idx="126">
                  <c:v>1989M07</c:v>
                </c:pt>
                <c:pt idx="127">
                  <c:v>1989M08</c:v>
                </c:pt>
                <c:pt idx="128">
                  <c:v>1989M09</c:v>
                </c:pt>
                <c:pt idx="129">
                  <c:v>1989M10</c:v>
                </c:pt>
                <c:pt idx="130">
                  <c:v>1989M11</c:v>
                </c:pt>
                <c:pt idx="131">
                  <c:v>1989M12</c:v>
                </c:pt>
                <c:pt idx="132">
                  <c:v>1990M01</c:v>
                </c:pt>
                <c:pt idx="133">
                  <c:v>1990M02</c:v>
                </c:pt>
                <c:pt idx="134">
                  <c:v>1990M03</c:v>
                </c:pt>
                <c:pt idx="135">
                  <c:v>1990M04</c:v>
                </c:pt>
                <c:pt idx="136">
                  <c:v>1990M05</c:v>
                </c:pt>
                <c:pt idx="137">
                  <c:v>1990M06</c:v>
                </c:pt>
                <c:pt idx="138">
                  <c:v>1990M07</c:v>
                </c:pt>
                <c:pt idx="139">
                  <c:v>1990M08</c:v>
                </c:pt>
                <c:pt idx="140">
                  <c:v>1990M09</c:v>
                </c:pt>
                <c:pt idx="141">
                  <c:v>1990M10</c:v>
                </c:pt>
                <c:pt idx="142">
                  <c:v>1990M11</c:v>
                </c:pt>
                <c:pt idx="143">
                  <c:v>1990M12</c:v>
                </c:pt>
                <c:pt idx="144">
                  <c:v>1991M01</c:v>
                </c:pt>
                <c:pt idx="145">
                  <c:v>1991M02</c:v>
                </c:pt>
                <c:pt idx="146">
                  <c:v>1991M03</c:v>
                </c:pt>
                <c:pt idx="147">
                  <c:v>1991M04</c:v>
                </c:pt>
                <c:pt idx="148">
                  <c:v>1991M05</c:v>
                </c:pt>
                <c:pt idx="149">
                  <c:v>1991M06</c:v>
                </c:pt>
                <c:pt idx="150">
                  <c:v>1991M07</c:v>
                </c:pt>
                <c:pt idx="151">
                  <c:v>1991M08</c:v>
                </c:pt>
                <c:pt idx="152">
                  <c:v>1991M09</c:v>
                </c:pt>
                <c:pt idx="153">
                  <c:v>1991M10</c:v>
                </c:pt>
                <c:pt idx="154">
                  <c:v>1991M11</c:v>
                </c:pt>
                <c:pt idx="155">
                  <c:v>1991M12</c:v>
                </c:pt>
                <c:pt idx="156">
                  <c:v>1992M01</c:v>
                </c:pt>
                <c:pt idx="157">
                  <c:v>1992M02</c:v>
                </c:pt>
                <c:pt idx="158">
                  <c:v>1992M03</c:v>
                </c:pt>
                <c:pt idx="159">
                  <c:v>1992M04</c:v>
                </c:pt>
                <c:pt idx="160">
                  <c:v>1992M05</c:v>
                </c:pt>
                <c:pt idx="161">
                  <c:v>1992M06</c:v>
                </c:pt>
                <c:pt idx="162">
                  <c:v>1992M07</c:v>
                </c:pt>
                <c:pt idx="163">
                  <c:v>1992M08</c:v>
                </c:pt>
                <c:pt idx="164">
                  <c:v>1992M09</c:v>
                </c:pt>
                <c:pt idx="165">
                  <c:v>1992M10</c:v>
                </c:pt>
                <c:pt idx="166">
                  <c:v>1992M11</c:v>
                </c:pt>
                <c:pt idx="167">
                  <c:v>1992M12</c:v>
                </c:pt>
                <c:pt idx="168">
                  <c:v>1993M01</c:v>
                </c:pt>
                <c:pt idx="169">
                  <c:v>1993M02</c:v>
                </c:pt>
                <c:pt idx="170">
                  <c:v>1993M03</c:v>
                </c:pt>
                <c:pt idx="171">
                  <c:v>1993M04</c:v>
                </c:pt>
                <c:pt idx="172">
                  <c:v>1993M05</c:v>
                </c:pt>
                <c:pt idx="173">
                  <c:v>1993M06</c:v>
                </c:pt>
                <c:pt idx="174">
                  <c:v>1993M07</c:v>
                </c:pt>
                <c:pt idx="175">
                  <c:v>1993M08</c:v>
                </c:pt>
                <c:pt idx="176">
                  <c:v>1993M09</c:v>
                </c:pt>
                <c:pt idx="177">
                  <c:v>1993M10</c:v>
                </c:pt>
                <c:pt idx="178">
                  <c:v>1993M11</c:v>
                </c:pt>
                <c:pt idx="179">
                  <c:v>1993M12</c:v>
                </c:pt>
                <c:pt idx="180">
                  <c:v>1994M01</c:v>
                </c:pt>
                <c:pt idx="181">
                  <c:v>1994M02</c:v>
                </c:pt>
                <c:pt idx="182">
                  <c:v>1994M03</c:v>
                </c:pt>
                <c:pt idx="183">
                  <c:v>1994M04</c:v>
                </c:pt>
                <c:pt idx="184">
                  <c:v>1994M05</c:v>
                </c:pt>
                <c:pt idx="185">
                  <c:v>1994M06</c:v>
                </c:pt>
                <c:pt idx="186">
                  <c:v>1994M07</c:v>
                </c:pt>
                <c:pt idx="187">
                  <c:v>1994M08</c:v>
                </c:pt>
                <c:pt idx="188">
                  <c:v>1994M09</c:v>
                </c:pt>
                <c:pt idx="189">
                  <c:v>1994M10</c:v>
                </c:pt>
                <c:pt idx="190">
                  <c:v>1994M11</c:v>
                </c:pt>
                <c:pt idx="191">
                  <c:v>1994M12</c:v>
                </c:pt>
                <c:pt idx="192">
                  <c:v>1995M01</c:v>
                </c:pt>
                <c:pt idx="193">
                  <c:v>1995M02</c:v>
                </c:pt>
                <c:pt idx="194">
                  <c:v>1995M03</c:v>
                </c:pt>
                <c:pt idx="195">
                  <c:v>1995M04</c:v>
                </c:pt>
                <c:pt idx="196">
                  <c:v>1995M05</c:v>
                </c:pt>
                <c:pt idx="197">
                  <c:v>1995M06</c:v>
                </c:pt>
                <c:pt idx="198">
                  <c:v>1995M07</c:v>
                </c:pt>
                <c:pt idx="199">
                  <c:v>1995M08</c:v>
                </c:pt>
                <c:pt idx="200">
                  <c:v>1995M09</c:v>
                </c:pt>
                <c:pt idx="201">
                  <c:v>1995M10</c:v>
                </c:pt>
                <c:pt idx="202">
                  <c:v>1995M11</c:v>
                </c:pt>
                <c:pt idx="203">
                  <c:v>1995M12</c:v>
                </c:pt>
                <c:pt idx="204">
                  <c:v>1996M01</c:v>
                </c:pt>
                <c:pt idx="205">
                  <c:v>1996M02</c:v>
                </c:pt>
                <c:pt idx="206">
                  <c:v>1996M03</c:v>
                </c:pt>
                <c:pt idx="207">
                  <c:v>1996M04</c:v>
                </c:pt>
                <c:pt idx="208">
                  <c:v>1996M05</c:v>
                </c:pt>
                <c:pt idx="209">
                  <c:v>1996M06</c:v>
                </c:pt>
                <c:pt idx="210">
                  <c:v>1996M07</c:v>
                </c:pt>
                <c:pt idx="211">
                  <c:v>1996M08</c:v>
                </c:pt>
                <c:pt idx="212">
                  <c:v>1996M09</c:v>
                </c:pt>
                <c:pt idx="213">
                  <c:v>1996M10</c:v>
                </c:pt>
                <c:pt idx="214">
                  <c:v>1996M11</c:v>
                </c:pt>
                <c:pt idx="215">
                  <c:v>1996M12</c:v>
                </c:pt>
                <c:pt idx="216">
                  <c:v>1997M01</c:v>
                </c:pt>
                <c:pt idx="217">
                  <c:v>1997M02</c:v>
                </c:pt>
                <c:pt idx="218">
                  <c:v>1997M03</c:v>
                </c:pt>
                <c:pt idx="219">
                  <c:v>1997M04</c:v>
                </c:pt>
                <c:pt idx="220">
                  <c:v>1997M05</c:v>
                </c:pt>
                <c:pt idx="221">
                  <c:v>1997M06</c:v>
                </c:pt>
                <c:pt idx="222">
                  <c:v>1997M07</c:v>
                </c:pt>
                <c:pt idx="223">
                  <c:v>1997M08</c:v>
                </c:pt>
                <c:pt idx="224">
                  <c:v>1997M09</c:v>
                </c:pt>
                <c:pt idx="225">
                  <c:v>1997M10</c:v>
                </c:pt>
                <c:pt idx="226">
                  <c:v>1997M11</c:v>
                </c:pt>
                <c:pt idx="227">
                  <c:v>1997M12</c:v>
                </c:pt>
                <c:pt idx="228">
                  <c:v>1998M01</c:v>
                </c:pt>
                <c:pt idx="229">
                  <c:v>1998M02</c:v>
                </c:pt>
                <c:pt idx="230">
                  <c:v>1998M03</c:v>
                </c:pt>
                <c:pt idx="231">
                  <c:v>1998M04</c:v>
                </c:pt>
                <c:pt idx="232">
                  <c:v>1998M05</c:v>
                </c:pt>
                <c:pt idx="233">
                  <c:v>1998M06</c:v>
                </c:pt>
                <c:pt idx="234">
                  <c:v>1998M07</c:v>
                </c:pt>
                <c:pt idx="235">
                  <c:v>1998M08</c:v>
                </c:pt>
                <c:pt idx="236">
                  <c:v>1998M09</c:v>
                </c:pt>
                <c:pt idx="237">
                  <c:v>1998M10</c:v>
                </c:pt>
                <c:pt idx="238">
                  <c:v>1998M11</c:v>
                </c:pt>
                <c:pt idx="239">
                  <c:v>1998M12</c:v>
                </c:pt>
                <c:pt idx="240">
                  <c:v>1999M01</c:v>
                </c:pt>
                <c:pt idx="241">
                  <c:v>1999M02</c:v>
                </c:pt>
                <c:pt idx="242">
                  <c:v>1999M03</c:v>
                </c:pt>
                <c:pt idx="243">
                  <c:v>1999M04</c:v>
                </c:pt>
                <c:pt idx="244">
                  <c:v>1999M05</c:v>
                </c:pt>
                <c:pt idx="245">
                  <c:v>1999M06</c:v>
                </c:pt>
                <c:pt idx="246">
                  <c:v>1999M07</c:v>
                </c:pt>
                <c:pt idx="247">
                  <c:v>1999M08</c:v>
                </c:pt>
                <c:pt idx="248">
                  <c:v>1999M09</c:v>
                </c:pt>
                <c:pt idx="249">
                  <c:v>1999M10</c:v>
                </c:pt>
                <c:pt idx="250">
                  <c:v>1999M11</c:v>
                </c:pt>
                <c:pt idx="251">
                  <c:v>1999M12</c:v>
                </c:pt>
                <c:pt idx="252">
                  <c:v>2000M01</c:v>
                </c:pt>
                <c:pt idx="253">
                  <c:v>2000M02</c:v>
                </c:pt>
                <c:pt idx="254">
                  <c:v>2000M03</c:v>
                </c:pt>
                <c:pt idx="255">
                  <c:v>2000M04</c:v>
                </c:pt>
                <c:pt idx="256">
                  <c:v>2000M05</c:v>
                </c:pt>
                <c:pt idx="257">
                  <c:v>2000M06</c:v>
                </c:pt>
                <c:pt idx="258">
                  <c:v>2000M07</c:v>
                </c:pt>
                <c:pt idx="259">
                  <c:v>2000M08</c:v>
                </c:pt>
                <c:pt idx="260">
                  <c:v>2000M09</c:v>
                </c:pt>
                <c:pt idx="261">
                  <c:v>2000M10</c:v>
                </c:pt>
                <c:pt idx="262">
                  <c:v>2000M11</c:v>
                </c:pt>
                <c:pt idx="263">
                  <c:v>2000M12</c:v>
                </c:pt>
                <c:pt idx="264">
                  <c:v>2001M01</c:v>
                </c:pt>
                <c:pt idx="265">
                  <c:v>2001M02</c:v>
                </c:pt>
                <c:pt idx="266">
                  <c:v>2001M03</c:v>
                </c:pt>
                <c:pt idx="267">
                  <c:v>2001M04</c:v>
                </c:pt>
                <c:pt idx="268">
                  <c:v>2001M05</c:v>
                </c:pt>
                <c:pt idx="269">
                  <c:v>2001M06</c:v>
                </c:pt>
                <c:pt idx="270">
                  <c:v>2001M07</c:v>
                </c:pt>
                <c:pt idx="271">
                  <c:v>2001M08</c:v>
                </c:pt>
                <c:pt idx="272">
                  <c:v>2001M09</c:v>
                </c:pt>
                <c:pt idx="273">
                  <c:v>2001M10</c:v>
                </c:pt>
                <c:pt idx="274">
                  <c:v>2001M11</c:v>
                </c:pt>
                <c:pt idx="275">
                  <c:v>2001M12</c:v>
                </c:pt>
                <c:pt idx="276">
                  <c:v>2002M01</c:v>
                </c:pt>
                <c:pt idx="277">
                  <c:v>2002M02</c:v>
                </c:pt>
                <c:pt idx="278">
                  <c:v>2002M03</c:v>
                </c:pt>
                <c:pt idx="279">
                  <c:v>2002M04</c:v>
                </c:pt>
                <c:pt idx="280">
                  <c:v>2002M05</c:v>
                </c:pt>
                <c:pt idx="281">
                  <c:v>2002M06</c:v>
                </c:pt>
                <c:pt idx="282">
                  <c:v>2002M07</c:v>
                </c:pt>
                <c:pt idx="283">
                  <c:v>2002M08</c:v>
                </c:pt>
                <c:pt idx="284">
                  <c:v>2002M09</c:v>
                </c:pt>
                <c:pt idx="285">
                  <c:v>2002M10</c:v>
                </c:pt>
                <c:pt idx="286">
                  <c:v>2002M11</c:v>
                </c:pt>
                <c:pt idx="287">
                  <c:v>2002M12</c:v>
                </c:pt>
                <c:pt idx="288">
                  <c:v>2003M01</c:v>
                </c:pt>
                <c:pt idx="289">
                  <c:v>2003M02</c:v>
                </c:pt>
                <c:pt idx="290">
                  <c:v>2003M03</c:v>
                </c:pt>
                <c:pt idx="291">
                  <c:v>2003M04</c:v>
                </c:pt>
                <c:pt idx="292">
                  <c:v>2003M05</c:v>
                </c:pt>
                <c:pt idx="293">
                  <c:v>2003M06</c:v>
                </c:pt>
                <c:pt idx="294">
                  <c:v>2003M07</c:v>
                </c:pt>
                <c:pt idx="295">
                  <c:v>2003M08</c:v>
                </c:pt>
                <c:pt idx="296">
                  <c:v>2003M09</c:v>
                </c:pt>
                <c:pt idx="297">
                  <c:v>2003M10</c:v>
                </c:pt>
                <c:pt idx="298">
                  <c:v>2003M11</c:v>
                </c:pt>
                <c:pt idx="299">
                  <c:v>2003M12</c:v>
                </c:pt>
                <c:pt idx="300">
                  <c:v>2004M01</c:v>
                </c:pt>
                <c:pt idx="301">
                  <c:v>2004M02</c:v>
                </c:pt>
                <c:pt idx="302">
                  <c:v>2004M03</c:v>
                </c:pt>
                <c:pt idx="303">
                  <c:v>2004M04</c:v>
                </c:pt>
                <c:pt idx="304">
                  <c:v>2004M05</c:v>
                </c:pt>
                <c:pt idx="305">
                  <c:v>2004M06</c:v>
                </c:pt>
                <c:pt idx="306">
                  <c:v>2004M07</c:v>
                </c:pt>
                <c:pt idx="307">
                  <c:v>2004M08</c:v>
                </c:pt>
                <c:pt idx="308">
                  <c:v>2004M09</c:v>
                </c:pt>
                <c:pt idx="309">
                  <c:v>2004M10</c:v>
                </c:pt>
                <c:pt idx="310">
                  <c:v>2004M11</c:v>
                </c:pt>
                <c:pt idx="311">
                  <c:v>2004M12</c:v>
                </c:pt>
                <c:pt idx="312">
                  <c:v>2005M01</c:v>
                </c:pt>
                <c:pt idx="313">
                  <c:v>2005M02</c:v>
                </c:pt>
                <c:pt idx="314">
                  <c:v>2005M03</c:v>
                </c:pt>
                <c:pt idx="315">
                  <c:v>2005M04</c:v>
                </c:pt>
                <c:pt idx="316">
                  <c:v>2005M05</c:v>
                </c:pt>
                <c:pt idx="317">
                  <c:v>2005M06</c:v>
                </c:pt>
                <c:pt idx="318">
                  <c:v>2005M07</c:v>
                </c:pt>
                <c:pt idx="319">
                  <c:v>2005M08</c:v>
                </c:pt>
                <c:pt idx="320">
                  <c:v>2005M09</c:v>
                </c:pt>
                <c:pt idx="321">
                  <c:v>2005M10</c:v>
                </c:pt>
                <c:pt idx="322">
                  <c:v>2005M11</c:v>
                </c:pt>
                <c:pt idx="323">
                  <c:v>2005M12</c:v>
                </c:pt>
                <c:pt idx="324">
                  <c:v>2006M01</c:v>
                </c:pt>
                <c:pt idx="325">
                  <c:v>2006M02</c:v>
                </c:pt>
                <c:pt idx="326">
                  <c:v>2006M03</c:v>
                </c:pt>
                <c:pt idx="327">
                  <c:v>2006M04</c:v>
                </c:pt>
                <c:pt idx="328">
                  <c:v>2006M05</c:v>
                </c:pt>
                <c:pt idx="329">
                  <c:v>2006M06</c:v>
                </c:pt>
                <c:pt idx="330">
                  <c:v>2006M07</c:v>
                </c:pt>
                <c:pt idx="331">
                  <c:v>2006M08</c:v>
                </c:pt>
                <c:pt idx="332">
                  <c:v>2006M09</c:v>
                </c:pt>
                <c:pt idx="333">
                  <c:v>2006M10</c:v>
                </c:pt>
                <c:pt idx="334">
                  <c:v>2006M11</c:v>
                </c:pt>
                <c:pt idx="335">
                  <c:v>2006M12</c:v>
                </c:pt>
                <c:pt idx="336">
                  <c:v>2007M01</c:v>
                </c:pt>
                <c:pt idx="337">
                  <c:v>2007M02</c:v>
                </c:pt>
                <c:pt idx="338">
                  <c:v>2007M03</c:v>
                </c:pt>
                <c:pt idx="339">
                  <c:v>2007M04</c:v>
                </c:pt>
                <c:pt idx="340">
                  <c:v>2007M05</c:v>
                </c:pt>
                <c:pt idx="341">
                  <c:v>2007M06</c:v>
                </c:pt>
                <c:pt idx="342">
                  <c:v>2007M07</c:v>
                </c:pt>
                <c:pt idx="343">
                  <c:v>2007M08</c:v>
                </c:pt>
                <c:pt idx="344">
                  <c:v>2007M09</c:v>
                </c:pt>
                <c:pt idx="345">
                  <c:v>2007M10</c:v>
                </c:pt>
                <c:pt idx="346">
                  <c:v>2007M11</c:v>
                </c:pt>
                <c:pt idx="347">
                  <c:v>2007M12</c:v>
                </c:pt>
                <c:pt idx="348">
                  <c:v>2008M01</c:v>
                </c:pt>
                <c:pt idx="349">
                  <c:v>2008M02</c:v>
                </c:pt>
                <c:pt idx="350">
                  <c:v>2008M03</c:v>
                </c:pt>
                <c:pt idx="351">
                  <c:v>2008M04</c:v>
                </c:pt>
                <c:pt idx="352">
                  <c:v>2008M05</c:v>
                </c:pt>
                <c:pt idx="353">
                  <c:v>2008M06</c:v>
                </c:pt>
                <c:pt idx="354">
                  <c:v>2008M07</c:v>
                </c:pt>
                <c:pt idx="355">
                  <c:v>2008M08</c:v>
                </c:pt>
                <c:pt idx="356">
                  <c:v>2008M09</c:v>
                </c:pt>
                <c:pt idx="357">
                  <c:v>2008M10</c:v>
                </c:pt>
                <c:pt idx="358">
                  <c:v>2008M11</c:v>
                </c:pt>
                <c:pt idx="359">
                  <c:v>2008M12</c:v>
                </c:pt>
                <c:pt idx="360">
                  <c:v>2009M01</c:v>
                </c:pt>
                <c:pt idx="361">
                  <c:v>2009M02</c:v>
                </c:pt>
                <c:pt idx="362">
                  <c:v>2009M03</c:v>
                </c:pt>
                <c:pt idx="363">
                  <c:v>2009M04</c:v>
                </c:pt>
                <c:pt idx="364">
                  <c:v>2009M05</c:v>
                </c:pt>
                <c:pt idx="365">
                  <c:v>2009M06</c:v>
                </c:pt>
                <c:pt idx="366">
                  <c:v>2009M07</c:v>
                </c:pt>
                <c:pt idx="367">
                  <c:v>2009M08</c:v>
                </c:pt>
                <c:pt idx="368">
                  <c:v>2009M09</c:v>
                </c:pt>
                <c:pt idx="369">
                  <c:v>2009M10</c:v>
                </c:pt>
                <c:pt idx="370">
                  <c:v>2009M11</c:v>
                </c:pt>
                <c:pt idx="371">
                  <c:v>2009M12</c:v>
                </c:pt>
                <c:pt idx="372">
                  <c:v>2010M01</c:v>
                </c:pt>
                <c:pt idx="373">
                  <c:v>2010M02</c:v>
                </c:pt>
                <c:pt idx="374">
                  <c:v>2010M03</c:v>
                </c:pt>
                <c:pt idx="375">
                  <c:v>2010M04</c:v>
                </c:pt>
                <c:pt idx="376">
                  <c:v>2010M05</c:v>
                </c:pt>
                <c:pt idx="377">
                  <c:v>2010M06</c:v>
                </c:pt>
                <c:pt idx="378">
                  <c:v>2010M07</c:v>
                </c:pt>
                <c:pt idx="379">
                  <c:v>2010M08</c:v>
                </c:pt>
                <c:pt idx="380">
                  <c:v>2010M09</c:v>
                </c:pt>
                <c:pt idx="381">
                  <c:v>2010M10</c:v>
                </c:pt>
                <c:pt idx="382">
                  <c:v>2010M11</c:v>
                </c:pt>
                <c:pt idx="383">
                  <c:v>2010M12</c:v>
                </c:pt>
                <c:pt idx="384">
                  <c:v>2011M01</c:v>
                </c:pt>
                <c:pt idx="385">
                  <c:v>2011M02</c:v>
                </c:pt>
                <c:pt idx="386">
                  <c:v>2011M03</c:v>
                </c:pt>
                <c:pt idx="387">
                  <c:v>2011M04</c:v>
                </c:pt>
                <c:pt idx="388">
                  <c:v>2011M05</c:v>
                </c:pt>
                <c:pt idx="389">
                  <c:v>2011M06</c:v>
                </c:pt>
                <c:pt idx="390">
                  <c:v>2011M07</c:v>
                </c:pt>
                <c:pt idx="391">
                  <c:v>2011M08</c:v>
                </c:pt>
                <c:pt idx="392">
                  <c:v>2011M09</c:v>
                </c:pt>
                <c:pt idx="393">
                  <c:v>2011M10</c:v>
                </c:pt>
                <c:pt idx="394">
                  <c:v>2011M11</c:v>
                </c:pt>
                <c:pt idx="395">
                  <c:v>2011M12</c:v>
                </c:pt>
                <c:pt idx="396">
                  <c:v>2012M01</c:v>
                </c:pt>
                <c:pt idx="397">
                  <c:v>2012M02</c:v>
                </c:pt>
                <c:pt idx="398">
                  <c:v>2012M03</c:v>
                </c:pt>
                <c:pt idx="399">
                  <c:v>2012M04</c:v>
                </c:pt>
                <c:pt idx="400">
                  <c:v>2012M05</c:v>
                </c:pt>
                <c:pt idx="401">
                  <c:v>2012M06</c:v>
                </c:pt>
                <c:pt idx="402">
                  <c:v>2012M07</c:v>
                </c:pt>
                <c:pt idx="403">
                  <c:v>2012M08</c:v>
                </c:pt>
                <c:pt idx="404">
                  <c:v>2012M09</c:v>
                </c:pt>
                <c:pt idx="405">
                  <c:v>2012M10</c:v>
                </c:pt>
                <c:pt idx="406">
                  <c:v>2012M11</c:v>
                </c:pt>
                <c:pt idx="407">
                  <c:v>2012M12</c:v>
                </c:pt>
                <c:pt idx="408">
                  <c:v>2013M01</c:v>
                </c:pt>
                <c:pt idx="409">
                  <c:v>2013M02</c:v>
                </c:pt>
                <c:pt idx="410">
                  <c:v>2013M03</c:v>
                </c:pt>
                <c:pt idx="411">
                  <c:v>2013M04</c:v>
                </c:pt>
                <c:pt idx="412">
                  <c:v>2013M05</c:v>
                </c:pt>
                <c:pt idx="413">
                  <c:v>2013M06</c:v>
                </c:pt>
                <c:pt idx="414">
                  <c:v>2013M07</c:v>
                </c:pt>
                <c:pt idx="415">
                  <c:v>2013M08</c:v>
                </c:pt>
                <c:pt idx="416">
                  <c:v>2013M09</c:v>
                </c:pt>
                <c:pt idx="417">
                  <c:v>2013M10</c:v>
                </c:pt>
                <c:pt idx="418">
                  <c:v>2013M11</c:v>
                </c:pt>
                <c:pt idx="419">
                  <c:v>2013M12</c:v>
                </c:pt>
                <c:pt idx="420">
                  <c:v>2014M01</c:v>
                </c:pt>
                <c:pt idx="421">
                  <c:v>2014M02</c:v>
                </c:pt>
                <c:pt idx="422">
                  <c:v>2014M03</c:v>
                </c:pt>
                <c:pt idx="423">
                  <c:v>2014M04</c:v>
                </c:pt>
                <c:pt idx="424">
                  <c:v>2014M05</c:v>
                </c:pt>
                <c:pt idx="425">
                  <c:v>2014M06</c:v>
                </c:pt>
                <c:pt idx="426">
                  <c:v>2014M07</c:v>
                </c:pt>
                <c:pt idx="427">
                  <c:v>2014M08</c:v>
                </c:pt>
                <c:pt idx="428">
                  <c:v>2014M09</c:v>
                </c:pt>
                <c:pt idx="429">
                  <c:v>2014M10</c:v>
                </c:pt>
                <c:pt idx="430">
                  <c:v>2014M11</c:v>
                </c:pt>
                <c:pt idx="431">
                  <c:v>2014M12</c:v>
                </c:pt>
                <c:pt idx="432">
                  <c:v>2015M01</c:v>
                </c:pt>
                <c:pt idx="433">
                  <c:v>2015M02</c:v>
                </c:pt>
                <c:pt idx="434">
                  <c:v>2015M03</c:v>
                </c:pt>
                <c:pt idx="435">
                  <c:v>2015M04</c:v>
                </c:pt>
                <c:pt idx="436">
                  <c:v>2015M05</c:v>
                </c:pt>
                <c:pt idx="437">
                  <c:v>2015M06</c:v>
                </c:pt>
                <c:pt idx="438">
                  <c:v>2015M07</c:v>
                </c:pt>
                <c:pt idx="439">
                  <c:v>2015M08</c:v>
                </c:pt>
                <c:pt idx="440">
                  <c:v>2015M09</c:v>
                </c:pt>
                <c:pt idx="441">
                  <c:v>2015M10</c:v>
                </c:pt>
                <c:pt idx="442">
                  <c:v>2015M11</c:v>
                </c:pt>
                <c:pt idx="443">
                  <c:v>2015M12</c:v>
                </c:pt>
                <c:pt idx="444">
                  <c:v>2016M01</c:v>
                </c:pt>
                <c:pt idx="445">
                  <c:v>2016M02</c:v>
                </c:pt>
                <c:pt idx="446">
                  <c:v>2016M03</c:v>
                </c:pt>
                <c:pt idx="447">
                  <c:v>2016M04</c:v>
                </c:pt>
                <c:pt idx="448">
                  <c:v>2016M05</c:v>
                </c:pt>
                <c:pt idx="449">
                  <c:v>2016M06</c:v>
                </c:pt>
                <c:pt idx="450">
                  <c:v>2016M07</c:v>
                </c:pt>
                <c:pt idx="451">
                  <c:v>2016M08</c:v>
                </c:pt>
                <c:pt idx="452">
                  <c:v>2016M09</c:v>
                </c:pt>
                <c:pt idx="453">
                  <c:v>2016M10</c:v>
                </c:pt>
                <c:pt idx="454">
                  <c:v>2016M11</c:v>
                </c:pt>
                <c:pt idx="455">
                  <c:v>2016M12</c:v>
                </c:pt>
                <c:pt idx="456">
                  <c:v>2017M01</c:v>
                </c:pt>
                <c:pt idx="457">
                  <c:v>2017M02</c:v>
                </c:pt>
                <c:pt idx="458">
                  <c:v>2017M03</c:v>
                </c:pt>
                <c:pt idx="459">
                  <c:v>2017M04</c:v>
                </c:pt>
                <c:pt idx="460">
                  <c:v>2017M05</c:v>
                </c:pt>
                <c:pt idx="461">
                  <c:v>2017M06</c:v>
                </c:pt>
                <c:pt idx="462">
                  <c:v>2017M07</c:v>
                </c:pt>
                <c:pt idx="463">
                  <c:v>2017M08</c:v>
                </c:pt>
                <c:pt idx="464">
                  <c:v>2017M09</c:v>
                </c:pt>
                <c:pt idx="465">
                  <c:v>2017M10</c:v>
                </c:pt>
                <c:pt idx="466">
                  <c:v>2017M11</c:v>
                </c:pt>
                <c:pt idx="467">
                  <c:v>2017M12</c:v>
                </c:pt>
                <c:pt idx="468">
                  <c:v>2018M01</c:v>
                </c:pt>
                <c:pt idx="469">
                  <c:v>2018M02</c:v>
                </c:pt>
                <c:pt idx="470">
                  <c:v>2018M03</c:v>
                </c:pt>
                <c:pt idx="471">
                  <c:v>2018M04</c:v>
                </c:pt>
                <c:pt idx="472">
                  <c:v>2018M05</c:v>
                </c:pt>
                <c:pt idx="473">
                  <c:v>2018M06</c:v>
                </c:pt>
                <c:pt idx="474">
                  <c:v>2018M07</c:v>
                </c:pt>
                <c:pt idx="475">
                  <c:v>2018M08</c:v>
                </c:pt>
                <c:pt idx="476">
                  <c:v>2018M09</c:v>
                </c:pt>
                <c:pt idx="477">
                  <c:v>2018M10</c:v>
                </c:pt>
                <c:pt idx="478">
                  <c:v>2018M11</c:v>
                </c:pt>
                <c:pt idx="479">
                  <c:v>2018M12</c:v>
                </c:pt>
                <c:pt idx="480">
                  <c:v>2019M01</c:v>
                </c:pt>
                <c:pt idx="481">
                  <c:v>2019M02</c:v>
                </c:pt>
                <c:pt idx="482">
                  <c:v>2019M03</c:v>
                </c:pt>
                <c:pt idx="483">
                  <c:v>2019M04</c:v>
                </c:pt>
                <c:pt idx="484">
                  <c:v>2019M05</c:v>
                </c:pt>
                <c:pt idx="485">
                  <c:v>2019M06</c:v>
                </c:pt>
                <c:pt idx="486">
                  <c:v>2019M07</c:v>
                </c:pt>
                <c:pt idx="487">
                  <c:v>2019M08</c:v>
                </c:pt>
                <c:pt idx="488">
                  <c:v>2019M09</c:v>
                </c:pt>
              </c:strCache>
            </c:strRef>
          </c:cat>
          <c:val>
            <c:numRef>
              <c:f>[1]Sheet1!$D$2:$D$490</c:f>
              <c:numCache>
                <c:formatCode>General</c:formatCode>
                <c:ptCount val="489"/>
                <c:pt idx="0">
                  <c:v>28.51</c:v>
                </c:pt>
                <c:pt idx="1">
                  <c:v>28.51</c:v>
                </c:pt>
                <c:pt idx="2">
                  <c:v>28.51</c:v>
                </c:pt>
                <c:pt idx="3">
                  <c:v>28.51</c:v>
                </c:pt>
                <c:pt idx="4">
                  <c:v>28.51</c:v>
                </c:pt>
                <c:pt idx="5">
                  <c:v>28.51</c:v>
                </c:pt>
                <c:pt idx="6">
                  <c:v>28.51</c:v>
                </c:pt>
                <c:pt idx="7">
                  <c:v>28.51</c:v>
                </c:pt>
                <c:pt idx="8">
                  <c:v>28.51</c:v>
                </c:pt>
                <c:pt idx="9">
                  <c:v>28.51</c:v>
                </c:pt>
                <c:pt idx="10">
                  <c:v>28.51</c:v>
                </c:pt>
                <c:pt idx="11">
                  <c:v>28.51</c:v>
                </c:pt>
                <c:pt idx="12">
                  <c:v>28.51</c:v>
                </c:pt>
                <c:pt idx="13">
                  <c:v>28.51</c:v>
                </c:pt>
                <c:pt idx="14">
                  <c:v>28.51</c:v>
                </c:pt>
                <c:pt idx="15">
                  <c:v>28.51</c:v>
                </c:pt>
                <c:pt idx="16">
                  <c:v>28.51</c:v>
                </c:pt>
                <c:pt idx="17">
                  <c:v>28.51</c:v>
                </c:pt>
                <c:pt idx="18">
                  <c:v>28.51</c:v>
                </c:pt>
                <c:pt idx="19">
                  <c:v>28.51</c:v>
                </c:pt>
                <c:pt idx="20">
                  <c:v>28.51</c:v>
                </c:pt>
                <c:pt idx="21">
                  <c:v>28.51</c:v>
                </c:pt>
                <c:pt idx="22">
                  <c:v>28.51</c:v>
                </c:pt>
                <c:pt idx="23">
                  <c:v>28.51</c:v>
                </c:pt>
                <c:pt idx="24">
                  <c:v>28.51</c:v>
                </c:pt>
                <c:pt idx="25">
                  <c:v>28.51</c:v>
                </c:pt>
                <c:pt idx="26">
                  <c:v>28.51</c:v>
                </c:pt>
                <c:pt idx="27">
                  <c:v>28.51</c:v>
                </c:pt>
                <c:pt idx="28">
                  <c:v>28.51</c:v>
                </c:pt>
                <c:pt idx="29">
                  <c:v>28.51</c:v>
                </c:pt>
                <c:pt idx="30">
                  <c:v>28.51</c:v>
                </c:pt>
                <c:pt idx="31">
                  <c:v>28.51</c:v>
                </c:pt>
                <c:pt idx="32">
                  <c:v>28.51</c:v>
                </c:pt>
                <c:pt idx="33">
                  <c:v>28.51</c:v>
                </c:pt>
                <c:pt idx="34">
                  <c:v>28.51</c:v>
                </c:pt>
                <c:pt idx="35">
                  <c:v>28.51</c:v>
                </c:pt>
                <c:pt idx="36">
                  <c:v>28.51</c:v>
                </c:pt>
                <c:pt idx="37">
                  <c:v>28.51</c:v>
                </c:pt>
                <c:pt idx="38">
                  <c:v>28.51</c:v>
                </c:pt>
                <c:pt idx="39">
                  <c:v>28.51</c:v>
                </c:pt>
                <c:pt idx="40">
                  <c:v>28.51</c:v>
                </c:pt>
                <c:pt idx="41">
                  <c:v>28.51</c:v>
                </c:pt>
                <c:pt idx="42">
                  <c:v>28.51</c:v>
                </c:pt>
                <c:pt idx="43">
                  <c:v>28.51</c:v>
                </c:pt>
                <c:pt idx="44">
                  <c:v>28.51</c:v>
                </c:pt>
                <c:pt idx="45">
                  <c:v>28.51</c:v>
                </c:pt>
                <c:pt idx="46">
                  <c:v>28.51</c:v>
                </c:pt>
                <c:pt idx="47">
                  <c:v>28.51</c:v>
                </c:pt>
                <c:pt idx="48">
                  <c:v>28.51</c:v>
                </c:pt>
                <c:pt idx="49">
                  <c:v>28.51</c:v>
                </c:pt>
                <c:pt idx="50">
                  <c:v>28.51</c:v>
                </c:pt>
                <c:pt idx="51">
                  <c:v>28.51</c:v>
                </c:pt>
                <c:pt idx="52">
                  <c:v>28.51</c:v>
                </c:pt>
                <c:pt idx="53">
                  <c:v>28.51</c:v>
                </c:pt>
                <c:pt idx="54">
                  <c:v>28.51</c:v>
                </c:pt>
                <c:pt idx="55">
                  <c:v>28.51</c:v>
                </c:pt>
                <c:pt idx="56">
                  <c:v>28.51</c:v>
                </c:pt>
                <c:pt idx="57">
                  <c:v>28.51</c:v>
                </c:pt>
                <c:pt idx="58">
                  <c:v>28.51</c:v>
                </c:pt>
                <c:pt idx="59">
                  <c:v>28.51</c:v>
                </c:pt>
                <c:pt idx="60">
                  <c:v>28.51</c:v>
                </c:pt>
                <c:pt idx="61">
                  <c:v>28.51</c:v>
                </c:pt>
                <c:pt idx="62">
                  <c:v>28.51</c:v>
                </c:pt>
                <c:pt idx="63">
                  <c:v>28.51</c:v>
                </c:pt>
                <c:pt idx="64">
                  <c:v>28.51</c:v>
                </c:pt>
                <c:pt idx="65">
                  <c:v>28.51</c:v>
                </c:pt>
                <c:pt idx="66">
                  <c:v>28.51</c:v>
                </c:pt>
                <c:pt idx="67">
                  <c:v>28.51</c:v>
                </c:pt>
                <c:pt idx="68">
                  <c:v>28.51</c:v>
                </c:pt>
                <c:pt idx="69">
                  <c:v>28.51</c:v>
                </c:pt>
                <c:pt idx="70">
                  <c:v>28.51</c:v>
                </c:pt>
                <c:pt idx="71">
                  <c:v>28.51</c:v>
                </c:pt>
                <c:pt idx="72">
                  <c:v>28.51</c:v>
                </c:pt>
                <c:pt idx="73">
                  <c:v>28.51</c:v>
                </c:pt>
                <c:pt idx="74">
                  <c:v>28.51</c:v>
                </c:pt>
                <c:pt idx="75">
                  <c:v>28.51</c:v>
                </c:pt>
                <c:pt idx="76">
                  <c:v>28.51</c:v>
                </c:pt>
                <c:pt idx="77">
                  <c:v>28.51</c:v>
                </c:pt>
                <c:pt idx="78">
                  <c:v>28.51</c:v>
                </c:pt>
                <c:pt idx="79">
                  <c:v>28.51</c:v>
                </c:pt>
                <c:pt idx="80">
                  <c:v>28.51</c:v>
                </c:pt>
                <c:pt idx="81">
                  <c:v>28.51</c:v>
                </c:pt>
                <c:pt idx="82">
                  <c:v>28.51</c:v>
                </c:pt>
                <c:pt idx="83">
                  <c:v>28.51</c:v>
                </c:pt>
                <c:pt idx="84">
                  <c:v>28.51</c:v>
                </c:pt>
                <c:pt idx="85">
                  <c:v>28.51</c:v>
                </c:pt>
                <c:pt idx="86">
                  <c:v>28.51</c:v>
                </c:pt>
                <c:pt idx="87">
                  <c:v>28.51</c:v>
                </c:pt>
                <c:pt idx="88">
                  <c:v>28.51</c:v>
                </c:pt>
                <c:pt idx="89">
                  <c:v>28.51</c:v>
                </c:pt>
                <c:pt idx="90">
                  <c:v>28.51</c:v>
                </c:pt>
                <c:pt idx="91">
                  <c:v>28.51</c:v>
                </c:pt>
                <c:pt idx="92">
                  <c:v>28.51</c:v>
                </c:pt>
                <c:pt idx="93">
                  <c:v>28.51</c:v>
                </c:pt>
                <c:pt idx="94">
                  <c:v>28.51</c:v>
                </c:pt>
                <c:pt idx="95">
                  <c:v>28.51</c:v>
                </c:pt>
                <c:pt idx="96">
                  <c:v>28.51</c:v>
                </c:pt>
                <c:pt idx="97">
                  <c:v>28.51</c:v>
                </c:pt>
                <c:pt idx="98">
                  <c:v>28.51</c:v>
                </c:pt>
                <c:pt idx="99">
                  <c:v>28.51</c:v>
                </c:pt>
                <c:pt idx="100">
                  <c:v>28.51</c:v>
                </c:pt>
                <c:pt idx="101">
                  <c:v>28.51</c:v>
                </c:pt>
                <c:pt idx="102">
                  <c:v>28.51</c:v>
                </c:pt>
                <c:pt idx="103">
                  <c:v>28.51</c:v>
                </c:pt>
                <c:pt idx="104">
                  <c:v>28.51</c:v>
                </c:pt>
                <c:pt idx="105">
                  <c:v>28.51</c:v>
                </c:pt>
                <c:pt idx="106">
                  <c:v>28.51</c:v>
                </c:pt>
                <c:pt idx="107">
                  <c:v>28.51</c:v>
                </c:pt>
                <c:pt idx="108">
                  <c:v>28.51</c:v>
                </c:pt>
                <c:pt idx="109">
                  <c:v>28.51</c:v>
                </c:pt>
                <c:pt idx="110">
                  <c:v>28.51</c:v>
                </c:pt>
                <c:pt idx="111">
                  <c:v>28.51</c:v>
                </c:pt>
                <c:pt idx="112">
                  <c:v>28.51</c:v>
                </c:pt>
                <c:pt idx="113">
                  <c:v>28.51</c:v>
                </c:pt>
                <c:pt idx="114">
                  <c:v>28.51</c:v>
                </c:pt>
                <c:pt idx="115">
                  <c:v>28.51</c:v>
                </c:pt>
                <c:pt idx="116">
                  <c:v>28.51</c:v>
                </c:pt>
                <c:pt idx="117">
                  <c:v>28.51</c:v>
                </c:pt>
                <c:pt idx="118">
                  <c:v>28.51</c:v>
                </c:pt>
                <c:pt idx="119">
                  <c:v>28.51</c:v>
                </c:pt>
                <c:pt idx="120">
                  <c:v>28.51</c:v>
                </c:pt>
                <c:pt idx="121">
                  <c:v>28.51</c:v>
                </c:pt>
                <c:pt idx="122">
                  <c:v>28.51</c:v>
                </c:pt>
                <c:pt idx="123">
                  <c:v>28.51</c:v>
                </c:pt>
                <c:pt idx="124">
                  <c:v>28.51</c:v>
                </c:pt>
                <c:pt idx="125">
                  <c:v>28.51</c:v>
                </c:pt>
                <c:pt idx="126">
                  <c:v>28.51</c:v>
                </c:pt>
                <c:pt idx="127">
                  <c:v>28.51</c:v>
                </c:pt>
                <c:pt idx="128">
                  <c:v>28.51</c:v>
                </c:pt>
                <c:pt idx="129">
                  <c:v>28.51</c:v>
                </c:pt>
                <c:pt idx="130">
                  <c:v>28.51</c:v>
                </c:pt>
                <c:pt idx="131">
                  <c:v>28.51</c:v>
                </c:pt>
                <c:pt idx="132">
                  <c:v>28.51</c:v>
                </c:pt>
                <c:pt idx="133">
                  <c:v>28.51</c:v>
                </c:pt>
                <c:pt idx="134">
                  <c:v>28.51</c:v>
                </c:pt>
                <c:pt idx="135">
                  <c:v>28.51</c:v>
                </c:pt>
                <c:pt idx="136">
                  <c:v>28.51</c:v>
                </c:pt>
                <c:pt idx="137">
                  <c:v>28.51</c:v>
                </c:pt>
                <c:pt idx="138">
                  <c:v>28.51</c:v>
                </c:pt>
                <c:pt idx="139">
                  <c:v>28.51</c:v>
                </c:pt>
                <c:pt idx="140">
                  <c:v>28.51</c:v>
                </c:pt>
                <c:pt idx="141">
                  <c:v>28.51</c:v>
                </c:pt>
                <c:pt idx="142">
                  <c:v>28.51</c:v>
                </c:pt>
                <c:pt idx="143">
                  <c:v>28.51</c:v>
                </c:pt>
                <c:pt idx="144">
                  <c:v>28.51</c:v>
                </c:pt>
                <c:pt idx="145">
                  <c:v>28.51</c:v>
                </c:pt>
                <c:pt idx="146">
                  <c:v>28.51</c:v>
                </c:pt>
                <c:pt idx="147">
                  <c:v>28.51</c:v>
                </c:pt>
                <c:pt idx="148">
                  <c:v>28.51</c:v>
                </c:pt>
                <c:pt idx="149">
                  <c:v>28.51</c:v>
                </c:pt>
                <c:pt idx="150">
                  <c:v>28.51</c:v>
                </c:pt>
                <c:pt idx="151">
                  <c:v>28.51</c:v>
                </c:pt>
                <c:pt idx="152">
                  <c:v>28.51</c:v>
                </c:pt>
                <c:pt idx="153">
                  <c:v>28.51</c:v>
                </c:pt>
                <c:pt idx="154">
                  <c:v>28.51</c:v>
                </c:pt>
                <c:pt idx="155">
                  <c:v>28.51</c:v>
                </c:pt>
                <c:pt idx="156">
                  <c:v>28.51</c:v>
                </c:pt>
                <c:pt idx="157">
                  <c:v>28.51</c:v>
                </c:pt>
                <c:pt idx="158">
                  <c:v>28.51</c:v>
                </c:pt>
                <c:pt idx="159">
                  <c:v>28.51</c:v>
                </c:pt>
                <c:pt idx="160">
                  <c:v>28.51</c:v>
                </c:pt>
                <c:pt idx="161">
                  <c:v>28.51</c:v>
                </c:pt>
                <c:pt idx="162">
                  <c:v>28.51</c:v>
                </c:pt>
                <c:pt idx="163">
                  <c:v>28.51</c:v>
                </c:pt>
                <c:pt idx="164">
                  <c:v>28.51</c:v>
                </c:pt>
                <c:pt idx="165">
                  <c:v>28.51</c:v>
                </c:pt>
                <c:pt idx="166">
                  <c:v>28.51</c:v>
                </c:pt>
                <c:pt idx="167">
                  <c:v>28.51</c:v>
                </c:pt>
                <c:pt idx="168">
                  <c:v>28.51</c:v>
                </c:pt>
                <c:pt idx="169">
                  <c:v>28.51</c:v>
                </c:pt>
                <c:pt idx="170">
                  <c:v>28.51</c:v>
                </c:pt>
                <c:pt idx="171">
                  <c:v>28.51</c:v>
                </c:pt>
                <c:pt idx="172">
                  <c:v>28.51</c:v>
                </c:pt>
                <c:pt idx="173">
                  <c:v>28.51</c:v>
                </c:pt>
                <c:pt idx="174">
                  <c:v>28.51</c:v>
                </c:pt>
                <c:pt idx="175">
                  <c:v>28.51</c:v>
                </c:pt>
                <c:pt idx="176">
                  <c:v>28.51</c:v>
                </c:pt>
                <c:pt idx="177">
                  <c:v>28.51</c:v>
                </c:pt>
                <c:pt idx="178">
                  <c:v>28.51</c:v>
                </c:pt>
                <c:pt idx="179">
                  <c:v>28.51</c:v>
                </c:pt>
                <c:pt idx="180">
                  <c:v>28.51</c:v>
                </c:pt>
                <c:pt idx="181">
                  <c:v>28.51</c:v>
                </c:pt>
                <c:pt idx="182">
                  <c:v>28.51</c:v>
                </c:pt>
                <c:pt idx="183">
                  <c:v>28.51</c:v>
                </c:pt>
                <c:pt idx="184">
                  <c:v>28.51</c:v>
                </c:pt>
                <c:pt idx="185">
                  <c:v>28.51</c:v>
                </c:pt>
                <c:pt idx="186">
                  <c:v>28.51</c:v>
                </c:pt>
                <c:pt idx="187">
                  <c:v>28.51</c:v>
                </c:pt>
                <c:pt idx="188">
                  <c:v>28.51</c:v>
                </c:pt>
                <c:pt idx="189">
                  <c:v>28.51</c:v>
                </c:pt>
                <c:pt idx="190">
                  <c:v>28.51</c:v>
                </c:pt>
                <c:pt idx="191">
                  <c:v>28.51</c:v>
                </c:pt>
                <c:pt idx="192">
                  <c:v>28.51</c:v>
                </c:pt>
                <c:pt idx="193">
                  <c:v>28.51</c:v>
                </c:pt>
                <c:pt idx="194">
                  <c:v>28.51</c:v>
                </c:pt>
                <c:pt idx="195">
                  <c:v>28.51</c:v>
                </c:pt>
                <c:pt idx="196">
                  <c:v>28.51</c:v>
                </c:pt>
                <c:pt idx="197">
                  <c:v>28.51</c:v>
                </c:pt>
                <c:pt idx="198">
                  <c:v>28.51</c:v>
                </c:pt>
                <c:pt idx="199">
                  <c:v>28.51</c:v>
                </c:pt>
                <c:pt idx="200">
                  <c:v>28.51</c:v>
                </c:pt>
                <c:pt idx="201">
                  <c:v>28.51</c:v>
                </c:pt>
                <c:pt idx="202">
                  <c:v>28.51</c:v>
                </c:pt>
                <c:pt idx="203">
                  <c:v>28.51</c:v>
                </c:pt>
                <c:pt idx="204">
                  <c:v>28.51</c:v>
                </c:pt>
                <c:pt idx="205">
                  <c:v>28.51</c:v>
                </c:pt>
                <c:pt idx="206">
                  <c:v>28.51</c:v>
                </c:pt>
                <c:pt idx="207">
                  <c:v>28.51</c:v>
                </c:pt>
                <c:pt idx="208">
                  <c:v>28.51</c:v>
                </c:pt>
                <c:pt idx="209">
                  <c:v>28.51</c:v>
                </c:pt>
                <c:pt idx="210">
                  <c:v>28.51</c:v>
                </c:pt>
                <c:pt idx="211">
                  <c:v>28.51</c:v>
                </c:pt>
                <c:pt idx="212">
                  <c:v>28.51</c:v>
                </c:pt>
                <c:pt idx="213">
                  <c:v>28.51</c:v>
                </c:pt>
                <c:pt idx="214">
                  <c:v>28.51</c:v>
                </c:pt>
                <c:pt idx="215">
                  <c:v>28.51</c:v>
                </c:pt>
                <c:pt idx="216">
                  <c:v>28.51</c:v>
                </c:pt>
                <c:pt idx="217">
                  <c:v>28.51</c:v>
                </c:pt>
                <c:pt idx="218">
                  <c:v>28.51</c:v>
                </c:pt>
                <c:pt idx="219">
                  <c:v>28.51</c:v>
                </c:pt>
                <c:pt idx="220">
                  <c:v>28.51</c:v>
                </c:pt>
                <c:pt idx="221">
                  <c:v>28.51</c:v>
                </c:pt>
                <c:pt idx="222">
                  <c:v>28.51</c:v>
                </c:pt>
                <c:pt idx="223">
                  <c:v>28.51</c:v>
                </c:pt>
                <c:pt idx="224">
                  <c:v>28.51</c:v>
                </c:pt>
                <c:pt idx="225">
                  <c:v>28.51</c:v>
                </c:pt>
                <c:pt idx="226">
                  <c:v>28.51</c:v>
                </c:pt>
                <c:pt idx="227">
                  <c:v>28.51</c:v>
                </c:pt>
                <c:pt idx="228">
                  <c:v>28.51</c:v>
                </c:pt>
                <c:pt idx="229">
                  <c:v>28.51</c:v>
                </c:pt>
                <c:pt idx="230">
                  <c:v>28.51</c:v>
                </c:pt>
                <c:pt idx="231">
                  <c:v>28.51</c:v>
                </c:pt>
                <c:pt idx="232">
                  <c:v>28.51</c:v>
                </c:pt>
                <c:pt idx="233">
                  <c:v>28.51</c:v>
                </c:pt>
                <c:pt idx="234">
                  <c:v>28.51</c:v>
                </c:pt>
                <c:pt idx="235">
                  <c:v>28.51</c:v>
                </c:pt>
                <c:pt idx="236">
                  <c:v>28.51</c:v>
                </c:pt>
                <c:pt idx="237">
                  <c:v>28.51</c:v>
                </c:pt>
                <c:pt idx="238">
                  <c:v>28.51</c:v>
                </c:pt>
                <c:pt idx="239">
                  <c:v>28.51</c:v>
                </c:pt>
                <c:pt idx="240">
                  <c:v>28.51</c:v>
                </c:pt>
                <c:pt idx="241">
                  <c:v>28.51</c:v>
                </c:pt>
                <c:pt idx="242">
                  <c:v>28.51</c:v>
                </c:pt>
                <c:pt idx="243">
                  <c:v>28.51</c:v>
                </c:pt>
                <c:pt idx="244">
                  <c:v>28.51</c:v>
                </c:pt>
                <c:pt idx="245">
                  <c:v>28.51</c:v>
                </c:pt>
                <c:pt idx="246">
                  <c:v>28.51</c:v>
                </c:pt>
                <c:pt idx="247">
                  <c:v>28.51</c:v>
                </c:pt>
                <c:pt idx="248">
                  <c:v>28.51</c:v>
                </c:pt>
                <c:pt idx="249">
                  <c:v>28.51</c:v>
                </c:pt>
                <c:pt idx="250">
                  <c:v>28.51</c:v>
                </c:pt>
                <c:pt idx="251">
                  <c:v>28.51</c:v>
                </c:pt>
                <c:pt idx="252">
                  <c:v>28.51</c:v>
                </c:pt>
                <c:pt idx="253">
                  <c:v>28.51</c:v>
                </c:pt>
                <c:pt idx="254">
                  <c:v>28.51</c:v>
                </c:pt>
                <c:pt idx="255">
                  <c:v>28.51</c:v>
                </c:pt>
                <c:pt idx="256">
                  <c:v>28.51</c:v>
                </c:pt>
                <c:pt idx="257">
                  <c:v>28.51</c:v>
                </c:pt>
                <c:pt idx="258">
                  <c:v>28.51</c:v>
                </c:pt>
                <c:pt idx="259">
                  <c:v>28.51</c:v>
                </c:pt>
                <c:pt idx="260">
                  <c:v>28.51</c:v>
                </c:pt>
                <c:pt idx="261">
                  <c:v>28.51</c:v>
                </c:pt>
                <c:pt idx="262">
                  <c:v>28.51</c:v>
                </c:pt>
                <c:pt idx="263">
                  <c:v>28.51</c:v>
                </c:pt>
                <c:pt idx="264">
                  <c:v>28.51</c:v>
                </c:pt>
                <c:pt idx="265">
                  <c:v>28.51</c:v>
                </c:pt>
                <c:pt idx="266">
                  <c:v>28.51</c:v>
                </c:pt>
                <c:pt idx="267">
                  <c:v>28.51</c:v>
                </c:pt>
                <c:pt idx="268">
                  <c:v>28.51</c:v>
                </c:pt>
                <c:pt idx="269">
                  <c:v>28.51</c:v>
                </c:pt>
                <c:pt idx="270">
                  <c:v>28.51</c:v>
                </c:pt>
                <c:pt idx="271">
                  <c:v>28.51</c:v>
                </c:pt>
                <c:pt idx="272">
                  <c:v>28.51</c:v>
                </c:pt>
                <c:pt idx="273">
                  <c:v>28.51</c:v>
                </c:pt>
                <c:pt idx="274">
                  <c:v>28.51</c:v>
                </c:pt>
                <c:pt idx="275">
                  <c:v>28.51</c:v>
                </c:pt>
                <c:pt idx="276">
                  <c:v>28.51</c:v>
                </c:pt>
                <c:pt idx="277">
                  <c:v>28.51</c:v>
                </c:pt>
                <c:pt idx="278">
                  <c:v>28.51</c:v>
                </c:pt>
                <c:pt idx="279">
                  <c:v>28.51</c:v>
                </c:pt>
                <c:pt idx="280">
                  <c:v>28.51</c:v>
                </c:pt>
                <c:pt idx="281">
                  <c:v>28.51</c:v>
                </c:pt>
                <c:pt idx="282">
                  <c:v>28.51</c:v>
                </c:pt>
                <c:pt idx="283">
                  <c:v>28.51</c:v>
                </c:pt>
                <c:pt idx="284">
                  <c:v>28.51</c:v>
                </c:pt>
                <c:pt idx="285">
                  <c:v>28.51</c:v>
                </c:pt>
                <c:pt idx="286">
                  <c:v>28.51</c:v>
                </c:pt>
                <c:pt idx="287">
                  <c:v>28.51</c:v>
                </c:pt>
                <c:pt idx="288">
                  <c:v>28.51</c:v>
                </c:pt>
                <c:pt idx="289">
                  <c:v>28.51</c:v>
                </c:pt>
                <c:pt idx="290">
                  <c:v>28.51</c:v>
                </c:pt>
                <c:pt idx="291">
                  <c:v>28.51</c:v>
                </c:pt>
                <c:pt idx="292">
                  <c:v>28.51</c:v>
                </c:pt>
                <c:pt idx="293">
                  <c:v>28.51</c:v>
                </c:pt>
                <c:pt idx="294">
                  <c:v>28.51</c:v>
                </c:pt>
                <c:pt idx="295">
                  <c:v>28.51</c:v>
                </c:pt>
                <c:pt idx="296">
                  <c:v>28.51</c:v>
                </c:pt>
                <c:pt idx="297">
                  <c:v>28.51</c:v>
                </c:pt>
                <c:pt idx="298">
                  <c:v>28.51</c:v>
                </c:pt>
                <c:pt idx="299">
                  <c:v>28.51</c:v>
                </c:pt>
                <c:pt idx="300">
                  <c:v>28.51</c:v>
                </c:pt>
                <c:pt idx="301">
                  <c:v>28.51</c:v>
                </c:pt>
                <c:pt idx="302">
                  <c:v>28.51</c:v>
                </c:pt>
                <c:pt idx="303">
                  <c:v>28.51</c:v>
                </c:pt>
                <c:pt idx="304">
                  <c:v>28.51</c:v>
                </c:pt>
                <c:pt idx="305">
                  <c:v>28.51</c:v>
                </c:pt>
                <c:pt idx="306">
                  <c:v>28.51</c:v>
                </c:pt>
                <c:pt idx="307">
                  <c:v>28.51</c:v>
                </c:pt>
                <c:pt idx="308">
                  <c:v>28.51</c:v>
                </c:pt>
                <c:pt idx="309">
                  <c:v>28.51</c:v>
                </c:pt>
                <c:pt idx="310">
                  <c:v>28.51</c:v>
                </c:pt>
                <c:pt idx="311">
                  <c:v>28.51</c:v>
                </c:pt>
                <c:pt idx="312">
                  <c:v>28.51</c:v>
                </c:pt>
                <c:pt idx="313">
                  <c:v>28.51</c:v>
                </c:pt>
                <c:pt idx="314">
                  <c:v>28.51</c:v>
                </c:pt>
                <c:pt idx="315">
                  <c:v>28.51</c:v>
                </c:pt>
                <c:pt idx="316">
                  <c:v>28.51</c:v>
                </c:pt>
                <c:pt idx="317">
                  <c:v>28.51</c:v>
                </c:pt>
                <c:pt idx="318">
                  <c:v>28.51</c:v>
                </c:pt>
                <c:pt idx="319">
                  <c:v>28.51</c:v>
                </c:pt>
                <c:pt idx="320">
                  <c:v>28.51</c:v>
                </c:pt>
                <c:pt idx="321">
                  <c:v>28.51</c:v>
                </c:pt>
                <c:pt idx="322">
                  <c:v>28.51</c:v>
                </c:pt>
                <c:pt idx="323">
                  <c:v>28.51</c:v>
                </c:pt>
                <c:pt idx="324">
                  <c:v>28.51</c:v>
                </c:pt>
                <c:pt idx="325">
                  <c:v>28.51</c:v>
                </c:pt>
                <c:pt idx="326">
                  <c:v>28.51</c:v>
                </c:pt>
                <c:pt idx="327">
                  <c:v>28.51</c:v>
                </c:pt>
                <c:pt idx="328">
                  <c:v>28.51</c:v>
                </c:pt>
                <c:pt idx="329">
                  <c:v>28.51</c:v>
                </c:pt>
                <c:pt idx="330">
                  <c:v>28.51</c:v>
                </c:pt>
                <c:pt idx="331">
                  <c:v>28.51</c:v>
                </c:pt>
                <c:pt idx="332">
                  <c:v>28.51</c:v>
                </c:pt>
                <c:pt idx="333">
                  <c:v>28.51</c:v>
                </c:pt>
                <c:pt idx="334">
                  <c:v>28.51</c:v>
                </c:pt>
                <c:pt idx="335">
                  <c:v>28.51</c:v>
                </c:pt>
                <c:pt idx="336">
                  <c:v>28.51</c:v>
                </c:pt>
                <c:pt idx="337">
                  <c:v>28.51</c:v>
                </c:pt>
                <c:pt idx="338">
                  <c:v>28.51</c:v>
                </c:pt>
                <c:pt idx="339">
                  <c:v>28.51</c:v>
                </c:pt>
                <c:pt idx="340">
                  <c:v>28.51</c:v>
                </c:pt>
                <c:pt idx="341">
                  <c:v>28.51</c:v>
                </c:pt>
                <c:pt idx="342">
                  <c:v>28.51</c:v>
                </c:pt>
                <c:pt idx="343">
                  <c:v>28.51</c:v>
                </c:pt>
                <c:pt idx="344">
                  <c:v>28.51</c:v>
                </c:pt>
                <c:pt idx="345">
                  <c:v>28.51</c:v>
                </c:pt>
                <c:pt idx="346">
                  <c:v>28.51</c:v>
                </c:pt>
                <c:pt idx="347">
                  <c:v>28.51</c:v>
                </c:pt>
                <c:pt idx="348">
                  <c:v>28.51</c:v>
                </c:pt>
                <c:pt idx="349">
                  <c:v>28.51</c:v>
                </c:pt>
                <c:pt idx="350">
                  <c:v>28.51</c:v>
                </c:pt>
                <c:pt idx="351">
                  <c:v>28.51</c:v>
                </c:pt>
                <c:pt idx="352">
                  <c:v>28.51</c:v>
                </c:pt>
                <c:pt idx="353">
                  <c:v>28.51</c:v>
                </c:pt>
                <c:pt idx="354">
                  <c:v>28.51</c:v>
                </c:pt>
                <c:pt idx="355">
                  <c:v>28.51</c:v>
                </c:pt>
                <c:pt idx="356">
                  <c:v>28.51</c:v>
                </c:pt>
                <c:pt idx="357">
                  <c:v>28.51</c:v>
                </c:pt>
                <c:pt idx="358">
                  <c:v>28.51</c:v>
                </c:pt>
                <c:pt idx="359">
                  <c:v>28.51</c:v>
                </c:pt>
                <c:pt idx="360">
                  <c:v>28.51</c:v>
                </c:pt>
                <c:pt idx="361">
                  <c:v>28.51</c:v>
                </c:pt>
                <c:pt idx="362">
                  <c:v>28.51</c:v>
                </c:pt>
                <c:pt idx="363">
                  <c:v>28.51</c:v>
                </c:pt>
                <c:pt idx="364">
                  <c:v>28.51</c:v>
                </c:pt>
                <c:pt idx="365">
                  <c:v>28.51</c:v>
                </c:pt>
                <c:pt idx="366">
                  <c:v>28.51</c:v>
                </c:pt>
                <c:pt idx="367">
                  <c:v>28.51</c:v>
                </c:pt>
                <c:pt idx="368">
                  <c:v>28.51</c:v>
                </c:pt>
                <c:pt idx="369">
                  <c:v>28.51</c:v>
                </c:pt>
                <c:pt idx="370">
                  <c:v>28.51</c:v>
                </c:pt>
                <c:pt idx="371">
                  <c:v>28.51</c:v>
                </c:pt>
                <c:pt idx="372">
                  <c:v>28.51</c:v>
                </c:pt>
                <c:pt idx="373">
                  <c:v>28.51</c:v>
                </c:pt>
                <c:pt idx="374">
                  <c:v>28.51</c:v>
                </c:pt>
                <c:pt idx="375">
                  <c:v>28.51</c:v>
                </c:pt>
                <c:pt idx="376">
                  <c:v>28.51</c:v>
                </c:pt>
                <c:pt idx="377">
                  <c:v>28.51</c:v>
                </c:pt>
                <c:pt idx="378">
                  <c:v>28.51</c:v>
                </c:pt>
                <c:pt idx="379">
                  <c:v>28.51</c:v>
                </c:pt>
                <c:pt idx="380">
                  <c:v>28.51</c:v>
                </c:pt>
                <c:pt idx="381">
                  <c:v>28.51</c:v>
                </c:pt>
                <c:pt idx="382">
                  <c:v>28.51</c:v>
                </c:pt>
                <c:pt idx="383">
                  <c:v>28.51</c:v>
                </c:pt>
                <c:pt idx="384">
                  <c:v>28.51</c:v>
                </c:pt>
                <c:pt idx="385">
                  <c:v>28.51</c:v>
                </c:pt>
                <c:pt idx="386">
                  <c:v>28.51</c:v>
                </c:pt>
                <c:pt idx="387">
                  <c:v>28.51</c:v>
                </c:pt>
                <c:pt idx="388">
                  <c:v>28.51</c:v>
                </c:pt>
                <c:pt idx="389">
                  <c:v>28.51</c:v>
                </c:pt>
                <c:pt idx="390">
                  <c:v>28.51</c:v>
                </c:pt>
                <c:pt idx="391">
                  <c:v>28.51</c:v>
                </c:pt>
                <c:pt idx="392">
                  <c:v>28.51</c:v>
                </c:pt>
                <c:pt idx="393">
                  <c:v>28.51</c:v>
                </c:pt>
                <c:pt idx="394">
                  <c:v>28.51</c:v>
                </c:pt>
                <c:pt idx="395">
                  <c:v>28.51</c:v>
                </c:pt>
                <c:pt idx="396">
                  <c:v>28.51</c:v>
                </c:pt>
                <c:pt idx="397">
                  <c:v>28.51</c:v>
                </c:pt>
                <c:pt idx="398">
                  <c:v>28.51</c:v>
                </c:pt>
                <c:pt idx="399">
                  <c:v>28.51</c:v>
                </c:pt>
                <c:pt idx="400">
                  <c:v>28.51</c:v>
                </c:pt>
                <c:pt idx="401">
                  <c:v>28.51</c:v>
                </c:pt>
                <c:pt idx="402">
                  <c:v>28.51</c:v>
                </c:pt>
                <c:pt idx="403">
                  <c:v>28.51</c:v>
                </c:pt>
                <c:pt idx="404">
                  <c:v>28.51</c:v>
                </c:pt>
                <c:pt idx="405">
                  <c:v>28.51</c:v>
                </c:pt>
                <c:pt idx="406">
                  <c:v>28.51</c:v>
                </c:pt>
                <c:pt idx="407">
                  <c:v>28.51</c:v>
                </c:pt>
                <c:pt idx="408">
                  <c:v>28.51</c:v>
                </c:pt>
                <c:pt idx="409">
                  <c:v>28.51</c:v>
                </c:pt>
                <c:pt idx="410">
                  <c:v>28.51</c:v>
                </c:pt>
                <c:pt idx="411">
                  <c:v>28.51</c:v>
                </c:pt>
                <c:pt idx="412">
                  <c:v>28.51</c:v>
                </c:pt>
                <c:pt idx="413">
                  <c:v>28.51</c:v>
                </c:pt>
                <c:pt idx="414">
                  <c:v>28.51</c:v>
                </c:pt>
                <c:pt idx="415">
                  <c:v>28.51</c:v>
                </c:pt>
                <c:pt idx="416">
                  <c:v>28.51</c:v>
                </c:pt>
                <c:pt idx="417">
                  <c:v>28.51</c:v>
                </c:pt>
                <c:pt idx="418">
                  <c:v>28.51</c:v>
                </c:pt>
                <c:pt idx="419">
                  <c:v>28.51</c:v>
                </c:pt>
                <c:pt idx="420">
                  <c:v>28.51</c:v>
                </c:pt>
                <c:pt idx="421">
                  <c:v>28.51</c:v>
                </c:pt>
                <c:pt idx="422">
                  <c:v>28.51</c:v>
                </c:pt>
                <c:pt idx="423">
                  <c:v>28.51</c:v>
                </c:pt>
                <c:pt idx="424">
                  <c:v>28.51</c:v>
                </c:pt>
                <c:pt idx="425">
                  <c:v>28.51</c:v>
                </c:pt>
                <c:pt idx="426">
                  <c:v>28.51</c:v>
                </c:pt>
                <c:pt idx="427">
                  <c:v>28.51</c:v>
                </c:pt>
                <c:pt idx="428">
                  <c:v>28.51</c:v>
                </c:pt>
                <c:pt idx="429">
                  <c:v>28.51</c:v>
                </c:pt>
                <c:pt idx="430">
                  <c:v>28.51</c:v>
                </c:pt>
                <c:pt idx="431">
                  <c:v>28.51</c:v>
                </c:pt>
                <c:pt idx="432">
                  <c:v>28.51</c:v>
                </c:pt>
                <c:pt idx="433">
                  <c:v>28.51</c:v>
                </c:pt>
                <c:pt idx="434">
                  <c:v>28.51</c:v>
                </c:pt>
                <c:pt idx="435">
                  <c:v>28.51</c:v>
                </c:pt>
                <c:pt idx="436">
                  <c:v>28.51</c:v>
                </c:pt>
                <c:pt idx="437">
                  <c:v>28.51</c:v>
                </c:pt>
                <c:pt idx="438">
                  <c:v>28.51</c:v>
                </c:pt>
                <c:pt idx="439">
                  <c:v>28.51</c:v>
                </c:pt>
                <c:pt idx="440">
                  <c:v>28.51</c:v>
                </c:pt>
                <c:pt idx="441">
                  <c:v>28.51</c:v>
                </c:pt>
                <c:pt idx="442">
                  <c:v>28.51</c:v>
                </c:pt>
                <c:pt idx="443">
                  <c:v>28.51</c:v>
                </c:pt>
                <c:pt idx="444">
                  <c:v>28.51</c:v>
                </c:pt>
                <c:pt idx="445">
                  <c:v>28.51</c:v>
                </c:pt>
                <c:pt idx="446">
                  <c:v>28.51</c:v>
                </c:pt>
                <c:pt idx="447">
                  <c:v>28.51</c:v>
                </c:pt>
                <c:pt idx="448">
                  <c:v>28.51</c:v>
                </c:pt>
                <c:pt idx="449">
                  <c:v>28.51</c:v>
                </c:pt>
                <c:pt idx="450">
                  <c:v>28.51</c:v>
                </c:pt>
                <c:pt idx="451">
                  <c:v>28.51</c:v>
                </c:pt>
                <c:pt idx="452">
                  <c:v>28.51</c:v>
                </c:pt>
                <c:pt idx="453">
                  <c:v>28.51</c:v>
                </c:pt>
                <c:pt idx="454">
                  <c:v>28.51</c:v>
                </c:pt>
                <c:pt idx="455">
                  <c:v>28.51</c:v>
                </c:pt>
                <c:pt idx="456">
                  <c:v>28.51</c:v>
                </c:pt>
                <c:pt idx="457">
                  <c:v>28.51</c:v>
                </c:pt>
                <c:pt idx="458">
                  <c:v>28.51</c:v>
                </c:pt>
                <c:pt idx="459">
                  <c:v>28.51</c:v>
                </c:pt>
                <c:pt idx="460">
                  <c:v>28.51</c:v>
                </c:pt>
                <c:pt idx="461">
                  <c:v>28.51</c:v>
                </c:pt>
                <c:pt idx="462">
                  <c:v>28.51</c:v>
                </c:pt>
                <c:pt idx="463">
                  <c:v>28.51</c:v>
                </c:pt>
                <c:pt idx="464">
                  <c:v>28.51</c:v>
                </c:pt>
                <c:pt idx="465">
                  <c:v>28.51</c:v>
                </c:pt>
                <c:pt idx="466">
                  <c:v>28.51</c:v>
                </c:pt>
                <c:pt idx="467">
                  <c:v>28.51</c:v>
                </c:pt>
                <c:pt idx="468">
                  <c:v>28.51</c:v>
                </c:pt>
                <c:pt idx="469">
                  <c:v>28.51</c:v>
                </c:pt>
                <c:pt idx="470">
                  <c:v>28.51</c:v>
                </c:pt>
                <c:pt idx="471">
                  <c:v>28.51</c:v>
                </c:pt>
                <c:pt idx="472">
                  <c:v>28.51</c:v>
                </c:pt>
                <c:pt idx="473">
                  <c:v>28.51</c:v>
                </c:pt>
                <c:pt idx="474">
                  <c:v>28.51</c:v>
                </c:pt>
                <c:pt idx="475">
                  <c:v>28.51</c:v>
                </c:pt>
                <c:pt idx="476">
                  <c:v>28.51</c:v>
                </c:pt>
                <c:pt idx="477">
                  <c:v>28.51</c:v>
                </c:pt>
                <c:pt idx="478">
                  <c:v>28.51</c:v>
                </c:pt>
                <c:pt idx="479">
                  <c:v>28.51</c:v>
                </c:pt>
                <c:pt idx="480">
                  <c:v>28.51</c:v>
                </c:pt>
                <c:pt idx="481">
                  <c:v>28.51</c:v>
                </c:pt>
                <c:pt idx="482">
                  <c:v>28.51</c:v>
                </c:pt>
                <c:pt idx="483">
                  <c:v>28.51</c:v>
                </c:pt>
                <c:pt idx="484">
                  <c:v>28.51</c:v>
                </c:pt>
                <c:pt idx="485">
                  <c:v>28.51</c:v>
                </c:pt>
                <c:pt idx="486">
                  <c:v>28.51</c:v>
                </c:pt>
                <c:pt idx="487">
                  <c:v>28.51</c:v>
                </c:pt>
                <c:pt idx="488">
                  <c:v>28.51</c:v>
                </c:pt>
              </c:numCache>
            </c:numRef>
          </c:val>
          <c:smooth val="0"/>
          <c:extLst>
            <c:ext xmlns:c16="http://schemas.microsoft.com/office/drawing/2014/chart" uri="{C3380CC4-5D6E-409C-BE32-E72D297353CC}">
              <c16:uniqueId val="{00000002-EACC-476B-B743-CA3F93F6A48D}"/>
            </c:ext>
          </c:extLst>
        </c:ser>
        <c:dLbls>
          <c:showLegendKey val="0"/>
          <c:showVal val="0"/>
          <c:showCatName val="0"/>
          <c:showSerName val="0"/>
          <c:showPercent val="0"/>
          <c:showBubbleSize val="0"/>
        </c:dLbls>
        <c:smooth val="0"/>
        <c:axId val="341906816"/>
        <c:axId val="341906424"/>
      </c:lineChart>
      <c:catAx>
        <c:axId val="341906816"/>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sz="1100" b="1">
                    <a:latin typeface="Verdana" panose="020B0604030504040204" pitchFamily="34" charset="0"/>
                    <a:ea typeface="Verdana" panose="020B0604030504040204" pitchFamily="34" charset="0"/>
                  </a:rPr>
                  <a:t>1979M01-2019M09</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341906424"/>
        <c:crosses val="autoZero"/>
        <c:auto val="1"/>
        <c:lblAlgn val="ctr"/>
        <c:lblOffset val="100"/>
        <c:noMultiLvlLbl val="0"/>
      </c:catAx>
      <c:valAx>
        <c:axId val="341906424"/>
        <c:scaling>
          <c:orientation val="minMax"/>
        </c:scaling>
        <c:delete val="0"/>
        <c:axPos val="l"/>
        <c:majorGridlines>
          <c:spPr>
            <a:ln w="9525" cap="flat" cmpd="sng" algn="ctr">
              <a:solidFill>
                <a:srgbClr val="008000"/>
              </a:solidFill>
              <a:round/>
            </a:ln>
            <a:effectLst/>
          </c:spPr>
        </c:majorGridlines>
        <c:title>
          <c:tx>
            <c:rich>
              <a:bodyPr rot="-5400000" spcFirstLastPara="1" vertOverflow="ellipsis" vert="horz" wrap="square" anchor="ctr" anchorCtr="1"/>
              <a:lstStyle/>
              <a:p>
                <a:pPr>
                  <a:defRPr sz="1400" b="1" i="0" u="none" strike="noStrike" kern="1200" baseline="0">
                    <a:solidFill>
                      <a:srgbClr val="FF0000"/>
                    </a:solidFill>
                    <a:latin typeface="Verdana" panose="020B0604030504040204" pitchFamily="34" charset="0"/>
                    <a:ea typeface="Verdana" panose="020B0604030504040204" pitchFamily="34" charset="0"/>
                    <a:cs typeface="+mn-cs"/>
                  </a:defRPr>
                </a:pPr>
                <a:r>
                  <a:rPr lang="en-US" sz="1400" b="1">
                    <a:solidFill>
                      <a:srgbClr val="FF0000"/>
                    </a:solidFill>
                    <a:latin typeface="Verdana" panose="020B0604030504040204" pitchFamily="34" charset="0"/>
                    <a:ea typeface="Verdana" panose="020B0604030504040204" pitchFamily="34" charset="0"/>
                  </a:rPr>
                  <a:t>Crude oil price USD</a:t>
                </a:r>
              </a:p>
            </c:rich>
          </c:tx>
          <c:overlay val="0"/>
          <c:spPr>
            <a:noFill/>
            <a:ln>
              <a:noFill/>
            </a:ln>
            <a:effectLst/>
          </c:spPr>
          <c:txPr>
            <a:bodyPr rot="-5400000" spcFirstLastPara="1" vertOverflow="ellipsis" vert="horz" wrap="square" anchor="ctr" anchorCtr="1"/>
            <a:lstStyle/>
            <a:p>
              <a:pPr>
                <a:defRPr sz="1400" b="1" i="0" u="none" strike="noStrike" kern="1200" baseline="0">
                  <a:solidFill>
                    <a:srgbClr val="FF0000"/>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341906816"/>
        <c:crosses val="autoZero"/>
        <c:crossBetween val="between"/>
      </c:valAx>
      <c:spPr>
        <a:solidFill>
          <a:schemeClr val="accent4">
            <a:lumMod val="40000"/>
            <a:lumOff val="60000"/>
          </a:schemeClr>
        </a:solidFill>
        <a:ln w="12700">
          <a:solidFill>
            <a:schemeClr val="tx1"/>
          </a:solidFill>
        </a:ln>
        <a:effectLst/>
      </c:spPr>
    </c:plotArea>
    <c:plotVisOnly val="1"/>
    <c:dispBlanksAs val="gap"/>
    <c:showDLblsOverMax val="0"/>
  </c:chart>
  <c:spPr>
    <a:solidFill>
      <a:schemeClr val="accent6">
        <a:lumMod val="40000"/>
        <a:lumOff val="60000"/>
      </a:schemeClr>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sz="1200" b="1">
                <a:latin typeface="Verdana" panose="020B0604030504040204" pitchFamily="34" charset="0"/>
                <a:ea typeface="Verdana" panose="020B0604030504040204" pitchFamily="34" charset="0"/>
              </a:rPr>
              <a:t>Percentage of fallow</a:t>
            </a:r>
            <a:r>
              <a:rPr lang="en-US" sz="1200" b="1" baseline="0">
                <a:latin typeface="Verdana" panose="020B0604030504040204" pitchFamily="34" charset="0"/>
                <a:ea typeface="Verdana" panose="020B0604030504040204" pitchFamily="34" charset="0"/>
              </a:rPr>
              <a:t> land used for HTG</a:t>
            </a:r>
            <a:r>
              <a:rPr lang="en-US" sz="1200" b="1">
                <a:latin typeface="Verdana" panose="020B0604030504040204" pitchFamily="34" charset="0"/>
                <a:ea typeface="Verdana" panose="020B0604030504040204" pitchFamily="34" charset="0"/>
              </a:rPr>
              <a:t> </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pieChart>
        <c:varyColors val="1"/>
        <c:ser>
          <c:idx val="0"/>
          <c:order val="0"/>
          <c:spPr>
            <a:solidFill>
              <a:srgbClr val="008000"/>
            </a:solidFill>
          </c:spPr>
          <c:dPt>
            <c:idx val="0"/>
            <c:bubble3D val="0"/>
            <c:spPr>
              <a:solidFill>
                <a:srgbClr val="008000"/>
              </a:solidFill>
              <a:ln w="19050">
                <a:solidFill>
                  <a:schemeClr val="lt1"/>
                </a:solidFill>
              </a:ln>
              <a:effectLst/>
            </c:spPr>
            <c:extLst>
              <c:ext xmlns:c16="http://schemas.microsoft.com/office/drawing/2014/chart" uri="{C3380CC4-5D6E-409C-BE32-E72D297353CC}">
                <c16:uniqueId val="{00000001-5684-4933-A319-B93DDBB8814B}"/>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5684-4933-A319-B93DDBB8814B}"/>
              </c:ext>
            </c:extLst>
          </c:dPt>
          <c:dPt>
            <c:idx val="2"/>
            <c:bubble3D val="0"/>
            <c:spPr>
              <a:solidFill>
                <a:srgbClr val="008000"/>
              </a:solidFill>
              <a:ln w="19050">
                <a:solidFill>
                  <a:schemeClr val="lt1"/>
                </a:solidFill>
              </a:ln>
              <a:effectLst/>
            </c:spPr>
            <c:extLst>
              <c:ext xmlns:c16="http://schemas.microsoft.com/office/drawing/2014/chart" uri="{C3380CC4-5D6E-409C-BE32-E72D297353CC}">
                <c16:uniqueId val="{00000005-5684-4933-A319-B93DDBB8814B}"/>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'Tonnes and Hectares of HTG'!$E$21:$E$23</c:f>
              <c:numCache>
                <c:formatCode>#,##0</c:formatCode>
                <c:ptCount val="3"/>
                <c:pt idx="0">
                  <c:v>7758</c:v>
                </c:pt>
                <c:pt idx="1">
                  <c:v>372.39297872139349</c:v>
                </c:pt>
                <c:pt idx="2" formatCode="0.00%">
                  <c:v>4.800115735001205E-2</c:v>
                </c:pt>
              </c:numCache>
            </c:numRef>
          </c:val>
          <c:extLst>
            <c:ext xmlns:c16="http://schemas.microsoft.com/office/drawing/2014/chart" uri="{C3380CC4-5D6E-409C-BE32-E72D297353CC}">
              <c16:uniqueId val="{00000006-5684-4933-A319-B93DDBB8814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emf"/><Relationship Id="rId1" Type="http://schemas.openxmlformats.org/officeDocument/2006/relationships/image" Target="../media/image15.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 Id="rId4"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3.jpg"/><Relationship Id="rId1" Type="http://schemas.openxmlformats.org/officeDocument/2006/relationships/image" Target="../media/image12.jp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8</xdr:col>
      <xdr:colOff>600075</xdr:colOff>
      <xdr:row>6</xdr:row>
      <xdr:rowOff>76200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9050" y="0"/>
          <a:ext cx="5457825" cy="5067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95250</xdr:colOff>
      <xdr:row>0</xdr:row>
      <xdr:rowOff>9525</xdr:rowOff>
    </xdr:from>
    <xdr:to>
      <xdr:col>20</xdr:col>
      <xdr:colOff>104775</xdr:colOff>
      <xdr:row>19</xdr:row>
      <xdr:rowOff>114820</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14696"/>
        <a:stretch/>
      </xdr:blipFill>
      <xdr:spPr bwMode="auto">
        <a:xfrm>
          <a:off x="4972050" y="9525"/>
          <a:ext cx="7324725" cy="3724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28575</xdr:rowOff>
    </xdr:from>
    <xdr:to>
      <xdr:col>8</xdr:col>
      <xdr:colOff>152399</xdr:colOff>
      <xdr:row>22</xdr:row>
      <xdr:rowOff>108769</xdr:rowOff>
    </xdr:to>
    <xdr:pic>
      <xdr:nvPicPr>
        <xdr:cNvPr id="6" name="Picture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0" y="28575"/>
          <a:ext cx="5029199" cy="427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0</xdr:row>
      <xdr:rowOff>0</xdr:rowOff>
    </xdr:from>
    <xdr:to>
      <xdr:col>30</xdr:col>
      <xdr:colOff>133350</xdr:colOff>
      <xdr:row>19</xdr:row>
      <xdr:rowOff>97438</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t="10408"/>
        <a:stretch/>
      </xdr:blipFill>
      <xdr:spPr>
        <a:xfrm>
          <a:off x="12192000" y="0"/>
          <a:ext cx="6229350" cy="3716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1031014</xdr:colOff>
      <xdr:row>40</xdr:row>
      <xdr:rowOff>20037</xdr:rowOff>
    </xdr:from>
    <xdr:to>
      <xdr:col>7</xdr:col>
      <xdr:colOff>882464</xdr:colOff>
      <xdr:row>76</xdr:row>
      <xdr:rowOff>28014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504825</xdr:colOff>
      <xdr:row>0</xdr:row>
      <xdr:rowOff>19050</xdr:rowOff>
    </xdr:from>
    <xdr:to>
      <xdr:col>21</xdr:col>
      <xdr:colOff>504825</xdr:colOff>
      <xdr:row>16</xdr:row>
      <xdr:rowOff>157163</xdr:rowOff>
    </xdr:to>
    <xdr:pic>
      <xdr:nvPicPr>
        <xdr:cNvPr id="4" name="Picture 3" descr="A person standing in front of a tree&#10;&#10;Description automatically generated">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772025" y="19050"/>
          <a:ext cx="4248150" cy="3186113"/>
        </a:xfrm>
        <a:prstGeom prst="rect">
          <a:avLst/>
        </a:prstGeom>
        <a:ln>
          <a:solidFill>
            <a:schemeClr val="accent6">
              <a:lumMod val="75000"/>
            </a:schemeClr>
          </a:solidFill>
        </a:ln>
      </xdr:spPr>
    </xdr:pic>
    <xdr:clientData/>
  </xdr:twoCellAnchor>
  <xdr:twoCellAnchor editAs="oneCell">
    <xdr:from>
      <xdr:col>0</xdr:col>
      <xdr:colOff>0</xdr:colOff>
      <xdr:row>0</xdr:row>
      <xdr:rowOff>0</xdr:rowOff>
    </xdr:from>
    <xdr:to>
      <xdr:col>14</xdr:col>
      <xdr:colOff>332838</xdr:colOff>
      <xdr:row>21</xdr:row>
      <xdr:rowOff>188460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stretch>
          <a:fillRect/>
        </a:stretch>
      </xdr:blipFill>
      <xdr:spPr>
        <a:xfrm>
          <a:off x="0" y="0"/>
          <a:ext cx="8867238" cy="4274685"/>
        </a:xfrm>
        <a:prstGeom prst="rect">
          <a:avLst/>
        </a:prstGeom>
        <a:solidFill>
          <a:schemeClr val="accent6">
            <a:lumMod val="75000"/>
          </a:schemeClr>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16727</xdr:colOff>
      <xdr:row>0</xdr:row>
      <xdr:rowOff>0</xdr:rowOff>
    </xdr:from>
    <xdr:to>
      <xdr:col>31</xdr:col>
      <xdr:colOff>338459</xdr:colOff>
      <xdr:row>23</xdr:row>
      <xdr:rowOff>180975</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8655902" y="0"/>
          <a:ext cx="8246532" cy="4638675"/>
        </a:xfrm>
        <a:prstGeom prst="rect">
          <a:avLst/>
        </a:prstGeom>
        <a:solidFill>
          <a:schemeClr val="accent2">
            <a:lumMod val="20000"/>
            <a:lumOff val="80000"/>
          </a:schemeClr>
        </a:solidFill>
        <a:ln>
          <a:solidFill>
            <a:schemeClr val="accent6">
              <a:lumMod val="75000"/>
            </a:schemeClr>
          </a:solidFill>
        </a:ln>
      </xdr:spPr>
    </xdr:pic>
    <xdr:clientData/>
  </xdr:twoCellAnchor>
  <xdr:twoCellAnchor editAs="oneCell">
    <xdr:from>
      <xdr:col>0</xdr:col>
      <xdr:colOff>0</xdr:colOff>
      <xdr:row>0</xdr:row>
      <xdr:rowOff>19439</xdr:rowOff>
    </xdr:from>
    <xdr:to>
      <xdr:col>14</xdr:col>
      <xdr:colOff>469687</xdr:colOff>
      <xdr:row>21</xdr:row>
      <xdr:rowOff>134226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0" y="19439"/>
          <a:ext cx="8867238" cy="4274685"/>
        </a:xfrm>
        <a:prstGeom prst="rect">
          <a:avLst/>
        </a:prstGeom>
        <a:solidFill>
          <a:schemeClr val="accent6">
            <a:lumMod val="75000"/>
          </a:schemeClr>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595311</xdr:colOff>
      <xdr:row>1</xdr:row>
      <xdr:rowOff>14882</xdr:rowOff>
    </xdr:from>
    <xdr:to>
      <xdr:col>19</xdr:col>
      <xdr:colOff>327421</xdr:colOff>
      <xdr:row>35</xdr:row>
      <xdr:rowOff>1786</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23880</xdr:colOff>
      <xdr:row>2</xdr:row>
      <xdr:rowOff>11270</xdr:rowOff>
    </xdr:from>
    <xdr:to>
      <xdr:col>15</xdr:col>
      <xdr:colOff>550035</xdr:colOff>
      <xdr:row>24</xdr:row>
      <xdr:rowOff>147570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27577" y="574721"/>
          <a:ext cx="8977916" cy="4469504"/>
        </a:xfrm>
        <a:prstGeom prst="rect">
          <a:avLst/>
        </a:prstGeom>
        <a:noFill/>
        <a:ln w="12700">
          <a:solidFill>
            <a:schemeClr val="accent6">
              <a:lumMod val="75000"/>
            </a:schemeClr>
          </a:solidFill>
        </a:ln>
      </xdr:spPr>
    </xdr:pic>
    <xdr:clientData/>
  </xdr:twoCellAnchor>
  <xdr:twoCellAnchor editAs="oneCell">
    <xdr:from>
      <xdr:col>1</xdr:col>
      <xdr:colOff>26831</xdr:colOff>
      <xdr:row>26</xdr:row>
      <xdr:rowOff>39915</xdr:rowOff>
    </xdr:from>
    <xdr:to>
      <xdr:col>15</xdr:col>
      <xdr:colOff>563451</xdr:colOff>
      <xdr:row>51</xdr:row>
      <xdr:rowOff>160987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630528" y="5312204"/>
          <a:ext cx="8988381" cy="4816494"/>
        </a:xfrm>
        <a:prstGeom prst="rect">
          <a:avLst/>
        </a:prstGeom>
        <a:ln w="12700">
          <a:solidFill>
            <a:schemeClr val="accent6">
              <a:lumMod val="75000"/>
            </a:schemeClr>
          </a:solidFill>
        </a:ln>
      </xdr:spPr>
    </xdr:pic>
    <xdr:clientData/>
  </xdr:twoCellAnchor>
  <xdr:twoCellAnchor editAs="oneCell">
    <xdr:from>
      <xdr:col>17</xdr:col>
      <xdr:colOff>26830</xdr:colOff>
      <xdr:row>2</xdr:row>
      <xdr:rowOff>40246</xdr:rowOff>
    </xdr:from>
    <xdr:to>
      <xdr:col>28</xdr:col>
      <xdr:colOff>603696</xdr:colOff>
      <xdr:row>49</xdr:row>
      <xdr:rowOff>174402</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10289682" y="603697"/>
          <a:ext cx="7217535" cy="9162782"/>
        </a:xfrm>
        <a:prstGeom prst="rect">
          <a:avLst/>
        </a:prstGeom>
        <a:ln w="25400">
          <a:solidFill>
            <a:schemeClr val="accent6">
              <a:lumMod val="75000"/>
            </a:schemeClr>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11339</xdr:colOff>
      <xdr:row>0</xdr:row>
      <xdr:rowOff>0</xdr:rowOff>
    </xdr:from>
    <xdr:to>
      <xdr:col>8</xdr:col>
      <xdr:colOff>521608</xdr:colOff>
      <xdr:row>20</xdr:row>
      <xdr:rowOff>1814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339" y="0"/>
          <a:ext cx="6123215" cy="3857171"/>
        </a:xfrm>
        <a:prstGeom prst="rect">
          <a:avLst/>
        </a:prstGeom>
        <a:ln>
          <a:solidFill>
            <a:schemeClr val="accent6">
              <a:lumMod val="75000"/>
            </a:schemeClr>
          </a:solidFill>
        </a:ln>
      </xdr:spPr>
    </xdr:pic>
    <xdr:clientData/>
  </xdr:twoCellAnchor>
  <xdr:twoCellAnchor editAs="oneCell">
    <xdr:from>
      <xdr:col>8</xdr:col>
      <xdr:colOff>510271</xdr:colOff>
      <xdr:row>0</xdr:row>
      <xdr:rowOff>1</xdr:rowOff>
    </xdr:from>
    <xdr:to>
      <xdr:col>18</xdr:col>
      <xdr:colOff>453572</xdr:colOff>
      <xdr:row>19</xdr:row>
      <xdr:rowOff>176554</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123217" y="1"/>
          <a:ext cx="6066516" cy="3839142"/>
        </a:xfrm>
        <a:prstGeom prst="rect">
          <a:avLst/>
        </a:prstGeom>
        <a:ln>
          <a:solidFill>
            <a:schemeClr val="accent6">
              <a:lumMod val="75000"/>
            </a:schemeClr>
          </a:solidFill>
        </a:ln>
      </xdr:spPr>
    </xdr:pic>
    <xdr:clientData/>
  </xdr:twoCellAnchor>
  <xdr:twoCellAnchor editAs="oneCell">
    <xdr:from>
      <xdr:col>18</xdr:col>
      <xdr:colOff>419553</xdr:colOff>
      <xdr:row>0</xdr:row>
      <xdr:rowOff>0</xdr:rowOff>
    </xdr:from>
    <xdr:to>
      <xdr:col>28</xdr:col>
      <xdr:colOff>430893</xdr:colOff>
      <xdr:row>20</xdr:row>
      <xdr:rowOff>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155714" y="0"/>
          <a:ext cx="6134554" cy="3855357"/>
        </a:xfrm>
        <a:prstGeom prst="rect">
          <a:avLst/>
        </a:prstGeom>
        <a:ln>
          <a:solidFill>
            <a:schemeClr val="accent6">
              <a:lumMod val="75000"/>
            </a:schemeClr>
          </a:solidFill>
        </a:ln>
      </xdr:spPr>
    </xdr:pic>
    <xdr:clientData/>
  </xdr:twoCellAnchor>
  <xdr:twoCellAnchor editAs="oneCell">
    <xdr:from>
      <xdr:col>28</xdr:col>
      <xdr:colOff>442232</xdr:colOff>
      <xdr:row>0</xdr:row>
      <xdr:rowOff>11339</xdr:rowOff>
    </xdr:from>
    <xdr:to>
      <xdr:col>36</xdr:col>
      <xdr:colOff>600982</xdr:colOff>
      <xdr:row>20</xdr:row>
      <xdr:rowOff>3278</xdr:rowOff>
    </xdr:to>
    <xdr:pic>
      <xdr:nvPicPr>
        <xdr:cNvPr id="8" name="Picture 7" descr="Image result for silage clamp">
          <a:extLst>
            <a:ext uri="{FF2B5EF4-FFF2-40B4-BE49-F238E27FC236}">
              <a16:creationId xmlns:a16="http://schemas.microsoft.com/office/drawing/2014/main" id="{00000000-0008-0000-0600-000008000000}"/>
            </a:ext>
          </a:extLst>
        </xdr:cNvPr>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l="3432" t="3715" r="4776" b="4977"/>
        <a:stretch/>
      </xdr:blipFill>
      <xdr:spPr bwMode="auto">
        <a:xfrm>
          <a:off x="18301607" y="11339"/>
          <a:ext cx="5057321" cy="3847296"/>
        </a:xfrm>
        <a:prstGeom prst="rect">
          <a:avLst/>
        </a:prstGeom>
        <a:noFill/>
        <a:ln w="9525">
          <a:solidFill>
            <a:schemeClr val="accent6">
              <a:lumMod val="7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104542</xdr:colOff>
      <xdr:row>27</xdr:row>
      <xdr:rowOff>104542</xdr:rowOff>
    </xdr:from>
    <xdr:to>
      <xdr:col>16</xdr:col>
      <xdr:colOff>731799</xdr:colOff>
      <xdr:row>41</xdr:row>
      <xdr:rowOff>92926</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tretch>
          <a:fillRect/>
        </a:stretch>
      </xdr:blipFill>
      <xdr:spPr>
        <a:xfrm>
          <a:off x="16506592" y="10896367"/>
          <a:ext cx="6247007" cy="3798384"/>
        </a:xfrm>
        <a:prstGeom prst="rect">
          <a:avLst/>
        </a:prstGeom>
      </xdr:spPr>
    </xdr:pic>
    <xdr:clientData/>
  </xdr:twoCellAnchor>
  <xdr:twoCellAnchor>
    <xdr:from>
      <xdr:col>16</xdr:col>
      <xdr:colOff>627255</xdr:colOff>
      <xdr:row>36</xdr:row>
      <xdr:rowOff>243933</xdr:rowOff>
    </xdr:from>
    <xdr:to>
      <xdr:col>21</xdr:col>
      <xdr:colOff>1057043</xdr:colOff>
      <xdr:row>41</xdr:row>
      <xdr:rowOff>104542</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a:stretch>
          <a:fillRect/>
        </a:stretch>
      </xdr:blipFill>
      <xdr:spPr>
        <a:xfrm>
          <a:off x="22649055" y="12940758"/>
          <a:ext cx="6049538" cy="176560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523875</xdr:colOff>
      <xdr:row>1</xdr:row>
      <xdr:rowOff>47625</xdr:rowOff>
    </xdr:from>
    <xdr:to>
      <xdr:col>4</xdr:col>
      <xdr:colOff>1362775</xdr:colOff>
      <xdr:row>19</xdr:row>
      <xdr:rowOff>2625</xdr:rowOff>
    </xdr:to>
    <xdr:pic>
      <xdr:nvPicPr>
        <xdr:cNvPr id="2" name="Picture 1" descr="A person standing in front of a tree&#10;&#10;Description automatically generated">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23875" y="485775"/>
          <a:ext cx="4696525" cy="3384000"/>
        </a:xfrm>
        <a:prstGeom prst="rect">
          <a:avLst/>
        </a:prstGeom>
        <a:ln w="25400">
          <a:solidFill>
            <a:schemeClr val="accent6">
              <a:lumMod val="75000"/>
            </a:schemeClr>
          </a:solidFill>
        </a:ln>
      </xdr:spPr>
    </xdr:pic>
    <xdr:clientData/>
  </xdr:twoCellAnchor>
  <xdr:twoCellAnchor>
    <xdr:from>
      <xdr:col>5</xdr:col>
      <xdr:colOff>9524</xdr:colOff>
      <xdr:row>6</xdr:row>
      <xdr:rowOff>76200</xdr:rowOff>
    </xdr:from>
    <xdr:to>
      <xdr:col>11</xdr:col>
      <xdr:colOff>504824</xdr:colOff>
      <xdr:row>24</xdr:row>
      <xdr:rowOff>14287</xdr:rowOff>
    </xdr:to>
    <xdr:graphicFrame macro="">
      <xdr:nvGraphicFramePr>
        <xdr:cNvPr id="6" name="Chart 5">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ita/Desktop/PROJECTS/crude/CMOHistoricalDataMonthly%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OSHEET"/>
      <sheetName val="Monthly Prices"/>
      <sheetName val="tonga baseline"/>
      <sheetName val="Sheet2"/>
      <sheetName val="Sheet1"/>
      <sheetName val="Monthly Indices"/>
      <sheetName val="Description"/>
      <sheetName val="Index Weights"/>
    </sheetNames>
    <sheetDataSet>
      <sheetData sheetId="0"/>
      <sheetData sheetId="1"/>
      <sheetData sheetId="2" refreshError="1"/>
      <sheetData sheetId="3"/>
      <sheetData sheetId="4">
        <row r="2">
          <cell r="A2" t="str">
            <v>1979M01</v>
          </cell>
          <cell r="B2">
            <v>18.950000762939499</v>
          </cell>
          <cell r="C2">
            <v>10</v>
          </cell>
          <cell r="D2">
            <v>28.51</v>
          </cell>
        </row>
        <row r="3">
          <cell r="A3" t="str">
            <v>1979M02</v>
          </cell>
          <cell r="B3">
            <v>22</v>
          </cell>
          <cell r="C3">
            <v>10</v>
          </cell>
          <cell r="D3">
            <v>28.51</v>
          </cell>
        </row>
        <row r="4">
          <cell r="A4" t="str">
            <v>1979M03</v>
          </cell>
          <cell r="B4">
            <v>23.25</v>
          </cell>
          <cell r="C4">
            <v>10</v>
          </cell>
          <cell r="D4">
            <v>28.51</v>
          </cell>
        </row>
        <row r="5">
          <cell r="A5" t="str">
            <v>1979M04</v>
          </cell>
          <cell r="B5">
            <v>23.649999618530298</v>
          </cell>
          <cell r="C5">
            <v>10</v>
          </cell>
          <cell r="D5">
            <v>28.51</v>
          </cell>
        </row>
        <row r="6">
          <cell r="A6" t="str">
            <v>1979M05</v>
          </cell>
          <cell r="B6">
            <v>32.75</v>
          </cell>
          <cell r="C6">
            <v>10</v>
          </cell>
          <cell r="D6">
            <v>28.51</v>
          </cell>
        </row>
        <row r="7">
          <cell r="A7" t="str">
            <v>1979M06</v>
          </cell>
          <cell r="B7">
            <v>36.5</v>
          </cell>
          <cell r="C7">
            <v>10</v>
          </cell>
          <cell r="D7">
            <v>28.51</v>
          </cell>
        </row>
        <row r="8">
          <cell r="A8" t="str">
            <v>1979M07</v>
          </cell>
          <cell r="B8">
            <v>35</v>
          </cell>
          <cell r="C8">
            <v>10</v>
          </cell>
          <cell r="D8">
            <v>28.51</v>
          </cell>
        </row>
        <row r="9">
          <cell r="A9" t="str">
            <v>1979M08</v>
          </cell>
          <cell r="B9">
            <v>35.75</v>
          </cell>
          <cell r="C9">
            <v>10</v>
          </cell>
          <cell r="D9">
            <v>28.51</v>
          </cell>
        </row>
        <row r="10">
          <cell r="A10" t="str">
            <v>1979M09</v>
          </cell>
          <cell r="B10">
            <v>36.5</v>
          </cell>
          <cell r="C10">
            <v>10</v>
          </cell>
          <cell r="D10">
            <v>28.51</v>
          </cell>
        </row>
        <row r="11">
          <cell r="A11" t="str">
            <v>1979M10</v>
          </cell>
          <cell r="B11">
            <v>38.5</v>
          </cell>
          <cell r="C11">
            <v>10</v>
          </cell>
          <cell r="D11">
            <v>28.51</v>
          </cell>
        </row>
        <row r="12">
          <cell r="A12" t="str">
            <v>1979M11</v>
          </cell>
          <cell r="B12">
            <v>42</v>
          </cell>
          <cell r="C12">
            <v>10</v>
          </cell>
          <cell r="D12">
            <v>28.51</v>
          </cell>
        </row>
        <row r="13">
          <cell r="A13" t="str">
            <v>1979M12</v>
          </cell>
          <cell r="B13">
            <v>40.5</v>
          </cell>
          <cell r="C13">
            <v>10</v>
          </cell>
          <cell r="D13">
            <v>28.51</v>
          </cell>
        </row>
        <row r="14">
          <cell r="A14" t="str">
            <v>1980M01</v>
          </cell>
          <cell r="B14">
            <v>40</v>
          </cell>
          <cell r="C14">
            <v>10</v>
          </cell>
          <cell r="D14">
            <v>28.51</v>
          </cell>
        </row>
        <row r="15">
          <cell r="A15" t="str">
            <v>1980M02</v>
          </cell>
          <cell r="B15">
            <v>38.5</v>
          </cell>
          <cell r="C15">
            <v>10</v>
          </cell>
          <cell r="D15">
            <v>28.51</v>
          </cell>
        </row>
        <row r="16">
          <cell r="A16" t="str">
            <v>1980M03</v>
          </cell>
          <cell r="B16">
            <v>38.25</v>
          </cell>
          <cell r="C16">
            <v>10</v>
          </cell>
          <cell r="D16">
            <v>28.51</v>
          </cell>
        </row>
        <row r="17">
          <cell r="A17" t="str">
            <v>1980M04</v>
          </cell>
          <cell r="B17">
            <v>38.150001525878899</v>
          </cell>
          <cell r="C17">
            <v>10</v>
          </cell>
          <cell r="D17">
            <v>28.51</v>
          </cell>
        </row>
        <row r="18">
          <cell r="A18" t="str">
            <v>1980M05</v>
          </cell>
          <cell r="B18">
            <v>38.5</v>
          </cell>
          <cell r="C18">
            <v>10</v>
          </cell>
          <cell r="D18">
            <v>28.51</v>
          </cell>
        </row>
        <row r="19">
          <cell r="A19" t="str">
            <v>1980M06</v>
          </cell>
          <cell r="B19">
            <v>38</v>
          </cell>
          <cell r="C19">
            <v>10</v>
          </cell>
          <cell r="D19">
            <v>28.51</v>
          </cell>
        </row>
        <row r="20">
          <cell r="A20" t="str">
            <v>1980M07</v>
          </cell>
          <cell r="B20">
            <v>37.400001525878899</v>
          </cell>
          <cell r="C20">
            <v>10</v>
          </cell>
          <cell r="D20">
            <v>28.51</v>
          </cell>
        </row>
        <row r="21">
          <cell r="A21" t="str">
            <v>1980M08</v>
          </cell>
          <cell r="B21">
            <v>33.599998474121101</v>
          </cell>
          <cell r="C21">
            <v>10</v>
          </cell>
          <cell r="D21">
            <v>28.51</v>
          </cell>
        </row>
        <row r="22">
          <cell r="A22" t="str">
            <v>1980M09</v>
          </cell>
          <cell r="B22">
            <v>33.400001525878899</v>
          </cell>
          <cell r="C22">
            <v>10</v>
          </cell>
          <cell r="D22">
            <v>28.51</v>
          </cell>
        </row>
        <row r="23">
          <cell r="A23" t="str">
            <v>1980M10</v>
          </cell>
          <cell r="B23">
            <v>37.900001525878899</v>
          </cell>
          <cell r="C23">
            <v>10</v>
          </cell>
          <cell r="D23">
            <v>28.51</v>
          </cell>
        </row>
        <row r="24">
          <cell r="A24" t="str">
            <v>1980M11</v>
          </cell>
          <cell r="B24">
            <v>40.849998474121101</v>
          </cell>
          <cell r="C24">
            <v>10</v>
          </cell>
          <cell r="D24">
            <v>28.51</v>
          </cell>
        </row>
        <row r="25">
          <cell r="A25" t="str">
            <v>1980M12</v>
          </cell>
          <cell r="B25">
            <v>40.150001525878899</v>
          </cell>
          <cell r="C25">
            <v>10</v>
          </cell>
          <cell r="D25">
            <v>28.51</v>
          </cell>
        </row>
        <row r="26">
          <cell r="A26" t="str">
            <v>1981M01</v>
          </cell>
          <cell r="B26">
            <v>40.299999237060497</v>
          </cell>
          <cell r="C26">
            <v>10</v>
          </cell>
          <cell r="D26">
            <v>28.51</v>
          </cell>
        </row>
        <row r="27">
          <cell r="A27" t="str">
            <v>1981M02</v>
          </cell>
          <cell r="B27">
            <v>38.700000762939503</v>
          </cell>
          <cell r="C27">
            <v>10</v>
          </cell>
          <cell r="D27">
            <v>28.51</v>
          </cell>
        </row>
        <row r="28">
          <cell r="A28" t="str">
            <v>1981M03</v>
          </cell>
          <cell r="B28">
            <v>38.349998474121101</v>
          </cell>
          <cell r="C28">
            <v>10</v>
          </cell>
          <cell r="D28">
            <v>28.51</v>
          </cell>
        </row>
        <row r="29">
          <cell r="A29" t="str">
            <v>1981M04</v>
          </cell>
          <cell r="B29">
            <v>37.189998626708999</v>
          </cell>
          <cell r="C29">
            <v>10</v>
          </cell>
          <cell r="D29">
            <v>28.51</v>
          </cell>
        </row>
        <row r="30">
          <cell r="A30" t="str">
            <v>1981M05</v>
          </cell>
          <cell r="B30">
            <v>35.189998626708999</v>
          </cell>
          <cell r="C30">
            <v>10</v>
          </cell>
          <cell r="D30">
            <v>28.51</v>
          </cell>
        </row>
        <row r="31">
          <cell r="A31" t="str">
            <v>1981M06</v>
          </cell>
          <cell r="B31">
            <v>33.25</v>
          </cell>
          <cell r="C31">
            <v>10</v>
          </cell>
          <cell r="D31">
            <v>28.51</v>
          </cell>
        </row>
        <row r="32">
          <cell r="A32" t="str">
            <v>1981M07</v>
          </cell>
          <cell r="B32">
            <v>35.060001373291001</v>
          </cell>
          <cell r="C32">
            <v>10</v>
          </cell>
          <cell r="D32">
            <v>28.51</v>
          </cell>
        </row>
        <row r="33">
          <cell r="A33" t="str">
            <v>1981M08</v>
          </cell>
          <cell r="B33">
            <v>35.799999237060497</v>
          </cell>
          <cell r="C33">
            <v>10</v>
          </cell>
          <cell r="D33">
            <v>28.51</v>
          </cell>
        </row>
        <row r="34">
          <cell r="A34" t="str">
            <v>1981M09</v>
          </cell>
          <cell r="B34">
            <v>35.909999847412102</v>
          </cell>
          <cell r="C34">
            <v>10</v>
          </cell>
          <cell r="D34">
            <v>28.51</v>
          </cell>
        </row>
        <row r="35">
          <cell r="A35" t="str">
            <v>1981M10</v>
          </cell>
          <cell r="B35">
            <v>36.540000915527301</v>
          </cell>
          <cell r="C35">
            <v>10</v>
          </cell>
          <cell r="D35">
            <v>28.51</v>
          </cell>
        </row>
        <row r="36">
          <cell r="A36" t="str">
            <v>1981M11</v>
          </cell>
          <cell r="B36">
            <v>37.119998931884801</v>
          </cell>
          <cell r="C36">
            <v>10</v>
          </cell>
          <cell r="D36">
            <v>28.51</v>
          </cell>
        </row>
        <row r="37">
          <cell r="A37" t="str">
            <v>1981M12</v>
          </cell>
          <cell r="B37">
            <v>36.700000762939503</v>
          </cell>
          <cell r="C37">
            <v>10</v>
          </cell>
          <cell r="D37">
            <v>28.51</v>
          </cell>
        </row>
        <row r="38">
          <cell r="A38" t="str">
            <v>1982M01</v>
          </cell>
          <cell r="B38">
            <v>35.849998474121101</v>
          </cell>
          <cell r="C38">
            <v>10</v>
          </cell>
          <cell r="D38">
            <v>28.51</v>
          </cell>
        </row>
        <row r="39">
          <cell r="A39" t="str">
            <v>1982M02</v>
          </cell>
          <cell r="B39">
            <v>31.620000839233398</v>
          </cell>
          <cell r="C39">
            <v>10</v>
          </cell>
          <cell r="D39">
            <v>28.51</v>
          </cell>
        </row>
        <row r="40">
          <cell r="A40" t="str">
            <v>1982M03</v>
          </cell>
          <cell r="B40">
            <v>29.299999237060501</v>
          </cell>
          <cell r="C40">
            <v>10</v>
          </cell>
          <cell r="D40">
            <v>28.51</v>
          </cell>
        </row>
        <row r="41">
          <cell r="A41" t="str">
            <v>1982M04</v>
          </cell>
          <cell r="B41">
            <v>33.119998931884801</v>
          </cell>
          <cell r="C41">
            <v>10</v>
          </cell>
          <cell r="D41">
            <v>28.51</v>
          </cell>
        </row>
        <row r="42">
          <cell r="A42" t="str">
            <v>1982M05</v>
          </cell>
          <cell r="B42">
            <v>35.180000305175803</v>
          </cell>
          <cell r="C42">
            <v>10</v>
          </cell>
          <cell r="D42">
            <v>28.51</v>
          </cell>
        </row>
        <row r="43">
          <cell r="A43" t="str">
            <v>1982M06</v>
          </cell>
          <cell r="B43">
            <v>34.599998474121101</v>
          </cell>
          <cell r="C43">
            <v>10</v>
          </cell>
          <cell r="D43">
            <v>28.51</v>
          </cell>
        </row>
        <row r="44">
          <cell r="A44" t="str">
            <v>1982M07</v>
          </cell>
          <cell r="B44">
            <v>33.700000762939503</v>
          </cell>
          <cell r="C44">
            <v>10</v>
          </cell>
          <cell r="D44">
            <v>28.51</v>
          </cell>
        </row>
        <row r="45">
          <cell r="A45" t="str">
            <v>1982M08</v>
          </cell>
          <cell r="B45">
            <v>32.849998474121101</v>
          </cell>
          <cell r="C45">
            <v>10</v>
          </cell>
          <cell r="D45">
            <v>28.51</v>
          </cell>
        </row>
        <row r="46">
          <cell r="A46" t="str">
            <v>1982M09</v>
          </cell>
          <cell r="B46">
            <v>34.25</v>
          </cell>
          <cell r="C46">
            <v>10</v>
          </cell>
          <cell r="D46">
            <v>28.51</v>
          </cell>
        </row>
        <row r="47">
          <cell r="A47" t="str">
            <v>1982M10</v>
          </cell>
          <cell r="B47">
            <v>35</v>
          </cell>
          <cell r="C47">
            <v>10</v>
          </cell>
          <cell r="D47">
            <v>28.51</v>
          </cell>
        </row>
        <row r="48">
          <cell r="A48" t="str">
            <v>1982M11</v>
          </cell>
          <cell r="B48">
            <v>33.799999237060497</v>
          </cell>
          <cell r="C48">
            <v>10</v>
          </cell>
          <cell r="D48">
            <v>28.51</v>
          </cell>
        </row>
        <row r="49">
          <cell r="A49" t="str">
            <v>1982M12</v>
          </cell>
          <cell r="B49">
            <v>31.75</v>
          </cell>
          <cell r="C49">
            <v>10</v>
          </cell>
          <cell r="D49">
            <v>28.51</v>
          </cell>
        </row>
        <row r="50">
          <cell r="A50" t="str">
            <v>1983M01</v>
          </cell>
          <cell r="B50">
            <v>30.850000381469702</v>
          </cell>
          <cell r="C50">
            <v>10</v>
          </cell>
          <cell r="D50">
            <v>28.51</v>
          </cell>
        </row>
        <row r="51">
          <cell r="A51" t="str">
            <v>1983M02</v>
          </cell>
          <cell r="B51">
            <v>29.100000381469702</v>
          </cell>
          <cell r="C51">
            <v>10</v>
          </cell>
          <cell r="D51">
            <v>28.51</v>
          </cell>
        </row>
        <row r="52">
          <cell r="A52" t="str">
            <v>1983M03</v>
          </cell>
          <cell r="B52">
            <v>28.200000762939499</v>
          </cell>
          <cell r="C52">
            <v>10</v>
          </cell>
          <cell r="D52">
            <v>28.51</v>
          </cell>
        </row>
        <row r="53">
          <cell r="A53" t="str">
            <v>1983M04</v>
          </cell>
          <cell r="B53">
            <v>29.75</v>
          </cell>
          <cell r="C53">
            <v>10</v>
          </cell>
          <cell r="D53">
            <v>28.51</v>
          </cell>
        </row>
        <row r="54">
          <cell r="A54" t="str">
            <v>1983M05</v>
          </cell>
          <cell r="B54">
            <v>29.600000381469702</v>
          </cell>
          <cell r="C54">
            <v>10</v>
          </cell>
          <cell r="D54">
            <v>28.51</v>
          </cell>
        </row>
        <row r="55">
          <cell r="A55" t="str">
            <v>1983M06</v>
          </cell>
          <cell r="B55">
            <v>30.200000762939499</v>
          </cell>
          <cell r="C55">
            <v>10</v>
          </cell>
          <cell r="D55">
            <v>28.51</v>
          </cell>
        </row>
        <row r="56">
          <cell r="A56" t="str">
            <v>1983M07</v>
          </cell>
          <cell r="B56">
            <v>30.799999237060501</v>
          </cell>
          <cell r="C56">
            <v>10</v>
          </cell>
          <cell r="D56">
            <v>28.51</v>
          </cell>
        </row>
        <row r="57">
          <cell r="A57" t="str">
            <v>1983M08</v>
          </cell>
          <cell r="B57">
            <v>31.100000381469702</v>
          </cell>
          <cell r="C57">
            <v>10</v>
          </cell>
          <cell r="D57">
            <v>28.51</v>
          </cell>
        </row>
        <row r="58">
          <cell r="A58" t="str">
            <v>1983M09</v>
          </cell>
          <cell r="B58">
            <v>30.350000381469702</v>
          </cell>
          <cell r="C58">
            <v>10</v>
          </cell>
          <cell r="D58">
            <v>28.51</v>
          </cell>
        </row>
        <row r="59">
          <cell r="A59" t="str">
            <v>1983M10</v>
          </cell>
          <cell r="B59">
            <v>29.850000381469702</v>
          </cell>
          <cell r="C59">
            <v>10</v>
          </cell>
          <cell r="D59">
            <v>28.51</v>
          </cell>
        </row>
        <row r="60">
          <cell r="A60" t="str">
            <v>1983M11</v>
          </cell>
          <cell r="B60">
            <v>29.200000762939499</v>
          </cell>
          <cell r="C60">
            <v>10</v>
          </cell>
          <cell r="D60">
            <v>28.51</v>
          </cell>
        </row>
        <row r="61">
          <cell r="A61" t="str">
            <v>1983M12</v>
          </cell>
          <cell r="B61">
            <v>28.950000762939499</v>
          </cell>
          <cell r="C61">
            <v>10</v>
          </cell>
          <cell r="D61">
            <v>28.51</v>
          </cell>
        </row>
        <row r="62">
          <cell r="A62" t="str">
            <v>1984M01</v>
          </cell>
          <cell r="B62">
            <v>29.559999465942401</v>
          </cell>
          <cell r="C62">
            <v>10</v>
          </cell>
          <cell r="D62">
            <v>28.51</v>
          </cell>
        </row>
        <row r="63">
          <cell r="A63" t="str">
            <v>1984M02</v>
          </cell>
          <cell r="B63">
            <v>29.879999160766602</v>
          </cell>
          <cell r="C63">
            <v>10</v>
          </cell>
          <cell r="D63">
            <v>28.51</v>
          </cell>
        </row>
        <row r="64">
          <cell r="A64" t="str">
            <v>1984M03</v>
          </cell>
          <cell r="B64">
            <v>30.079999923706101</v>
          </cell>
          <cell r="C64">
            <v>10</v>
          </cell>
          <cell r="D64">
            <v>28.51</v>
          </cell>
        </row>
        <row r="65">
          <cell r="A65" t="str">
            <v>1984M04</v>
          </cell>
          <cell r="B65">
            <v>30.129999160766602</v>
          </cell>
          <cell r="C65">
            <v>10</v>
          </cell>
          <cell r="D65">
            <v>28.51</v>
          </cell>
        </row>
        <row r="66">
          <cell r="A66" t="str">
            <v>1984M05</v>
          </cell>
          <cell r="B66">
            <v>29.899999618530298</v>
          </cell>
          <cell r="C66">
            <v>10</v>
          </cell>
          <cell r="D66">
            <v>28.51</v>
          </cell>
        </row>
        <row r="67">
          <cell r="A67" t="str">
            <v>1984M06</v>
          </cell>
          <cell r="B67">
            <v>29.200000762939499</v>
          </cell>
          <cell r="C67">
            <v>10</v>
          </cell>
          <cell r="D67">
            <v>28.51</v>
          </cell>
        </row>
        <row r="68">
          <cell r="A68" t="str">
            <v>1984M07</v>
          </cell>
          <cell r="B68">
            <v>27.909999847412099</v>
          </cell>
          <cell r="C68">
            <v>10</v>
          </cell>
          <cell r="D68">
            <v>28.51</v>
          </cell>
        </row>
        <row r="69">
          <cell r="A69" t="str">
            <v>1984M08</v>
          </cell>
          <cell r="B69">
            <v>28.110000610351602</v>
          </cell>
          <cell r="C69">
            <v>10</v>
          </cell>
          <cell r="D69">
            <v>28.51</v>
          </cell>
        </row>
        <row r="70">
          <cell r="A70" t="str">
            <v>1984M09</v>
          </cell>
          <cell r="B70">
            <v>28.360000610351602</v>
          </cell>
          <cell r="C70">
            <v>10</v>
          </cell>
          <cell r="D70">
            <v>28.51</v>
          </cell>
        </row>
        <row r="71">
          <cell r="A71" t="str">
            <v>1984M10</v>
          </cell>
          <cell r="B71">
            <v>27.809999465942401</v>
          </cell>
          <cell r="C71">
            <v>10</v>
          </cell>
          <cell r="D71">
            <v>28.51</v>
          </cell>
        </row>
        <row r="72">
          <cell r="A72" t="str">
            <v>1984M11</v>
          </cell>
          <cell r="B72">
            <v>27.700000762939499</v>
          </cell>
          <cell r="C72">
            <v>10</v>
          </cell>
          <cell r="D72">
            <v>28.51</v>
          </cell>
        </row>
        <row r="73">
          <cell r="A73" t="str">
            <v>1984M12</v>
          </cell>
          <cell r="B73">
            <v>26.9799995422363</v>
          </cell>
          <cell r="C73">
            <v>10</v>
          </cell>
          <cell r="D73">
            <v>28.51</v>
          </cell>
        </row>
        <row r="74">
          <cell r="A74" t="str">
            <v>1985M01</v>
          </cell>
          <cell r="B74">
            <v>26.95</v>
          </cell>
          <cell r="C74">
            <v>10</v>
          </cell>
          <cell r="D74">
            <v>28.51</v>
          </cell>
        </row>
        <row r="75">
          <cell r="A75" t="str">
            <v>1985M02</v>
          </cell>
          <cell r="B75">
            <v>28.2</v>
          </cell>
          <cell r="C75">
            <v>10</v>
          </cell>
          <cell r="D75">
            <v>28.51</v>
          </cell>
        </row>
        <row r="76">
          <cell r="A76" t="str">
            <v>1985M03</v>
          </cell>
          <cell r="B76">
            <v>28.1</v>
          </cell>
          <cell r="C76">
            <v>10</v>
          </cell>
          <cell r="D76">
            <v>28.51</v>
          </cell>
        </row>
        <row r="77">
          <cell r="A77" t="str">
            <v>1985M04</v>
          </cell>
          <cell r="B77">
            <v>27.9</v>
          </cell>
          <cell r="C77">
            <v>10</v>
          </cell>
          <cell r="D77">
            <v>28.51</v>
          </cell>
        </row>
        <row r="78">
          <cell r="A78" t="str">
            <v>1985M05</v>
          </cell>
          <cell r="B78">
            <v>26.65</v>
          </cell>
          <cell r="C78">
            <v>10</v>
          </cell>
          <cell r="D78">
            <v>28.51</v>
          </cell>
        </row>
        <row r="79">
          <cell r="A79" t="str">
            <v>1985M06</v>
          </cell>
          <cell r="B79">
            <v>26.45</v>
          </cell>
          <cell r="C79">
            <v>10</v>
          </cell>
          <cell r="D79">
            <v>28.51</v>
          </cell>
        </row>
        <row r="80">
          <cell r="A80" t="str">
            <v>1985M07</v>
          </cell>
          <cell r="B80">
            <v>26.6</v>
          </cell>
          <cell r="C80">
            <v>10</v>
          </cell>
          <cell r="D80">
            <v>28.51</v>
          </cell>
        </row>
        <row r="81">
          <cell r="A81" t="str">
            <v>1985M08</v>
          </cell>
          <cell r="B81">
            <v>27.15</v>
          </cell>
          <cell r="C81">
            <v>10</v>
          </cell>
          <cell r="D81">
            <v>28.51</v>
          </cell>
        </row>
        <row r="82">
          <cell r="A82" t="str">
            <v>1985M09</v>
          </cell>
          <cell r="B82">
            <v>27.15</v>
          </cell>
          <cell r="C82">
            <v>10</v>
          </cell>
          <cell r="D82">
            <v>28.51</v>
          </cell>
        </row>
        <row r="83">
          <cell r="A83" t="str">
            <v>1985M10</v>
          </cell>
          <cell r="B83">
            <v>27.9</v>
          </cell>
          <cell r="C83">
            <v>10</v>
          </cell>
          <cell r="D83">
            <v>28.51</v>
          </cell>
        </row>
        <row r="84">
          <cell r="A84" t="str">
            <v>1985M11</v>
          </cell>
          <cell r="B84">
            <v>29.05</v>
          </cell>
          <cell r="C84">
            <v>10</v>
          </cell>
          <cell r="D84">
            <v>28.51</v>
          </cell>
        </row>
        <row r="85">
          <cell r="A85" t="str">
            <v>1985M12</v>
          </cell>
          <cell r="B85">
            <v>25.85</v>
          </cell>
          <cell r="C85">
            <v>10</v>
          </cell>
          <cell r="D85">
            <v>28.51</v>
          </cell>
        </row>
        <row r="86">
          <cell r="A86" t="str">
            <v>1986M01</v>
          </cell>
          <cell r="B86">
            <v>25.75</v>
          </cell>
          <cell r="C86">
            <v>10</v>
          </cell>
          <cell r="D86">
            <v>28.51</v>
          </cell>
        </row>
        <row r="87">
          <cell r="A87" t="str">
            <v>1986M02</v>
          </cell>
          <cell r="B87">
            <v>17.55</v>
          </cell>
          <cell r="C87">
            <v>10</v>
          </cell>
          <cell r="D87">
            <v>28.51</v>
          </cell>
        </row>
        <row r="88">
          <cell r="A88" t="str">
            <v>1986M03</v>
          </cell>
          <cell r="B88">
            <v>13.85</v>
          </cell>
          <cell r="C88">
            <v>10</v>
          </cell>
          <cell r="D88">
            <v>28.51</v>
          </cell>
        </row>
        <row r="89">
          <cell r="A89" t="str">
            <v>1986M04</v>
          </cell>
          <cell r="B89">
            <v>12.5</v>
          </cell>
          <cell r="C89">
            <v>10</v>
          </cell>
          <cell r="D89">
            <v>28.51</v>
          </cell>
        </row>
        <row r="90">
          <cell r="A90" t="str">
            <v>1986M05</v>
          </cell>
          <cell r="B90">
            <v>14.2</v>
          </cell>
          <cell r="C90">
            <v>10</v>
          </cell>
          <cell r="D90">
            <v>28.51</v>
          </cell>
        </row>
        <row r="91">
          <cell r="A91" t="str">
            <v>1986M06</v>
          </cell>
          <cell r="B91">
            <v>11.85</v>
          </cell>
          <cell r="C91">
            <v>10</v>
          </cell>
          <cell r="D91">
            <v>28.51</v>
          </cell>
        </row>
        <row r="92">
          <cell r="A92" t="str">
            <v>1986M07</v>
          </cell>
          <cell r="B92">
            <v>9.4499999999999993</v>
          </cell>
          <cell r="C92">
            <v>10</v>
          </cell>
          <cell r="D92">
            <v>28.51</v>
          </cell>
        </row>
        <row r="93">
          <cell r="A93" t="str">
            <v>1986M08</v>
          </cell>
          <cell r="B93">
            <v>13.65</v>
          </cell>
          <cell r="C93">
            <v>10</v>
          </cell>
          <cell r="D93">
            <v>28.51</v>
          </cell>
        </row>
        <row r="94">
          <cell r="A94" t="str">
            <v>1986M09</v>
          </cell>
          <cell r="B94">
            <v>14.2</v>
          </cell>
          <cell r="C94">
            <v>10</v>
          </cell>
          <cell r="D94">
            <v>28.51</v>
          </cell>
        </row>
        <row r="95">
          <cell r="A95" t="str">
            <v>1986M10</v>
          </cell>
          <cell r="B95">
            <v>13.8</v>
          </cell>
          <cell r="C95">
            <v>10</v>
          </cell>
          <cell r="D95">
            <v>28.51</v>
          </cell>
        </row>
        <row r="96">
          <cell r="A96" t="str">
            <v>1986M11</v>
          </cell>
          <cell r="B96">
            <v>14.55</v>
          </cell>
          <cell r="C96">
            <v>10</v>
          </cell>
          <cell r="D96">
            <v>28.51</v>
          </cell>
        </row>
        <row r="97">
          <cell r="A97" t="str">
            <v>1986M12</v>
          </cell>
          <cell r="B97">
            <v>15.9</v>
          </cell>
          <cell r="C97">
            <v>10</v>
          </cell>
          <cell r="D97">
            <v>28.51</v>
          </cell>
        </row>
        <row r="98">
          <cell r="A98" t="str">
            <v>1987M01</v>
          </cell>
          <cell r="B98">
            <v>18.399999999999999</v>
          </cell>
          <cell r="C98">
            <v>10</v>
          </cell>
          <cell r="D98">
            <v>28.51</v>
          </cell>
        </row>
        <row r="99">
          <cell r="A99" t="str">
            <v>1987M02</v>
          </cell>
          <cell r="B99">
            <v>17.3</v>
          </cell>
          <cell r="C99">
            <v>10</v>
          </cell>
          <cell r="D99">
            <v>28.51</v>
          </cell>
        </row>
        <row r="100">
          <cell r="A100" t="str">
            <v>1987M03</v>
          </cell>
          <cell r="B100">
            <v>17.899999999999999</v>
          </cell>
          <cell r="C100">
            <v>10</v>
          </cell>
          <cell r="D100">
            <v>28.51</v>
          </cell>
        </row>
        <row r="101">
          <cell r="A101" t="str">
            <v>1987M04</v>
          </cell>
          <cell r="B101">
            <v>18.100000000000001</v>
          </cell>
          <cell r="C101">
            <v>10</v>
          </cell>
          <cell r="D101">
            <v>28.51</v>
          </cell>
        </row>
        <row r="102">
          <cell r="A102" t="str">
            <v>1987M05</v>
          </cell>
          <cell r="B102">
            <v>18.75</v>
          </cell>
          <cell r="C102">
            <v>10</v>
          </cell>
          <cell r="D102">
            <v>28.51</v>
          </cell>
        </row>
        <row r="103">
          <cell r="A103" t="str">
            <v>1987M06</v>
          </cell>
          <cell r="B103">
            <v>18.850000000000001</v>
          </cell>
          <cell r="C103">
            <v>10</v>
          </cell>
          <cell r="D103">
            <v>28.51</v>
          </cell>
        </row>
        <row r="104">
          <cell r="A104" t="str">
            <v>1987M07</v>
          </cell>
          <cell r="B104">
            <v>19.8</v>
          </cell>
          <cell r="C104">
            <v>10</v>
          </cell>
          <cell r="D104">
            <v>28.51</v>
          </cell>
        </row>
        <row r="105">
          <cell r="A105" t="str">
            <v>1987M08</v>
          </cell>
          <cell r="B105">
            <v>18.95</v>
          </cell>
          <cell r="C105">
            <v>10</v>
          </cell>
          <cell r="D105">
            <v>28.51</v>
          </cell>
        </row>
        <row r="106">
          <cell r="A106" t="str">
            <v>1987M09</v>
          </cell>
          <cell r="B106">
            <v>18.350000000000001</v>
          </cell>
          <cell r="C106">
            <v>10</v>
          </cell>
          <cell r="D106">
            <v>28.51</v>
          </cell>
        </row>
        <row r="107">
          <cell r="A107" t="str">
            <v>1987M10</v>
          </cell>
          <cell r="B107">
            <v>18.8</v>
          </cell>
          <cell r="C107">
            <v>10</v>
          </cell>
          <cell r="D107">
            <v>28.51</v>
          </cell>
        </row>
        <row r="108">
          <cell r="A108" t="str">
            <v>1987M11</v>
          </cell>
          <cell r="B108">
            <v>17.8</v>
          </cell>
          <cell r="C108">
            <v>10</v>
          </cell>
          <cell r="D108">
            <v>28.51</v>
          </cell>
        </row>
        <row r="109">
          <cell r="A109" t="str">
            <v>1987M12</v>
          </cell>
          <cell r="B109">
            <v>17.100000000000001</v>
          </cell>
          <cell r="C109">
            <v>10</v>
          </cell>
          <cell r="D109">
            <v>28.51</v>
          </cell>
        </row>
        <row r="110">
          <cell r="A110" t="str">
            <v>1988M01</v>
          </cell>
          <cell r="B110">
            <v>16.850000000000001</v>
          </cell>
          <cell r="C110">
            <v>10</v>
          </cell>
          <cell r="D110">
            <v>28.51</v>
          </cell>
        </row>
        <row r="111">
          <cell r="A111" t="str">
            <v>1988M02</v>
          </cell>
          <cell r="B111">
            <v>15.75</v>
          </cell>
          <cell r="C111">
            <v>10</v>
          </cell>
          <cell r="D111">
            <v>28.51</v>
          </cell>
        </row>
        <row r="112">
          <cell r="A112" t="str">
            <v>1988M03</v>
          </cell>
          <cell r="B112">
            <v>14.75</v>
          </cell>
          <cell r="C112">
            <v>10</v>
          </cell>
          <cell r="D112">
            <v>28.51</v>
          </cell>
        </row>
        <row r="113">
          <cell r="A113" t="str">
            <v>1988M04</v>
          </cell>
          <cell r="B113">
            <v>16.600000000000001</v>
          </cell>
          <cell r="C113">
            <v>10</v>
          </cell>
          <cell r="D113">
            <v>28.51</v>
          </cell>
        </row>
        <row r="114">
          <cell r="A114" t="str">
            <v>1988M05</v>
          </cell>
          <cell r="B114">
            <v>16.399999999999999</v>
          </cell>
          <cell r="C114">
            <v>10</v>
          </cell>
          <cell r="D114">
            <v>28.51</v>
          </cell>
        </row>
        <row r="115">
          <cell r="A115" t="str">
            <v>1988M06</v>
          </cell>
          <cell r="B115">
            <v>15.55</v>
          </cell>
          <cell r="C115">
            <v>10</v>
          </cell>
          <cell r="D115">
            <v>28.51</v>
          </cell>
        </row>
        <row r="116">
          <cell r="A116" t="str">
            <v>1988M07</v>
          </cell>
          <cell r="B116">
            <v>14.9</v>
          </cell>
          <cell r="C116">
            <v>10</v>
          </cell>
          <cell r="D116">
            <v>28.51</v>
          </cell>
        </row>
        <row r="117">
          <cell r="A117" t="str">
            <v>1988M08</v>
          </cell>
          <cell r="B117">
            <v>14.95</v>
          </cell>
          <cell r="C117">
            <v>10</v>
          </cell>
          <cell r="D117">
            <v>28.51</v>
          </cell>
        </row>
        <row r="118">
          <cell r="A118" t="str">
            <v>1988M09</v>
          </cell>
          <cell r="B118">
            <v>13.3</v>
          </cell>
          <cell r="C118">
            <v>10</v>
          </cell>
          <cell r="D118">
            <v>28.51</v>
          </cell>
        </row>
        <row r="119">
          <cell r="A119" t="str">
            <v>1988M10</v>
          </cell>
          <cell r="B119">
            <v>12.45</v>
          </cell>
          <cell r="C119">
            <v>10</v>
          </cell>
          <cell r="D119">
            <v>28.51</v>
          </cell>
        </row>
        <row r="120">
          <cell r="A120" t="str">
            <v>1988M11</v>
          </cell>
          <cell r="B120">
            <v>13</v>
          </cell>
          <cell r="C120">
            <v>10</v>
          </cell>
          <cell r="D120">
            <v>28.51</v>
          </cell>
        </row>
        <row r="121">
          <cell r="A121" t="str">
            <v>1988M12</v>
          </cell>
          <cell r="B121">
            <v>15.15</v>
          </cell>
          <cell r="C121">
            <v>10</v>
          </cell>
          <cell r="D121">
            <v>28.51</v>
          </cell>
        </row>
        <row r="122">
          <cell r="A122" t="str">
            <v>1989M01</v>
          </cell>
          <cell r="B122">
            <v>17</v>
          </cell>
          <cell r="C122">
            <v>10</v>
          </cell>
          <cell r="D122">
            <v>28.51</v>
          </cell>
        </row>
        <row r="123">
          <cell r="A123" t="str">
            <v>1989M02</v>
          </cell>
          <cell r="B123">
            <v>16.649999999999999</v>
          </cell>
          <cell r="C123">
            <v>10</v>
          </cell>
          <cell r="D123">
            <v>28.51</v>
          </cell>
        </row>
        <row r="124">
          <cell r="A124" t="str">
            <v>1989M03</v>
          </cell>
          <cell r="B124">
            <v>18.7</v>
          </cell>
          <cell r="C124">
            <v>10</v>
          </cell>
          <cell r="D124">
            <v>28.51</v>
          </cell>
        </row>
        <row r="125">
          <cell r="A125" t="str">
            <v>1989M04</v>
          </cell>
          <cell r="B125">
            <v>19.75</v>
          </cell>
          <cell r="C125">
            <v>10</v>
          </cell>
          <cell r="D125">
            <v>28.51</v>
          </cell>
        </row>
        <row r="126">
          <cell r="A126" t="str">
            <v>1989M05</v>
          </cell>
          <cell r="B126">
            <v>18.350000000000001</v>
          </cell>
          <cell r="C126">
            <v>10</v>
          </cell>
          <cell r="D126">
            <v>28.51</v>
          </cell>
        </row>
        <row r="127">
          <cell r="A127" t="str">
            <v>1989M06</v>
          </cell>
          <cell r="B127">
            <v>17.5</v>
          </cell>
          <cell r="C127">
            <v>10</v>
          </cell>
          <cell r="D127">
            <v>28.51</v>
          </cell>
        </row>
        <row r="128">
          <cell r="A128" t="str">
            <v>1989M07</v>
          </cell>
          <cell r="B128">
            <v>17.75</v>
          </cell>
          <cell r="C128">
            <v>10</v>
          </cell>
          <cell r="D128">
            <v>28.51</v>
          </cell>
        </row>
        <row r="129">
          <cell r="A129" t="str">
            <v>1989M08</v>
          </cell>
          <cell r="B129">
            <v>17.100000000000001</v>
          </cell>
          <cell r="C129">
            <v>10</v>
          </cell>
          <cell r="D129">
            <v>28.51</v>
          </cell>
        </row>
        <row r="130">
          <cell r="A130" t="str">
            <v>1989M09</v>
          </cell>
          <cell r="B130">
            <v>17.8</v>
          </cell>
          <cell r="C130">
            <v>10</v>
          </cell>
          <cell r="D130">
            <v>28.51</v>
          </cell>
        </row>
        <row r="131">
          <cell r="A131" t="str">
            <v>1989M10</v>
          </cell>
          <cell r="B131">
            <v>19</v>
          </cell>
          <cell r="C131">
            <v>10</v>
          </cell>
          <cell r="D131">
            <v>28.51</v>
          </cell>
        </row>
        <row r="132">
          <cell r="A132" t="str">
            <v>1989M11</v>
          </cell>
          <cell r="B132">
            <v>19.149999999999999</v>
          </cell>
          <cell r="C132">
            <v>10</v>
          </cell>
          <cell r="D132">
            <v>28.51</v>
          </cell>
        </row>
        <row r="133">
          <cell r="A133" t="str">
            <v>1989M12</v>
          </cell>
          <cell r="B133">
            <v>19.850000000000001</v>
          </cell>
          <cell r="C133">
            <v>10</v>
          </cell>
          <cell r="D133">
            <v>28.51</v>
          </cell>
        </row>
        <row r="134">
          <cell r="A134" t="str">
            <v>1990M01</v>
          </cell>
          <cell r="B134">
            <v>20.95</v>
          </cell>
          <cell r="C134">
            <v>10</v>
          </cell>
          <cell r="D134">
            <v>28.51</v>
          </cell>
        </row>
        <row r="135">
          <cell r="A135" t="str">
            <v>1990M02</v>
          </cell>
          <cell r="B135">
            <v>19.899999999999999</v>
          </cell>
          <cell r="C135">
            <v>10</v>
          </cell>
          <cell r="D135">
            <v>28.51</v>
          </cell>
        </row>
        <row r="136">
          <cell r="A136" t="str">
            <v>1990M03</v>
          </cell>
          <cell r="B136">
            <v>18.45</v>
          </cell>
          <cell r="C136">
            <v>10</v>
          </cell>
          <cell r="D136">
            <v>28.51</v>
          </cell>
        </row>
        <row r="137">
          <cell r="A137" t="str">
            <v>1990M04</v>
          </cell>
          <cell r="B137">
            <v>16.75</v>
          </cell>
          <cell r="C137">
            <v>10</v>
          </cell>
          <cell r="D137">
            <v>28.51</v>
          </cell>
        </row>
        <row r="138">
          <cell r="A138" t="str">
            <v>1990M05</v>
          </cell>
          <cell r="B138">
            <v>16.7</v>
          </cell>
          <cell r="C138">
            <v>10</v>
          </cell>
          <cell r="D138">
            <v>28.51</v>
          </cell>
        </row>
        <row r="139">
          <cell r="A139" t="str">
            <v>1990M06</v>
          </cell>
          <cell r="B139">
            <v>15.7</v>
          </cell>
          <cell r="C139">
            <v>10</v>
          </cell>
          <cell r="D139">
            <v>28.51</v>
          </cell>
        </row>
        <row r="140">
          <cell r="A140" t="str">
            <v>1990M07</v>
          </cell>
          <cell r="B140">
            <v>17.55</v>
          </cell>
          <cell r="C140">
            <v>10</v>
          </cell>
          <cell r="D140">
            <v>28.51</v>
          </cell>
        </row>
        <row r="141">
          <cell r="A141" t="str">
            <v>1990M08</v>
          </cell>
          <cell r="B141">
            <v>27.05</v>
          </cell>
          <cell r="C141">
            <v>10</v>
          </cell>
          <cell r="D141">
            <v>28.51</v>
          </cell>
        </row>
        <row r="142">
          <cell r="A142" t="str">
            <v>1990M09</v>
          </cell>
          <cell r="B142">
            <v>34.1</v>
          </cell>
          <cell r="C142">
            <v>10</v>
          </cell>
          <cell r="D142">
            <v>28.51</v>
          </cell>
        </row>
        <row r="143">
          <cell r="A143" t="str">
            <v>1990M10</v>
          </cell>
          <cell r="B143">
            <v>36.049999999999997</v>
          </cell>
          <cell r="C143">
            <v>10</v>
          </cell>
          <cell r="D143">
            <v>28.51</v>
          </cell>
        </row>
        <row r="144">
          <cell r="A144" t="str">
            <v>1990M11</v>
          </cell>
          <cell r="B144">
            <v>33</v>
          </cell>
          <cell r="C144">
            <v>10</v>
          </cell>
          <cell r="D144">
            <v>28.51</v>
          </cell>
        </row>
        <row r="145">
          <cell r="A145" t="str">
            <v>1990M12</v>
          </cell>
          <cell r="B145">
            <v>28</v>
          </cell>
          <cell r="C145">
            <v>10</v>
          </cell>
          <cell r="D145">
            <v>28.51</v>
          </cell>
        </row>
        <row r="146">
          <cell r="A146" t="str">
            <v>1991M01</v>
          </cell>
          <cell r="B146">
            <v>23.65</v>
          </cell>
          <cell r="C146">
            <v>10</v>
          </cell>
          <cell r="D146">
            <v>28.51</v>
          </cell>
        </row>
        <row r="147">
          <cell r="A147" t="str">
            <v>1991M02</v>
          </cell>
          <cell r="B147">
            <v>19.399999999999999</v>
          </cell>
          <cell r="C147">
            <v>10</v>
          </cell>
          <cell r="D147">
            <v>28.51</v>
          </cell>
        </row>
        <row r="148">
          <cell r="A148" t="str">
            <v>1991M03</v>
          </cell>
          <cell r="B148">
            <v>19.45</v>
          </cell>
          <cell r="C148">
            <v>10</v>
          </cell>
          <cell r="D148">
            <v>28.51</v>
          </cell>
        </row>
        <row r="149">
          <cell r="A149" t="str">
            <v>1991M04</v>
          </cell>
          <cell r="B149">
            <v>19.25</v>
          </cell>
          <cell r="C149">
            <v>10</v>
          </cell>
          <cell r="D149">
            <v>28.51</v>
          </cell>
        </row>
        <row r="150">
          <cell r="A150" t="str">
            <v>1991M05</v>
          </cell>
          <cell r="B150">
            <v>19.3</v>
          </cell>
          <cell r="C150">
            <v>10</v>
          </cell>
          <cell r="D150">
            <v>28.51</v>
          </cell>
        </row>
        <row r="151">
          <cell r="A151" t="str">
            <v>1991M06</v>
          </cell>
          <cell r="B151">
            <v>18.2</v>
          </cell>
          <cell r="C151">
            <v>10</v>
          </cell>
          <cell r="D151">
            <v>28.51</v>
          </cell>
        </row>
        <row r="152">
          <cell r="A152" t="str">
            <v>1991M07</v>
          </cell>
          <cell r="B152">
            <v>19.45</v>
          </cell>
          <cell r="C152">
            <v>10</v>
          </cell>
          <cell r="D152">
            <v>28.51</v>
          </cell>
        </row>
        <row r="153">
          <cell r="A153" t="str">
            <v>1991M08</v>
          </cell>
          <cell r="B153">
            <v>19.75</v>
          </cell>
          <cell r="C153">
            <v>10</v>
          </cell>
          <cell r="D153">
            <v>28.51</v>
          </cell>
        </row>
        <row r="154">
          <cell r="A154" t="str">
            <v>1991M09</v>
          </cell>
          <cell r="B154">
            <v>20.5</v>
          </cell>
          <cell r="C154">
            <v>10</v>
          </cell>
          <cell r="D154">
            <v>28.51</v>
          </cell>
        </row>
        <row r="155">
          <cell r="A155" t="str">
            <v>1991M10</v>
          </cell>
          <cell r="B155">
            <v>22.2</v>
          </cell>
          <cell r="C155">
            <v>10</v>
          </cell>
          <cell r="D155">
            <v>28.51</v>
          </cell>
        </row>
        <row r="156">
          <cell r="A156" t="str">
            <v>1991M11</v>
          </cell>
          <cell r="B156">
            <v>21.25</v>
          </cell>
          <cell r="C156">
            <v>10</v>
          </cell>
          <cell r="D156">
            <v>28.51</v>
          </cell>
        </row>
        <row r="157">
          <cell r="A157" t="str">
            <v>1991M12</v>
          </cell>
          <cell r="B157">
            <v>18.399999999999999</v>
          </cell>
          <cell r="C157">
            <v>10</v>
          </cell>
          <cell r="D157">
            <v>28.51</v>
          </cell>
        </row>
        <row r="158">
          <cell r="A158" t="str">
            <v>1992M01</v>
          </cell>
          <cell r="B158">
            <v>18.149999999999999</v>
          </cell>
          <cell r="C158">
            <v>10</v>
          </cell>
          <cell r="D158">
            <v>28.51</v>
          </cell>
        </row>
        <row r="159">
          <cell r="A159" t="str">
            <v>1992M02</v>
          </cell>
          <cell r="B159">
            <v>18.100000000000001</v>
          </cell>
          <cell r="C159">
            <v>10</v>
          </cell>
          <cell r="D159">
            <v>28.51</v>
          </cell>
        </row>
        <row r="160">
          <cell r="A160" t="str">
            <v>1992M03</v>
          </cell>
          <cell r="B160">
            <v>17.600000000000001</v>
          </cell>
          <cell r="C160">
            <v>10</v>
          </cell>
          <cell r="D160">
            <v>28.51</v>
          </cell>
        </row>
        <row r="161">
          <cell r="A161" t="str">
            <v>1992M04</v>
          </cell>
          <cell r="B161">
            <v>18.95</v>
          </cell>
          <cell r="C161">
            <v>10</v>
          </cell>
          <cell r="D161">
            <v>28.51</v>
          </cell>
        </row>
        <row r="162">
          <cell r="A162" t="str">
            <v>1992M05</v>
          </cell>
          <cell r="B162">
            <v>19.899999999999999</v>
          </cell>
          <cell r="C162">
            <v>10</v>
          </cell>
          <cell r="D162">
            <v>28.51</v>
          </cell>
        </row>
        <row r="163">
          <cell r="A163" t="str">
            <v>1992M06</v>
          </cell>
          <cell r="B163">
            <v>21.15</v>
          </cell>
          <cell r="C163">
            <v>10</v>
          </cell>
          <cell r="D163">
            <v>28.51</v>
          </cell>
        </row>
        <row r="164">
          <cell r="A164" t="str">
            <v>1992M07</v>
          </cell>
          <cell r="B164">
            <v>20.25</v>
          </cell>
          <cell r="C164">
            <v>10</v>
          </cell>
          <cell r="D164">
            <v>28.51</v>
          </cell>
        </row>
        <row r="165">
          <cell r="A165" t="str">
            <v>1992M08</v>
          </cell>
          <cell r="B165">
            <v>19.75</v>
          </cell>
          <cell r="C165">
            <v>10</v>
          </cell>
          <cell r="D165">
            <v>28.51</v>
          </cell>
        </row>
        <row r="166">
          <cell r="A166" t="str">
            <v>1992M09</v>
          </cell>
          <cell r="B166">
            <v>20.25</v>
          </cell>
          <cell r="C166">
            <v>10</v>
          </cell>
          <cell r="D166">
            <v>28.51</v>
          </cell>
        </row>
        <row r="167">
          <cell r="A167" t="str">
            <v>1992M10</v>
          </cell>
          <cell r="B167">
            <v>20.3</v>
          </cell>
          <cell r="C167">
            <v>10</v>
          </cell>
          <cell r="D167">
            <v>28.51</v>
          </cell>
        </row>
        <row r="168">
          <cell r="A168" t="str">
            <v>1992M11</v>
          </cell>
          <cell r="B168">
            <v>19.2</v>
          </cell>
          <cell r="C168">
            <v>10</v>
          </cell>
          <cell r="D168">
            <v>28.51</v>
          </cell>
        </row>
        <row r="169">
          <cell r="A169" t="str">
            <v>1992M12</v>
          </cell>
          <cell r="B169">
            <v>18.149999999999999</v>
          </cell>
          <cell r="C169">
            <v>10</v>
          </cell>
          <cell r="D169">
            <v>28.51</v>
          </cell>
        </row>
        <row r="170">
          <cell r="A170" t="str">
            <v>1993M01</v>
          </cell>
          <cell r="B170">
            <v>17.399999999999999</v>
          </cell>
          <cell r="C170">
            <v>10</v>
          </cell>
          <cell r="D170">
            <v>28.51</v>
          </cell>
        </row>
        <row r="171">
          <cell r="A171" t="str">
            <v>1993M02</v>
          </cell>
          <cell r="B171">
            <v>18.45</v>
          </cell>
          <cell r="C171">
            <v>10</v>
          </cell>
          <cell r="D171">
            <v>28.51</v>
          </cell>
        </row>
        <row r="172">
          <cell r="A172" t="str">
            <v>1993M03</v>
          </cell>
          <cell r="B172">
            <v>18.75</v>
          </cell>
          <cell r="C172">
            <v>10</v>
          </cell>
          <cell r="D172">
            <v>28.51</v>
          </cell>
        </row>
        <row r="173">
          <cell r="A173" t="str">
            <v>1993M04</v>
          </cell>
          <cell r="B173">
            <v>18.649999999999999</v>
          </cell>
          <cell r="C173">
            <v>10</v>
          </cell>
          <cell r="D173">
            <v>28.51</v>
          </cell>
        </row>
        <row r="174">
          <cell r="A174" t="str">
            <v>1993M05</v>
          </cell>
          <cell r="B174">
            <v>18.5</v>
          </cell>
          <cell r="C174">
            <v>10</v>
          </cell>
          <cell r="D174">
            <v>28.51</v>
          </cell>
        </row>
        <row r="175">
          <cell r="A175" t="str">
            <v>1993M06</v>
          </cell>
          <cell r="B175">
            <v>17.649999999999999</v>
          </cell>
          <cell r="C175">
            <v>10</v>
          </cell>
          <cell r="D175">
            <v>28.51</v>
          </cell>
        </row>
        <row r="176">
          <cell r="A176" t="str">
            <v>1993M07</v>
          </cell>
          <cell r="B176">
            <v>16.8</v>
          </cell>
          <cell r="C176">
            <v>10</v>
          </cell>
          <cell r="D176">
            <v>28.51</v>
          </cell>
        </row>
        <row r="177">
          <cell r="A177" t="str">
            <v>1993M08</v>
          </cell>
          <cell r="B177">
            <v>16.7</v>
          </cell>
          <cell r="C177">
            <v>10</v>
          </cell>
          <cell r="D177">
            <v>28.51</v>
          </cell>
        </row>
        <row r="178">
          <cell r="A178" t="str">
            <v>1993M09</v>
          </cell>
          <cell r="B178">
            <v>16</v>
          </cell>
          <cell r="C178">
            <v>10</v>
          </cell>
          <cell r="D178">
            <v>28.51</v>
          </cell>
        </row>
        <row r="179">
          <cell r="A179" t="str">
            <v>1993M10</v>
          </cell>
          <cell r="B179">
            <v>16.600000000000001</v>
          </cell>
          <cell r="C179">
            <v>10</v>
          </cell>
          <cell r="D179">
            <v>28.51</v>
          </cell>
        </row>
        <row r="180">
          <cell r="A180" t="str">
            <v>1993M11</v>
          </cell>
          <cell r="B180">
            <v>15.15</v>
          </cell>
          <cell r="C180">
            <v>10</v>
          </cell>
          <cell r="D180">
            <v>28.51</v>
          </cell>
        </row>
        <row r="181">
          <cell r="A181" t="str">
            <v>1993M12</v>
          </cell>
          <cell r="B181">
            <v>13.6</v>
          </cell>
          <cell r="C181">
            <v>10</v>
          </cell>
          <cell r="D181">
            <v>28.51</v>
          </cell>
        </row>
        <row r="182">
          <cell r="A182" t="str">
            <v>1994M01</v>
          </cell>
          <cell r="B182">
            <v>14.25</v>
          </cell>
          <cell r="C182">
            <v>10</v>
          </cell>
          <cell r="D182">
            <v>28.51</v>
          </cell>
        </row>
        <row r="183">
          <cell r="A183" t="str">
            <v>1994M02</v>
          </cell>
          <cell r="B183">
            <v>13.8</v>
          </cell>
          <cell r="C183">
            <v>10</v>
          </cell>
          <cell r="D183">
            <v>28.51</v>
          </cell>
        </row>
        <row r="184">
          <cell r="A184" t="str">
            <v>1994M03</v>
          </cell>
          <cell r="B184">
            <v>13.95</v>
          </cell>
          <cell r="C184">
            <v>10</v>
          </cell>
          <cell r="D184">
            <v>28.51</v>
          </cell>
        </row>
        <row r="185">
          <cell r="A185" t="str">
            <v>1994M04</v>
          </cell>
          <cell r="B185">
            <v>15.15</v>
          </cell>
          <cell r="C185">
            <v>10</v>
          </cell>
          <cell r="D185">
            <v>28.51</v>
          </cell>
        </row>
        <row r="186">
          <cell r="A186" t="str">
            <v>1994M05</v>
          </cell>
          <cell r="B186">
            <v>16.2</v>
          </cell>
          <cell r="C186">
            <v>10</v>
          </cell>
          <cell r="D186">
            <v>28.51</v>
          </cell>
        </row>
        <row r="187">
          <cell r="A187" t="str">
            <v>1994M06</v>
          </cell>
          <cell r="B187">
            <v>16.75</v>
          </cell>
          <cell r="C187">
            <v>10</v>
          </cell>
          <cell r="D187">
            <v>28.51</v>
          </cell>
        </row>
        <row r="188">
          <cell r="A188" t="str">
            <v>1994M07</v>
          </cell>
          <cell r="B188">
            <v>17.600000000000001</v>
          </cell>
          <cell r="C188">
            <v>10</v>
          </cell>
          <cell r="D188">
            <v>28.51</v>
          </cell>
        </row>
        <row r="189">
          <cell r="A189" t="str">
            <v>1994M08</v>
          </cell>
          <cell r="B189">
            <v>16.8</v>
          </cell>
          <cell r="C189">
            <v>10</v>
          </cell>
          <cell r="D189">
            <v>28.51</v>
          </cell>
        </row>
        <row r="190">
          <cell r="A190" t="str">
            <v>1994M09</v>
          </cell>
          <cell r="B190">
            <v>15.9</v>
          </cell>
          <cell r="C190">
            <v>10</v>
          </cell>
          <cell r="D190">
            <v>28.51</v>
          </cell>
        </row>
        <row r="191">
          <cell r="A191" t="str">
            <v>1994M10</v>
          </cell>
          <cell r="B191">
            <v>16.399999999999999</v>
          </cell>
          <cell r="C191">
            <v>10</v>
          </cell>
          <cell r="D191">
            <v>28.51</v>
          </cell>
        </row>
        <row r="192">
          <cell r="A192" t="str">
            <v>1994M11</v>
          </cell>
          <cell r="B192">
            <v>17.2</v>
          </cell>
          <cell r="C192">
            <v>10</v>
          </cell>
          <cell r="D192">
            <v>28.51</v>
          </cell>
        </row>
        <row r="193">
          <cell r="A193" t="str">
            <v>1994M12</v>
          </cell>
          <cell r="B193">
            <v>15.96</v>
          </cell>
          <cell r="C193">
            <v>10</v>
          </cell>
          <cell r="D193">
            <v>28.51</v>
          </cell>
        </row>
        <row r="194">
          <cell r="A194" t="str">
            <v>1995M01</v>
          </cell>
          <cell r="B194">
            <v>16.63</v>
          </cell>
          <cell r="C194">
            <v>10</v>
          </cell>
          <cell r="D194">
            <v>28.51</v>
          </cell>
        </row>
        <row r="195">
          <cell r="A195" t="str">
            <v>1995M02</v>
          </cell>
          <cell r="B195">
            <v>17.079999999999998</v>
          </cell>
          <cell r="C195">
            <v>10</v>
          </cell>
          <cell r="D195">
            <v>28.51</v>
          </cell>
        </row>
        <row r="196">
          <cell r="A196" t="str">
            <v>1995M03</v>
          </cell>
          <cell r="B196">
            <v>17.010000000000002</v>
          </cell>
          <cell r="C196">
            <v>10</v>
          </cell>
          <cell r="D196">
            <v>28.51</v>
          </cell>
        </row>
        <row r="197">
          <cell r="A197" t="str">
            <v>1995M04</v>
          </cell>
          <cell r="B197">
            <v>18.670000000000002</v>
          </cell>
          <cell r="C197">
            <v>10</v>
          </cell>
          <cell r="D197">
            <v>28.51</v>
          </cell>
        </row>
        <row r="198">
          <cell r="A198" t="str">
            <v>1995M05</v>
          </cell>
          <cell r="B198">
            <v>18.38</v>
          </cell>
          <cell r="C198">
            <v>10</v>
          </cell>
          <cell r="D198">
            <v>28.51</v>
          </cell>
        </row>
        <row r="199">
          <cell r="A199" t="str">
            <v>1995M06</v>
          </cell>
          <cell r="B199">
            <v>17.350000000000001</v>
          </cell>
          <cell r="C199">
            <v>10</v>
          </cell>
          <cell r="D199">
            <v>28.51</v>
          </cell>
        </row>
        <row r="200">
          <cell r="A200" t="str">
            <v>1995M07</v>
          </cell>
          <cell r="B200">
            <v>15.86</v>
          </cell>
          <cell r="C200">
            <v>10</v>
          </cell>
          <cell r="D200">
            <v>28.51</v>
          </cell>
        </row>
        <row r="201">
          <cell r="A201" t="str">
            <v>1995M08</v>
          </cell>
          <cell r="B201">
            <v>16.07</v>
          </cell>
          <cell r="C201">
            <v>10</v>
          </cell>
          <cell r="D201">
            <v>28.51</v>
          </cell>
        </row>
        <row r="202">
          <cell r="A202" t="str">
            <v>1995M09</v>
          </cell>
          <cell r="B202">
            <v>16.78</v>
          </cell>
          <cell r="C202">
            <v>10</v>
          </cell>
          <cell r="D202">
            <v>28.51</v>
          </cell>
        </row>
        <row r="203">
          <cell r="A203" t="str">
            <v>1995M10</v>
          </cell>
          <cell r="B203">
            <v>16.12</v>
          </cell>
          <cell r="C203">
            <v>10</v>
          </cell>
          <cell r="D203">
            <v>28.51</v>
          </cell>
        </row>
        <row r="204">
          <cell r="A204" t="str">
            <v>1995M11</v>
          </cell>
          <cell r="B204">
            <v>16.88</v>
          </cell>
          <cell r="C204">
            <v>10</v>
          </cell>
          <cell r="D204">
            <v>28.51</v>
          </cell>
        </row>
        <row r="205">
          <cell r="A205" t="str">
            <v>1995M12</v>
          </cell>
          <cell r="B205">
            <v>17.96</v>
          </cell>
          <cell r="C205">
            <v>10</v>
          </cell>
          <cell r="D205">
            <v>28.51</v>
          </cell>
        </row>
        <row r="206">
          <cell r="A206" t="str">
            <v>1996M01</v>
          </cell>
          <cell r="B206">
            <v>17.940000000000001</v>
          </cell>
          <cell r="C206">
            <v>10</v>
          </cell>
          <cell r="D206">
            <v>28.51</v>
          </cell>
        </row>
        <row r="207">
          <cell r="A207" t="str">
            <v>1996M02</v>
          </cell>
          <cell r="B207">
            <v>17.97</v>
          </cell>
          <cell r="C207">
            <v>10</v>
          </cell>
          <cell r="D207">
            <v>28.51</v>
          </cell>
        </row>
        <row r="208">
          <cell r="A208" t="str">
            <v>1996M03</v>
          </cell>
          <cell r="B208">
            <v>19.989999999999998</v>
          </cell>
          <cell r="C208">
            <v>10</v>
          </cell>
          <cell r="D208">
            <v>28.51</v>
          </cell>
        </row>
        <row r="209">
          <cell r="A209" t="str">
            <v>1996M04</v>
          </cell>
          <cell r="B209">
            <v>21.01</v>
          </cell>
          <cell r="C209">
            <v>10</v>
          </cell>
          <cell r="D209">
            <v>28.51</v>
          </cell>
        </row>
        <row r="210">
          <cell r="A210" t="str">
            <v>1996M05</v>
          </cell>
          <cell r="B210">
            <v>19.12</v>
          </cell>
          <cell r="C210">
            <v>10</v>
          </cell>
          <cell r="D210">
            <v>28.51</v>
          </cell>
        </row>
        <row r="211">
          <cell r="A211" t="str">
            <v>1996M06</v>
          </cell>
          <cell r="B211">
            <v>18.27</v>
          </cell>
          <cell r="C211">
            <v>10</v>
          </cell>
          <cell r="D211">
            <v>28.51</v>
          </cell>
        </row>
        <row r="212">
          <cell r="A212" t="str">
            <v>1996M07</v>
          </cell>
          <cell r="B212">
            <v>19.61</v>
          </cell>
          <cell r="C212">
            <v>10</v>
          </cell>
          <cell r="D212">
            <v>28.51</v>
          </cell>
        </row>
        <row r="213">
          <cell r="A213" t="str">
            <v>1996M08</v>
          </cell>
          <cell r="B213">
            <v>20.58</v>
          </cell>
          <cell r="C213">
            <v>10</v>
          </cell>
          <cell r="D213">
            <v>28.51</v>
          </cell>
        </row>
        <row r="214">
          <cell r="A214" t="str">
            <v>1996M09</v>
          </cell>
          <cell r="B214">
            <v>22.59</v>
          </cell>
          <cell r="C214">
            <v>10</v>
          </cell>
          <cell r="D214">
            <v>28.51</v>
          </cell>
        </row>
        <row r="215">
          <cell r="A215" t="str">
            <v>1996M10</v>
          </cell>
          <cell r="B215">
            <v>24.18</v>
          </cell>
          <cell r="C215">
            <v>10</v>
          </cell>
          <cell r="D215">
            <v>28.51</v>
          </cell>
        </row>
        <row r="216">
          <cell r="A216" t="str">
            <v>1996M11</v>
          </cell>
          <cell r="B216">
            <v>22.64</v>
          </cell>
          <cell r="C216">
            <v>10</v>
          </cell>
          <cell r="D216">
            <v>28.51</v>
          </cell>
        </row>
        <row r="217">
          <cell r="A217" t="str">
            <v>1996M12</v>
          </cell>
          <cell r="B217">
            <v>23.9</v>
          </cell>
          <cell r="C217">
            <v>10</v>
          </cell>
          <cell r="D217">
            <v>28.51</v>
          </cell>
        </row>
        <row r="218">
          <cell r="A218" t="str">
            <v>1997M01</v>
          </cell>
          <cell r="B218">
            <v>23.47</v>
          </cell>
          <cell r="C218">
            <v>10</v>
          </cell>
          <cell r="D218">
            <v>28.51</v>
          </cell>
        </row>
        <row r="219">
          <cell r="A219" t="str">
            <v>1997M02</v>
          </cell>
          <cell r="B219">
            <v>20.83</v>
          </cell>
          <cell r="C219">
            <v>10</v>
          </cell>
          <cell r="D219">
            <v>28.51</v>
          </cell>
        </row>
        <row r="220">
          <cell r="A220" t="str">
            <v>1997M03</v>
          </cell>
          <cell r="B220">
            <v>19.21</v>
          </cell>
          <cell r="C220">
            <v>10</v>
          </cell>
          <cell r="D220">
            <v>28.51</v>
          </cell>
        </row>
        <row r="221">
          <cell r="A221" t="str">
            <v>1997M04</v>
          </cell>
          <cell r="B221">
            <v>17.47</v>
          </cell>
          <cell r="C221">
            <v>10</v>
          </cell>
          <cell r="D221">
            <v>28.51</v>
          </cell>
        </row>
        <row r="222">
          <cell r="A222" t="str">
            <v>1997M05</v>
          </cell>
          <cell r="B222">
            <v>19.142499999999998</v>
          </cell>
          <cell r="C222">
            <v>10</v>
          </cell>
          <cell r="D222">
            <v>28.51</v>
          </cell>
        </row>
        <row r="223">
          <cell r="A223" t="str">
            <v>1997M06</v>
          </cell>
          <cell r="B223">
            <v>17.55</v>
          </cell>
          <cell r="C223">
            <v>10</v>
          </cell>
          <cell r="D223">
            <v>28.51</v>
          </cell>
        </row>
        <row r="224">
          <cell r="A224" t="str">
            <v>1997M07</v>
          </cell>
          <cell r="B224">
            <v>18.399999999999999</v>
          </cell>
          <cell r="C224">
            <v>10</v>
          </cell>
          <cell r="D224">
            <v>28.51</v>
          </cell>
        </row>
        <row r="225">
          <cell r="A225" t="str">
            <v>1997M08</v>
          </cell>
          <cell r="B225">
            <v>18.71</v>
          </cell>
          <cell r="C225">
            <v>10</v>
          </cell>
          <cell r="D225">
            <v>28.51</v>
          </cell>
        </row>
        <row r="226">
          <cell r="A226" t="str">
            <v>1997M09</v>
          </cell>
          <cell r="B226">
            <v>18.45</v>
          </cell>
          <cell r="C226">
            <v>10</v>
          </cell>
          <cell r="D226">
            <v>28.51</v>
          </cell>
        </row>
        <row r="227">
          <cell r="A227" t="str">
            <v>1997M10</v>
          </cell>
          <cell r="B227">
            <v>19.850000000000001</v>
          </cell>
          <cell r="C227">
            <v>10</v>
          </cell>
          <cell r="D227">
            <v>28.51</v>
          </cell>
        </row>
        <row r="228">
          <cell r="A228" t="str">
            <v>1997M11</v>
          </cell>
          <cell r="B228">
            <v>19</v>
          </cell>
          <cell r="C228">
            <v>10</v>
          </cell>
          <cell r="D228">
            <v>28.51</v>
          </cell>
        </row>
        <row r="229">
          <cell r="A229" t="str">
            <v>1997M12</v>
          </cell>
          <cell r="B229">
            <v>17</v>
          </cell>
          <cell r="C229">
            <v>10</v>
          </cell>
          <cell r="D229">
            <v>28.51</v>
          </cell>
        </row>
        <row r="230">
          <cell r="A230" t="str">
            <v>1998M01</v>
          </cell>
          <cell r="B230">
            <v>15.09</v>
          </cell>
          <cell r="C230">
            <v>10</v>
          </cell>
          <cell r="D230">
            <v>28.51</v>
          </cell>
        </row>
        <row r="231">
          <cell r="A231" t="str">
            <v>1998M02</v>
          </cell>
          <cell r="B231">
            <v>14.06</v>
          </cell>
          <cell r="C231">
            <v>10</v>
          </cell>
          <cell r="D231">
            <v>28.51</v>
          </cell>
        </row>
        <row r="232">
          <cell r="A232" t="str">
            <v>1998M03</v>
          </cell>
          <cell r="B232">
            <v>13.08</v>
          </cell>
          <cell r="C232">
            <v>10</v>
          </cell>
          <cell r="D232">
            <v>28.51</v>
          </cell>
        </row>
        <row r="233">
          <cell r="A233" t="str">
            <v>1998M04</v>
          </cell>
          <cell r="B233">
            <v>13.39</v>
          </cell>
          <cell r="C233">
            <v>10</v>
          </cell>
          <cell r="D233">
            <v>28.51</v>
          </cell>
        </row>
        <row r="234">
          <cell r="A234" t="str">
            <v>1998M05</v>
          </cell>
          <cell r="B234">
            <v>14.39</v>
          </cell>
          <cell r="C234">
            <v>10</v>
          </cell>
          <cell r="D234">
            <v>28.51</v>
          </cell>
        </row>
        <row r="235">
          <cell r="A235" t="str">
            <v>1998M06</v>
          </cell>
          <cell r="B235">
            <v>12.058</v>
          </cell>
          <cell r="C235">
            <v>10</v>
          </cell>
          <cell r="D235">
            <v>28.51</v>
          </cell>
        </row>
        <row r="236">
          <cell r="A236" t="str">
            <v>1998M07</v>
          </cell>
          <cell r="B236">
            <v>12.01</v>
          </cell>
          <cell r="C236">
            <v>10</v>
          </cell>
          <cell r="D236">
            <v>28.51</v>
          </cell>
        </row>
        <row r="237">
          <cell r="A237" t="str">
            <v>1998M08</v>
          </cell>
          <cell r="B237">
            <v>11.8805</v>
          </cell>
          <cell r="C237">
            <v>10</v>
          </cell>
          <cell r="D237">
            <v>28.51</v>
          </cell>
        </row>
        <row r="238">
          <cell r="A238" t="str">
            <v>1998M09</v>
          </cell>
          <cell r="B238">
            <v>13.36</v>
          </cell>
          <cell r="C238">
            <v>10</v>
          </cell>
          <cell r="D238">
            <v>28.51</v>
          </cell>
        </row>
        <row r="239">
          <cell r="A239" t="str">
            <v>1998M10</v>
          </cell>
          <cell r="B239">
            <v>12.56</v>
          </cell>
          <cell r="C239">
            <v>10</v>
          </cell>
          <cell r="D239">
            <v>28.51</v>
          </cell>
        </row>
        <row r="240">
          <cell r="A240" t="str">
            <v>1998M11</v>
          </cell>
          <cell r="B240">
            <v>10.92</v>
          </cell>
          <cell r="C240">
            <v>10</v>
          </cell>
          <cell r="D240">
            <v>28.51</v>
          </cell>
        </row>
        <row r="241">
          <cell r="A241" t="str">
            <v>1998M12</v>
          </cell>
          <cell r="B241">
            <v>9.8000000000000007</v>
          </cell>
          <cell r="C241">
            <v>10</v>
          </cell>
          <cell r="D241">
            <v>28.51</v>
          </cell>
        </row>
        <row r="242">
          <cell r="A242" t="str">
            <v>1999M01</v>
          </cell>
          <cell r="B242">
            <v>11.06</v>
          </cell>
          <cell r="C242">
            <v>10</v>
          </cell>
          <cell r="D242">
            <v>28.51</v>
          </cell>
        </row>
        <row r="243">
          <cell r="A243" t="str">
            <v>1999M02</v>
          </cell>
          <cell r="B243">
            <v>10.199999999999999</v>
          </cell>
          <cell r="C243">
            <v>10</v>
          </cell>
          <cell r="D243">
            <v>28.51</v>
          </cell>
        </row>
        <row r="244">
          <cell r="A244" t="str">
            <v>1999M03</v>
          </cell>
          <cell r="B244">
            <v>12.47</v>
          </cell>
          <cell r="C244">
            <v>10</v>
          </cell>
          <cell r="D244">
            <v>28.51</v>
          </cell>
        </row>
        <row r="245">
          <cell r="A245" t="str">
            <v>1999M04</v>
          </cell>
          <cell r="B245">
            <v>15.3</v>
          </cell>
          <cell r="C245">
            <v>10</v>
          </cell>
          <cell r="D245">
            <v>28.51</v>
          </cell>
        </row>
        <row r="246">
          <cell r="A246" t="str">
            <v>1999M05</v>
          </cell>
          <cell r="B246">
            <v>15.14</v>
          </cell>
          <cell r="C246">
            <v>10</v>
          </cell>
          <cell r="D246">
            <v>28.51</v>
          </cell>
        </row>
        <row r="247">
          <cell r="A247" t="str">
            <v>1999M06</v>
          </cell>
          <cell r="B247">
            <v>15.77</v>
          </cell>
          <cell r="C247">
            <v>10</v>
          </cell>
          <cell r="D247">
            <v>28.51</v>
          </cell>
        </row>
        <row r="248">
          <cell r="A248" t="str">
            <v>1999M07</v>
          </cell>
          <cell r="B248">
            <v>19.010000000000002</v>
          </cell>
          <cell r="C248">
            <v>10</v>
          </cell>
          <cell r="D248">
            <v>28.51</v>
          </cell>
        </row>
        <row r="249">
          <cell r="A249" t="str">
            <v>1999M08</v>
          </cell>
          <cell r="B249">
            <v>20.22</v>
          </cell>
          <cell r="C249">
            <v>10</v>
          </cell>
          <cell r="D249">
            <v>28.51</v>
          </cell>
        </row>
        <row r="250">
          <cell r="A250" t="str">
            <v>1999M09</v>
          </cell>
          <cell r="B250">
            <v>22.4</v>
          </cell>
          <cell r="C250">
            <v>10</v>
          </cell>
          <cell r="D250">
            <v>28.51</v>
          </cell>
        </row>
        <row r="251">
          <cell r="A251" t="str">
            <v>1999M10</v>
          </cell>
          <cell r="B251">
            <v>21.95</v>
          </cell>
          <cell r="C251">
            <v>10</v>
          </cell>
          <cell r="D251">
            <v>28.51</v>
          </cell>
        </row>
        <row r="252">
          <cell r="A252" t="str">
            <v>1999M11</v>
          </cell>
          <cell r="B252">
            <v>24.59</v>
          </cell>
          <cell r="C252">
            <v>10</v>
          </cell>
          <cell r="D252">
            <v>28.51</v>
          </cell>
        </row>
        <row r="253">
          <cell r="A253" t="str">
            <v>1999M12</v>
          </cell>
          <cell r="B253">
            <v>25.59</v>
          </cell>
          <cell r="C253">
            <v>10</v>
          </cell>
          <cell r="D253">
            <v>28.51</v>
          </cell>
        </row>
        <row r="254">
          <cell r="A254" t="str">
            <v>2000M01</v>
          </cell>
          <cell r="B254">
            <v>25.38</v>
          </cell>
          <cell r="C254">
            <v>10</v>
          </cell>
          <cell r="D254">
            <v>28.51</v>
          </cell>
        </row>
        <row r="255">
          <cell r="A255" t="str">
            <v>2000M02</v>
          </cell>
          <cell r="B255">
            <v>27.704799999999999</v>
          </cell>
          <cell r="C255">
            <v>10</v>
          </cell>
          <cell r="D255">
            <v>28.51</v>
          </cell>
        </row>
        <row r="256">
          <cell r="A256" t="str">
            <v>2000M03</v>
          </cell>
          <cell r="B256">
            <v>27.47</v>
          </cell>
          <cell r="C256">
            <v>10</v>
          </cell>
          <cell r="D256">
            <v>28.51</v>
          </cell>
        </row>
        <row r="257">
          <cell r="A257" t="str">
            <v>2000M04</v>
          </cell>
          <cell r="B257">
            <v>22.54</v>
          </cell>
          <cell r="C257">
            <v>10</v>
          </cell>
          <cell r="D257">
            <v>28.51</v>
          </cell>
        </row>
        <row r="258">
          <cell r="A258" t="str">
            <v>2000M05</v>
          </cell>
          <cell r="B258">
            <v>27.34</v>
          </cell>
          <cell r="C258">
            <v>10</v>
          </cell>
          <cell r="D258">
            <v>28.51</v>
          </cell>
        </row>
        <row r="259">
          <cell r="A259" t="str">
            <v>2000M06</v>
          </cell>
          <cell r="B259">
            <v>29.677299999999999</v>
          </cell>
          <cell r="C259">
            <v>10</v>
          </cell>
          <cell r="D259">
            <v>28.51</v>
          </cell>
        </row>
        <row r="260">
          <cell r="A260" t="str">
            <v>2000M07</v>
          </cell>
          <cell r="B260">
            <v>28.53</v>
          </cell>
          <cell r="C260">
            <v>10</v>
          </cell>
          <cell r="D260">
            <v>28.51</v>
          </cell>
        </row>
        <row r="261">
          <cell r="A261" t="str">
            <v>2000M08</v>
          </cell>
          <cell r="B261">
            <v>29.43</v>
          </cell>
          <cell r="C261">
            <v>10</v>
          </cell>
          <cell r="D261">
            <v>28.51</v>
          </cell>
        </row>
        <row r="262">
          <cell r="A262" t="str">
            <v>2000M09</v>
          </cell>
          <cell r="B262">
            <v>32.621000000000002</v>
          </cell>
          <cell r="C262">
            <v>10</v>
          </cell>
          <cell r="D262">
            <v>28.51</v>
          </cell>
        </row>
        <row r="263">
          <cell r="A263" t="str">
            <v>2000M10</v>
          </cell>
          <cell r="B263">
            <v>30.932300000000001</v>
          </cell>
          <cell r="C263">
            <v>10</v>
          </cell>
          <cell r="D263">
            <v>28.51</v>
          </cell>
        </row>
        <row r="264">
          <cell r="A264" t="str">
            <v>2000M11</v>
          </cell>
          <cell r="B264">
            <v>32.524090909090901</v>
          </cell>
          <cell r="C264">
            <v>10</v>
          </cell>
          <cell r="D264">
            <v>28.51</v>
          </cell>
        </row>
        <row r="265">
          <cell r="A265" t="str">
            <v>2000M12</v>
          </cell>
          <cell r="B265">
            <v>25.125499999999999</v>
          </cell>
          <cell r="C265">
            <v>10</v>
          </cell>
          <cell r="D265">
            <v>28.51</v>
          </cell>
        </row>
        <row r="266">
          <cell r="A266" t="str">
            <v>2001M01</v>
          </cell>
          <cell r="B266">
            <v>25.636363636363601</v>
          </cell>
          <cell r="C266">
            <v>10</v>
          </cell>
          <cell r="D266">
            <v>28.51</v>
          </cell>
        </row>
        <row r="267">
          <cell r="A267" t="str">
            <v>2001M02</v>
          </cell>
          <cell r="B267">
            <v>27.405999999999999</v>
          </cell>
          <cell r="C267">
            <v>10</v>
          </cell>
          <cell r="D267">
            <v>28.51</v>
          </cell>
        </row>
        <row r="268">
          <cell r="A268" t="str">
            <v>2001M03</v>
          </cell>
          <cell r="B268">
            <v>24.395454545454498</v>
          </cell>
          <cell r="C268">
            <v>10</v>
          </cell>
          <cell r="D268">
            <v>28.51</v>
          </cell>
        </row>
        <row r="269">
          <cell r="A269" t="str">
            <v>2001M04</v>
          </cell>
          <cell r="B269">
            <v>25.640999999999998</v>
          </cell>
          <cell r="C269">
            <v>10</v>
          </cell>
          <cell r="D269">
            <v>28.51</v>
          </cell>
        </row>
        <row r="270">
          <cell r="A270" t="str">
            <v>2001M05</v>
          </cell>
          <cell r="B270">
            <v>28.450476190476198</v>
          </cell>
          <cell r="C270">
            <v>10</v>
          </cell>
          <cell r="D270">
            <v>28.51</v>
          </cell>
        </row>
        <row r="271">
          <cell r="A271" t="str">
            <v>2001M06</v>
          </cell>
          <cell r="B271">
            <v>27.724285714285699</v>
          </cell>
          <cell r="C271">
            <v>10</v>
          </cell>
          <cell r="D271">
            <v>28.51</v>
          </cell>
        </row>
        <row r="272">
          <cell r="A272" t="str">
            <v>2001M07</v>
          </cell>
          <cell r="B272">
            <v>24.538181818181801</v>
          </cell>
          <cell r="C272">
            <v>10</v>
          </cell>
          <cell r="D272">
            <v>28.51</v>
          </cell>
        </row>
        <row r="273">
          <cell r="A273" t="str">
            <v>2001M08</v>
          </cell>
          <cell r="B273">
            <v>25.6978260869565</v>
          </cell>
          <cell r="C273">
            <v>10</v>
          </cell>
          <cell r="D273">
            <v>28.51</v>
          </cell>
        </row>
        <row r="274">
          <cell r="A274" t="str">
            <v>2001M09</v>
          </cell>
          <cell r="B274">
            <v>25.544</v>
          </cell>
          <cell r="C274">
            <v>10</v>
          </cell>
          <cell r="D274">
            <v>28.51</v>
          </cell>
        </row>
        <row r="275">
          <cell r="A275" t="str">
            <v>2001M10</v>
          </cell>
          <cell r="B275">
            <v>20.478260869565201</v>
          </cell>
          <cell r="C275">
            <v>10</v>
          </cell>
          <cell r="D275">
            <v>28.51</v>
          </cell>
        </row>
        <row r="276">
          <cell r="A276" t="str">
            <v>2001M11</v>
          </cell>
          <cell r="B276">
            <v>18.942272727272702</v>
          </cell>
          <cell r="C276">
            <v>10</v>
          </cell>
          <cell r="D276">
            <v>28.51</v>
          </cell>
        </row>
        <row r="277">
          <cell r="A277" t="str">
            <v>2001M12</v>
          </cell>
          <cell r="B277">
            <v>18.6047368421053</v>
          </cell>
          <cell r="C277">
            <v>10</v>
          </cell>
          <cell r="D277">
            <v>28.51</v>
          </cell>
        </row>
        <row r="278">
          <cell r="A278" t="str">
            <v>2002M01</v>
          </cell>
          <cell r="B278">
            <v>19.484999999999999</v>
          </cell>
          <cell r="C278">
            <v>10</v>
          </cell>
          <cell r="D278">
            <v>28.51</v>
          </cell>
        </row>
        <row r="279">
          <cell r="A279" t="str">
            <v>2002M02</v>
          </cell>
          <cell r="B279">
            <v>20.291499999999999</v>
          </cell>
          <cell r="C279">
            <v>10</v>
          </cell>
          <cell r="D279">
            <v>28.51</v>
          </cell>
        </row>
        <row r="280">
          <cell r="A280" t="str">
            <v>2002M03</v>
          </cell>
          <cell r="B280">
            <v>23.6905</v>
          </cell>
          <cell r="C280">
            <v>10</v>
          </cell>
          <cell r="D280">
            <v>28.51</v>
          </cell>
        </row>
        <row r="281">
          <cell r="A281" t="str">
            <v>2002M04</v>
          </cell>
          <cell r="B281">
            <v>25.6540909090909</v>
          </cell>
          <cell r="C281">
            <v>10</v>
          </cell>
          <cell r="D281">
            <v>28.51</v>
          </cell>
        </row>
        <row r="282">
          <cell r="A282" t="str">
            <v>2002M05</v>
          </cell>
          <cell r="B282">
            <v>25.387272727272698</v>
          </cell>
          <cell r="C282">
            <v>10</v>
          </cell>
          <cell r="D282">
            <v>28.51</v>
          </cell>
        </row>
        <row r="283">
          <cell r="A283" t="str">
            <v>2002M06</v>
          </cell>
          <cell r="B283">
            <v>24.127894736842102</v>
          </cell>
          <cell r="C283">
            <v>10</v>
          </cell>
          <cell r="D283">
            <v>28.51</v>
          </cell>
        </row>
        <row r="284">
          <cell r="A284" t="str">
            <v>2002M07</v>
          </cell>
          <cell r="B284">
            <v>25.7678260869565</v>
          </cell>
          <cell r="C284">
            <v>10</v>
          </cell>
          <cell r="D284">
            <v>28.51</v>
          </cell>
        </row>
        <row r="285">
          <cell r="A285" t="str">
            <v>2002M08</v>
          </cell>
          <cell r="B285">
            <v>26.632857142857102</v>
          </cell>
          <cell r="C285">
            <v>10</v>
          </cell>
          <cell r="D285">
            <v>28.51</v>
          </cell>
        </row>
        <row r="286">
          <cell r="A286" t="str">
            <v>2002M09</v>
          </cell>
          <cell r="B286">
            <v>28.342380952380999</v>
          </cell>
          <cell r="C286">
            <v>10</v>
          </cell>
          <cell r="D286">
            <v>28.51</v>
          </cell>
        </row>
        <row r="287">
          <cell r="A287" t="str">
            <v>2002M10</v>
          </cell>
          <cell r="B287">
            <v>27.548695652173901</v>
          </cell>
          <cell r="C287">
            <v>10</v>
          </cell>
          <cell r="D287">
            <v>28.51</v>
          </cell>
        </row>
        <row r="288">
          <cell r="A288" t="str">
            <v>2002M11</v>
          </cell>
          <cell r="B288">
            <v>24.184761904761899</v>
          </cell>
          <cell r="C288">
            <v>10</v>
          </cell>
          <cell r="D288">
            <v>28.51</v>
          </cell>
        </row>
        <row r="289">
          <cell r="A289" t="str">
            <v>2002M12</v>
          </cell>
          <cell r="B289">
            <v>28.520952380952401</v>
          </cell>
          <cell r="C289">
            <v>10</v>
          </cell>
          <cell r="D289">
            <v>28.51</v>
          </cell>
        </row>
        <row r="290">
          <cell r="A290" t="str">
            <v>2003M01</v>
          </cell>
          <cell r="B290">
            <v>31.246666666666702</v>
          </cell>
          <cell r="C290">
            <v>10</v>
          </cell>
          <cell r="D290">
            <v>28.51</v>
          </cell>
        </row>
        <row r="291">
          <cell r="A291" t="str">
            <v>2003M02</v>
          </cell>
          <cell r="B291">
            <v>32.648499999999999</v>
          </cell>
          <cell r="C291">
            <v>10</v>
          </cell>
          <cell r="D291">
            <v>28.51</v>
          </cell>
        </row>
        <row r="292">
          <cell r="A292" t="str">
            <v>2003M03</v>
          </cell>
          <cell r="B292">
            <v>30.339047619047602</v>
          </cell>
          <cell r="C292">
            <v>10</v>
          </cell>
          <cell r="D292">
            <v>28.51</v>
          </cell>
        </row>
        <row r="293">
          <cell r="A293" t="str">
            <v>2003M04</v>
          </cell>
          <cell r="B293">
            <v>25.015999999999998</v>
          </cell>
          <cell r="C293">
            <v>10</v>
          </cell>
          <cell r="D293">
            <v>28.51</v>
          </cell>
        </row>
        <row r="294">
          <cell r="A294" t="str">
            <v>2003M05</v>
          </cell>
          <cell r="B294">
            <v>25.8095</v>
          </cell>
          <cell r="C294">
            <v>10</v>
          </cell>
          <cell r="D294">
            <v>28.51</v>
          </cell>
        </row>
        <row r="295">
          <cell r="A295" t="str">
            <v>2003M06</v>
          </cell>
          <cell r="B295">
            <v>27.5457142857143</v>
          </cell>
          <cell r="C295">
            <v>10</v>
          </cell>
          <cell r="D295">
            <v>28.51</v>
          </cell>
        </row>
        <row r="296">
          <cell r="A296" t="str">
            <v>2003M07</v>
          </cell>
          <cell r="B296">
            <v>28.398260869565199</v>
          </cell>
          <cell r="C296">
            <v>10</v>
          </cell>
          <cell r="D296">
            <v>28.51</v>
          </cell>
        </row>
        <row r="297">
          <cell r="A297" t="str">
            <v>2003M08</v>
          </cell>
          <cell r="B297">
            <v>29.825714285714302</v>
          </cell>
          <cell r="C297">
            <v>10</v>
          </cell>
          <cell r="D297">
            <v>28.51</v>
          </cell>
        </row>
        <row r="298">
          <cell r="A298" t="str">
            <v>2003M09</v>
          </cell>
          <cell r="B298">
            <v>27.0981818181818</v>
          </cell>
          <cell r="C298">
            <v>10</v>
          </cell>
          <cell r="D298">
            <v>28.51</v>
          </cell>
        </row>
        <row r="299">
          <cell r="A299" t="str">
            <v>2003M10</v>
          </cell>
          <cell r="B299">
            <v>29.5904347826087</v>
          </cell>
          <cell r="C299">
            <v>10</v>
          </cell>
          <cell r="D299">
            <v>28.51</v>
          </cell>
        </row>
        <row r="300">
          <cell r="A300" t="str">
            <v>2003M11</v>
          </cell>
          <cell r="B300">
            <v>28.771999999999998</v>
          </cell>
          <cell r="C300">
            <v>10</v>
          </cell>
          <cell r="D300">
            <v>28.51</v>
          </cell>
        </row>
        <row r="301">
          <cell r="A301" t="str">
            <v>2003M12</v>
          </cell>
          <cell r="B301">
            <v>29.926666666666701</v>
          </cell>
          <cell r="C301">
            <v>10</v>
          </cell>
          <cell r="D301">
            <v>28.51</v>
          </cell>
        </row>
        <row r="302">
          <cell r="A302" t="str">
            <v>2004M01</v>
          </cell>
          <cell r="B302">
            <v>31.1752380952381</v>
          </cell>
          <cell r="C302">
            <v>10</v>
          </cell>
          <cell r="D302">
            <v>28.51</v>
          </cell>
        </row>
        <row r="303">
          <cell r="A303" t="str">
            <v>2004M02</v>
          </cell>
          <cell r="B303">
            <v>30.866</v>
          </cell>
          <cell r="C303">
            <v>10</v>
          </cell>
          <cell r="D303">
            <v>28.51</v>
          </cell>
        </row>
        <row r="304">
          <cell r="A304" t="str">
            <v>2004M03</v>
          </cell>
          <cell r="B304">
            <v>33.799130434782597</v>
          </cell>
          <cell r="C304">
            <v>10</v>
          </cell>
          <cell r="D304">
            <v>28.51</v>
          </cell>
        </row>
        <row r="305">
          <cell r="A305" t="str">
            <v>2004M04</v>
          </cell>
          <cell r="B305">
            <v>33.362272727272703</v>
          </cell>
          <cell r="C305">
            <v>10</v>
          </cell>
          <cell r="D305">
            <v>28.51</v>
          </cell>
        </row>
        <row r="306">
          <cell r="A306" t="str">
            <v>2004M05</v>
          </cell>
          <cell r="B306">
            <v>37.9163157894737</v>
          </cell>
          <cell r="C306">
            <v>10</v>
          </cell>
          <cell r="D306">
            <v>28.51</v>
          </cell>
        </row>
        <row r="307">
          <cell r="A307" t="str">
            <v>2004M06</v>
          </cell>
          <cell r="B307">
            <v>35.191363636363597</v>
          </cell>
          <cell r="C307">
            <v>10</v>
          </cell>
          <cell r="D307">
            <v>28.51</v>
          </cell>
        </row>
        <row r="308">
          <cell r="A308" t="str">
            <v>2004M07</v>
          </cell>
          <cell r="B308">
            <v>38.3704545454545</v>
          </cell>
          <cell r="C308">
            <v>10</v>
          </cell>
          <cell r="D308">
            <v>28.51</v>
          </cell>
        </row>
        <row r="309">
          <cell r="A309" t="str">
            <v>2004M08</v>
          </cell>
          <cell r="B309">
            <v>43.03</v>
          </cell>
          <cell r="C309">
            <v>10</v>
          </cell>
          <cell r="D309">
            <v>28.51</v>
          </cell>
        </row>
        <row r="310">
          <cell r="A310" t="str">
            <v>2004M09</v>
          </cell>
          <cell r="B310">
            <v>43.381363636363602</v>
          </cell>
          <cell r="C310">
            <v>10</v>
          </cell>
          <cell r="D310">
            <v>28.51</v>
          </cell>
        </row>
        <row r="311">
          <cell r="A311" t="str">
            <v>2004M10</v>
          </cell>
          <cell r="B311">
            <v>49.818095238095196</v>
          </cell>
          <cell r="C311">
            <v>10</v>
          </cell>
          <cell r="D311">
            <v>28.51</v>
          </cell>
        </row>
        <row r="312">
          <cell r="A312" t="str">
            <v>2004M11</v>
          </cell>
          <cell r="B312">
            <v>43.0536363636364</v>
          </cell>
          <cell r="C312">
            <v>10</v>
          </cell>
          <cell r="D312">
            <v>28.51</v>
          </cell>
        </row>
        <row r="313">
          <cell r="A313" t="str">
            <v>2004M12</v>
          </cell>
          <cell r="B313">
            <v>39.644285714285701</v>
          </cell>
          <cell r="C313">
            <v>10</v>
          </cell>
          <cell r="D313">
            <v>28.51</v>
          </cell>
        </row>
        <row r="314">
          <cell r="A314" t="str">
            <v>2005M01</v>
          </cell>
          <cell r="B314">
            <v>44.283333333333303</v>
          </cell>
          <cell r="C314">
            <v>10</v>
          </cell>
          <cell r="D314">
            <v>28.51</v>
          </cell>
        </row>
        <row r="315">
          <cell r="A315" t="str">
            <v>2005M02</v>
          </cell>
          <cell r="B315">
            <v>45.557000000000002</v>
          </cell>
          <cell r="C315">
            <v>10</v>
          </cell>
          <cell r="D315">
            <v>28.51</v>
          </cell>
        </row>
        <row r="316">
          <cell r="A316" t="str">
            <v>2005M03</v>
          </cell>
          <cell r="B316">
            <v>53.084090909090897</v>
          </cell>
          <cell r="C316">
            <v>10</v>
          </cell>
          <cell r="D316">
            <v>28.51</v>
          </cell>
        </row>
        <row r="317">
          <cell r="A317" t="str">
            <v>2005M04</v>
          </cell>
          <cell r="B317">
            <v>51.857142857142897</v>
          </cell>
          <cell r="C317">
            <v>10</v>
          </cell>
          <cell r="D317">
            <v>28.51</v>
          </cell>
        </row>
        <row r="318">
          <cell r="A318" t="str">
            <v>2005M05</v>
          </cell>
          <cell r="B318">
            <v>48.665909090909103</v>
          </cell>
          <cell r="C318">
            <v>10</v>
          </cell>
          <cell r="D318">
            <v>28.51</v>
          </cell>
        </row>
        <row r="319">
          <cell r="A319" t="str">
            <v>2005M06</v>
          </cell>
          <cell r="B319">
            <v>54.306818181818201</v>
          </cell>
          <cell r="C319">
            <v>10</v>
          </cell>
          <cell r="D319">
            <v>28.51</v>
          </cell>
        </row>
        <row r="320">
          <cell r="A320" t="str">
            <v>2005M07</v>
          </cell>
          <cell r="B320">
            <v>57.5790476190476</v>
          </cell>
          <cell r="C320">
            <v>10</v>
          </cell>
          <cell r="D320">
            <v>28.51</v>
          </cell>
        </row>
        <row r="321">
          <cell r="A321" t="str">
            <v>2005M08</v>
          </cell>
          <cell r="B321">
            <v>64.09</v>
          </cell>
          <cell r="C321">
            <v>10</v>
          </cell>
          <cell r="D321">
            <v>28.51</v>
          </cell>
        </row>
        <row r="322">
          <cell r="A322" t="str">
            <v>2005M09</v>
          </cell>
          <cell r="B322">
            <v>62.981818181818198</v>
          </cell>
          <cell r="C322">
            <v>10</v>
          </cell>
          <cell r="D322">
            <v>28.51</v>
          </cell>
        </row>
        <row r="323">
          <cell r="A323" t="str">
            <v>2005M10</v>
          </cell>
          <cell r="B323">
            <v>58.5219047619048</v>
          </cell>
          <cell r="C323">
            <v>10</v>
          </cell>
          <cell r="D323">
            <v>28.51</v>
          </cell>
        </row>
        <row r="324">
          <cell r="A324" t="str">
            <v>2005M11</v>
          </cell>
          <cell r="B324">
            <v>55.534999999999997</v>
          </cell>
          <cell r="C324">
            <v>10</v>
          </cell>
          <cell r="D324">
            <v>28.51</v>
          </cell>
        </row>
        <row r="325">
          <cell r="A325" t="str">
            <v>2005M12</v>
          </cell>
          <cell r="B325">
            <v>56.747500000000002</v>
          </cell>
          <cell r="C325">
            <v>10</v>
          </cell>
          <cell r="D325">
            <v>28.51</v>
          </cell>
        </row>
        <row r="326">
          <cell r="A326" t="str">
            <v>2006M01</v>
          </cell>
          <cell r="B326">
            <v>63.574285714285701</v>
          </cell>
          <cell r="C326">
            <v>10</v>
          </cell>
          <cell r="D326">
            <v>28.51</v>
          </cell>
        </row>
        <row r="327">
          <cell r="A327" t="str">
            <v>2006M02</v>
          </cell>
          <cell r="B327">
            <v>59.923000000000002</v>
          </cell>
          <cell r="C327">
            <v>10</v>
          </cell>
          <cell r="D327">
            <v>28.51</v>
          </cell>
        </row>
        <row r="328">
          <cell r="A328" t="str">
            <v>2006M03</v>
          </cell>
          <cell r="B328">
            <v>62.253043478260899</v>
          </cell>
          <cell r="C328">
            <v>10</v>
          </cell>
          <cell r="D328">
            <v>28.51</v>
          </cell>
        </row>
        <row r="329">
          <cell r="A329" t="str">
            <v>2006M04</v>
          </cell>
          <cell r="B329">
            <v>70.442105263157899</v>
          </cell>
          <cell r="C329">
            <v>10</v>
          </cell>
          <cell r="D329">
            <v>28.51</v>
          </cell>
        </row>
        <row r="330">
          <cell r="A330" t="str">
            <v>2006M05</v>
          </cell>
          <cell r="B330">
            <v>70.187272727272699</v>
          </cell>
          <cell r="C330">
            <v>10</v>
          </cell>
          <cell r="D330">
            <v>28.51</v>
          </cell>
        </row>
        <row r="331">
          <cell r="A331" t="str">
            <v>2006M06</v>
          </cell>
          <cell r="B331">
            <v>68.857727272727303</v>
          </cell>
          <cell r="C331">
            <v>10</v>
          </cell>
          <cell r="D331">
            <v>28.51</v>
          </cell>
        </row>
        <row r="332">
          <cell r="A332" t="str">
            <v>2006M07</v>
          </cell>
          <cell r="B332">
            <v>73.897142857142896</v>
          </cell>
          <cell r="C332">
            <v>10</v>
          </cell>
          <cell r="D332">
            <v>28.51</v>
          </cell>
        </row>
        <row r="333">
          <cell r="A333" t="str">
            <v>2006M08</v>
          </cell>
          <cell r="B333">
            <v>73.612173913043506</v>
          </cell>
          <cell r="C333">
            <v>10</v>
          </cell>
          <cell r="D333">
            <v>28.51</v>
          </cell>
        </row>
        <row r="334">
          <cell r="A334" t="str">
            <v>2006M09</v>
          </cell>
          <cell r="B334">
            <v>62.7719047619048</v>
          </cell>
          <cell r="C334">
            <v>10</v>
          </cell>
          <cell r="D334">
            <v>28.51</v>
          </cell>
        </row>
        <row r="335">
          <cell r="A335" t="str">
            <v>2006M10</v>
          </cell>
          <cell r="B335">
            <v>58.38</v>
          </cell>
          <cell r="C335">
            <v>10</v>
          </cell>
          <cell r="D335">
            <v>28.51</v>
          </cell>
        </row>
        <row r="336">
          <cell r="A336" t="str">
            <v>2006M11</v>
          </cell>
          <cell r="B336">
            <v>58.483181818181798</v>
          </cell>
          <cell r="C336">
            <v>10</v>
          </cell>
          <cell r="D336">
            <v>28.51</v>
          </cell>
        </row>
        <row r="337">
          <cell r="A337" t="str">
            <v>2006M12</v>
          </cell>
          <cell r="B337">
            <v>62.314736842105297</v>
          </cell>
          <cell r="C337">
            <v>10</v>
          </cell>
          <cell r="D337">
            <v>28.51</v>
          </cell>
        </row>
        <row r="338">
          <cell r="A338" t="str">
            <v>2007M01</v>
          </cell>
          <cell r="B338">
            <v>54.2990909090909</v>
          </cell>
          <cell r="C338">
            <v>10</v>
          </cell>
          <cell r="D338">
            <v>28.51</v>
          </cell>
        </row>
        <row r="339">
          <cell r="A339" t="str">
            <v>2007M02</v>
          </cell>
          <cell r="B339">
            <v>57.756999999999998</v>
          </cell>
          <cell r="C339">
            <v>10</v>
          </cell>
          <cell r="D339">
            <v>28.51</v>
          </cell>
        </row>
        <row r="340">
          <cell r="A340" t="str">
            <v>2007M03</v>
          </cell>
          <cell r="B340">
            <v>62.143636363636404</v>
          </cell>
          <cell r="C340">
            <v>10</v>
          </cell>
          <cell r="D340">
            <v>28.51</v>
          </cell>
        </row>
        <row r="341">
          <cell r="A341" t="str">
            <v>2007M04</v>
          </cell>
          <cell r="B341">
            <v>67.398421052631605</v>
          </cell>
          <cell r="C341">
            <v>10</v>
          </cell>
          <cell r="D341">
            <v>28.51</v>
          </cell>
        </row>
        <row r="342">
          <cell r="A342" t="str">
            <v>2007M05</v>
          </cell>
          <cell r="B342">
            <v>67.476086956521698</v>
          </cell>
          <cell r="C342">
            <v>10</v>
          </cell>
          <cell r="D342">
            <v>28.51</v>
          </cell>
        </row>
        <row r="343">
          <cell r="A343" t="str">
            <v>2007M06</v>
          </cell>
          <cell r="B343">
            <v>71.316190476190499</v>
          </cell>
          <cell r="C343">
            <v>10</v>
          </cell>
          <cell r="D343">
            <v>28.51</v>
          </cell>
        </row>
        <row r="344">
          <cell r="A344" t="str">
            <v>2007M07</v>
          </cell>
          <cell r="B344">
            <v>77.204090909090894</v>
          </cell>
          <cell r="C344">
            <v>10</v>
          </cell>
          <cell r="D344">
            <v>28.51</v>
          </cell>
        </row>
        <row r="345">
          <cell r="A345" t="str">
            <v>2007M08</v>
          </cell>
          <cell r="B345">
            <v>70.796521739130398</v>
          </cell>
          <cell r="C345">
            <v>10</v>
          </cell>
          <cell r="D345">
            <v>28.51</v>
          </cell>
        </row>
        <row r="346">
          <cell r="A346" t="str">
            <v>2007M09</v>
          </cell>
          <cell r="B346">
            <v>77.126999999999995</v>
          </cell>
          <cell r="C346">
            <v>10</v>
          </cell>
          <cell r="D346">
            <v>28.51</v>
          </cell>
        </row>
        <row r="347">
          <cell r="A347" t="str">
            <v>2007M10</v>
          </cell>
          <cell r="B347">
            <v>82.857826086956507</v>
          </cell>
          <cell r="C347">
            <v>10</v>
          </cell>
          <cell r="D347">
            <v>28.51</v>
          </cell>
        </row>
        <row r="348">
          <cell r="A348" t="str">
            <v>2007M11</v>
          </cell>
          <cell r="B348">
            <v>92.528181818181807</v>
          </cell>
          <cell r="C348">
            <v>10</v>
          </cell>
          <cell r="D348">
            <v>28.51</v>
          </cell>
        </row>
        <row r="349">
          <cell r="A349" t="str">
            <v>2007M12</v>
          </cell>
          <cell r="B349">
            <v>91.45</v>
          </cell>
          <cell r="C349">
            <v>10</v>
          </cell>
          <cell r="D349">
            <v>28.51</v>
          </cell>
        </row>
        <row r="350">
          <cell r="A350" t="str">
            <v>2008M01</v>
          </cell>
          <cell r="B350">
            <v>91.920454545454504</v>
          </cell>
          <cell r="C350">
            <v>10</v>
          </cell>
          <cell r="D350">
            <v>28.51</v>
          </cell>
        </row>
        <row r="351">
          <cell r="A351" t="str">
            <v>2008M02</v>
          </cell>
          <cell r="B351">
            <v>94.816666666666706</v>
          </cell>
          <cell r="C351">
            <v>10</v>
          </cell>
          <cell r="D351">
            <v>28.51</v>
          </cell>
        </row>
        <row r="352">
          <cell r="A352" t="str">
            <v>2008M03</v>
          </cell>
          <cell r="B352">
            <v>103.2775</v>
          </cell>
          <cell r="C352">
            <v>10</v>
          </cell>
          <cell r="D352">
            <v>28.51</v>
          </cell>
        </row>
        <row r="353">
          <cell r="A353" t="str">
            <v>2008M04</v>
          </cell>
          <cell r="B353">
            <v>110.187727272727</v>
          </cell>
          <cell r="C353">
            <v>10</v>
          </cell>
          <cell r="D353">
            <v>28.51</v>
          </cell>
        </row>
        <row r="354">
          <cell r="A354" t="str">
            <v>2008M05</v>
          </cell>
          <cell r="B354">
            <v>123.93619047619001</v>
          </cell>
          <cell r="C354">
            <v>10</v>
          </cell>
          <cell r="D354">
            <v>28.51</v>
          </cell>
        </row>
        <row r="355">
          <cell r="A355" t="str">
            <v>2008M06</v>
          </cell>
          <cell r="B355">
            <v>133.04857142857099</v>
          </cell>
          <cell r="C355">
            <v>10</v>
          </cell>
          <cell r="D355">
            <v>28.51</v>
          </cell>
        </row>
        <row r="356">
          <cell r="A356" t="str">
            <v>2008M07</v>
          </cell>
          <cell r="B356">
            <v>133.873043478261</v>
          </cell>
          <cell r="C356">
            <v>10</v>
          </cell>
          <cell r="D356">
            <v>28.51</v>
          </cell>
        </row>
        <row r="357">
          <cell r="A357" t="str">
            <v>2008M08</v>
          </cell>
          <cell r="B357">
            <v>113.84904761904799</v>
          </cell>
          <cell r="C357">
            <v>10</v>
          </cell>
          <cell r="D357">
            <v>28.51</v>
          </cell>
        </row>
        <row r="358">
          <cell r="A358" t="str">
            <v>2008M09</v>
          </cell>
          <cell r="B358">
            <v>99.064090909090893</v>
          </cell>
          <cell r="C358">
            <v>10</v>
          </cell>
          <cell r="D358">
            <v>28.51</v>
          </cell>
        </row>
        <row r="359">
          <cell r="A359" t="str">
            <v>2008M10</v>
          </cell>
          <cell r="B359">
            <v>72.842608695652203</v>
          </cell>
          <cell r="C359">
            <v>10</v>
          </cell>
          <cell r="D359">
            <v>28.51</v>
          </cell>
        </row>
        <row r="360">
          <cell r="A360" t="str">
            <v>2008M11</v>
          </cell>
          <cell r="B360">
            <v>53.241</v>
          </cell>
          <cell r="C360">
            <v>10</v>
          </cell>
          <cell r="D360">
            <v>28.51</v>
          </cell>
        </row>
        <row r="361">
          <cell r="A361" t="str">
            <v>2008M12</v>
          </cell>
          <cell r="B361">
            <v>41.580909090909103</v>
          </cell>
          <cell r="C361">
            <v>10</v>
          </cell>
          <cell r="D361">
            <v>28.51</v>
          </cell>
        </row>
        <row r="362">
          <cell r="A362" t="str">
            <v>2009M01</v>
          </cell>
          <cell r="B362">
            <v>44.86</v>
          </cell>
          <cell r="C362">
            <v>10</v>
          </cell>
          <cell r="D362">
            <v>28.51</v>
          </cell>
        </row>
        <row r="363">
          <cell r="A363" t="str">
            <v>2009M02</v>
          </cell>
          <cell r="B363">
            <v>43.2425</v>
          </cell>
          <cell r="C363">
            <v>10</v>
          </cell>
          <cell r="D363">
            <v>28.51</v>
          </cell>
        </row>
        <row r="364">
          <cell r="A364" t="str">
            <v>2009M03</v>
          </cell>
          <cell r="B364">
            <v>46.839090909090899</v>
          </cell>
          <cell r="C364">
            <v>10</v>
          </cell>
          <cell r="D364">
            <v>28.51</v>
          </cell>
        </row>
        <row r="365">
          <cell r="A365" t="str">
            <v>2009M04</v>
          </cell>
          <cell r="B365">
            <v>50.845238095238102</v>
          </cell>
          <cell r="C365">
            <v>10</v>
          </cell>
          <cell r="D365">
            <v>28.51</v>
          </cell>
        </row>
        <row r="366">
          <cell r="A366" t="str">
            <v>2009M05</v>
          </cell>
          <cell r="B366">
            <v>57.940952380952403</v>
          </cell>
          <cell r="C366">
            <v>10</v>
          </cell>
          <cell r="D366">
            <v>28.51</v>
          </cell>
        </row>
        <row r="367">
          <cell r="A367" t="str">
            <v>2009M06</v>
          </cell>
          <cell r="B367">
            <v>68.616818181818203</v>
          </cell>
          <cell r="C367">
            <v>10</v>
          </cell>
          <cell r="D367">
            <v>28.51</v>
          </cell>
        </row>
        <row r="368">
          <cell r="A368" t="str">
            <v>2009M07</v>
          </cell>
          <cell r="B368">
            <v>64.91</v>
          </cell>
          <cell r="C368">
            <v>10</v>
          </cell>
          <cell r="D368">
            <v>28.51</v>
          </cell>
        </row>
        <row r="369">
          <cell r="A369" t="str">
            <v>2009M08</v>
          </cell>
          <cell r="B369">
            <v>72.504761904761907</v>
          </cell>
          <cell r="C369">
            <v>10</v>
          </cell>
          <cell r="D369">
            <v>28.51</v>
          </cell>
        </row>
        <row r="370">
          <cell r="A370" t="str">
            <v>2009M09</v>
          </cell>
          <cell r="B370">
            <v>67.686818181818197</v>
          </cell>
          <cell r="C370">
            <v>10</v>
          </cell>
          <cell r="D370">
            <v>28.51</v>
          </cell>
        </row>
        <row r="371">
          <cell r="A371" t="str">
            <v>2009M10</v>
          </cell>
          <cell r="B371">
            <v>73.194090909090903</v>
          </cell>
          <cell r="C371">
            <v>10</v>
          </cell>
          <cell r="D371">
            <v>28.51</v>
          </cell>
        </row>
        <row r="372">
          <cell r="A372" t="str">
            <v>2009M11</v>
          </cell>
          <cell r="B372">
            <v>77.036666666666704</v>
          </cell>
          <cell r="C372">
            <v>10</v>
          </cell>
          <cell r="D372">
            <v>28.51</v>
          </cell>
        </row>
        <row r="373">
          <cell r="A373" t="str">
            <v>2009M12</v>
          </cell>
          <cell r="B373">
            <v>74.669545454545499</v>
          </cell>
          <cell r="C373">
            <v>10</v>
          </cell>
          <cell r="D373">
            <v>28.51</v>
          </cell>
        </row>
        <row r="374">
          <cell r="A374" t="str">
            <v>2010M01</v>
          </cell>
          <cell r="B374">
            <v>76.373000000000005</v>
          </cell>
          <cell r="C374">
            <v>10</v>
          </cell>
          <cell r="D374">
            <v>28.51</v>
          </cell>
        </row>
        <row r="375">
          <cell r="A375" t="str">
            <v>2010M02</v>
          </cell>
          <cell r="B375">
            <v>74.311999999999998</v>
          </cell>
          <cell r="C375">
            <v>10</v>
          </cell>
          <cell r="D375">
            <v>28.51</v>
          </cell>
        </row>
        <row r="376">
          <cell r="A376" t="str">
            <v>2010M03</v>
          </cell>
          <cell r="B376">
            <v>79.274782608695602</v>
          </cell>
          <cell r="C376">
            <v>10</v>
          </cell>
          <cell r="D376">
            <v>28.51</v>
          </cell>
        </row>
        <row r="377">
          <cell r="A377" t="str">
            <v>2010M04</v>
          </cell>
          <cell r="B377">
            <v>84.978571428571399</v>
          </cell>
          <cell r="C377">
            <v>10</v>
          </cell>
          <cell r="D377">
            <v>28.51</v>
          </cell>
        </row>
        <row r="378">
          <cell r="A378" t="str">
            <v>2010M05</v>
          </cell>
          <cell r="B378">
            <v>76.250952380952398</v>
          </cell>
          <cell r="C378">
            <v>10</v>
          </cell>
          <cell r="D378">
            <v>28.51</v>
          </cell>
        </row>
        <row r="379">
          <cell r="A379" t="str">
            <v>2010M06</v>
          </cell>
          <cell r="B379">
            <v>74.838181818181795</v>
          </cell>
          <cell r="C379">
            <v>10</v>
          </cell>
          <cell r="D379">
            <v>28.51</v>
          </cell>
        </row>
        <row r="380">
          <cell r="A380" t="str">
            <v>2010M07</v>
          </cell>
          <cell r="B380">
            <v>74.735454545454502</v>
          </cell>
          <cell r="C380">
            <v>10</v>
          </cell>
          <cell r="D380">
            <v>28.51</v>
          </cell>
        </row>
        <row r="381">
          <cell r="A381" t="str">
            <v>2010M08</v>
          </cell>
          <cell r="B381">
            <v>76.693181818181799</v>
          </cell>
          <cell r="C381">
            <v>10</v>
          </cell>
          <cell r="D381">
            <v>28.51</v>
          </cell>
        </row>
        <row r="382">
          <cell r="A382" t="str">
            <v>2010M09</v>
          </cell>
          <cell r="B382">
            <v>77.786818181818205</v>
          </cell>
          <cell r="C382">
            <v>10</v>
          </cell>
          <cell r="D382">
            <v>28.51</v>
          </cell>
        </row>
        <row r="383">
          <cell r="A383" t="str">
            <v>2010M10</v>
          </cell>
          <cell r="B383">
            <v>82.918095238095205</v>
          </cell>
          <cell r="C383">
            <v>10</v>
          </cell>
          <cell r="D383">
            <v>28.51</v>
          </cell>
        </row>
        <row r="384">
          <cell r="A384" t="str">
            <v>2010M11</v>
          </cell>
          <cell r="B384">
            <v>85.67</v>
          </cell>
          <cell r="C384">
            <v>10</v>
          </cell>
          <cell r="D384">
            <v>28.51</v>
          </cell>
        </row>
        <row r="385">
          <cell r="A385" t="str">
            <v>2010M12</v>
          </cell>
          <cell r="B385">
            <v>91.796521739130398</v>
          </cell>
          <cell r="C385">
            <v>10</v>
          </cell>
          <cell r="D385">
            <v>28.51</v>
          </cell>
        </row>
        <row r="386">
          <cell r="A386" t="str">
            <v>2011M01</v>
          </cell>
          <cell r="B386">
            <v>96.294285714285706</v>
          </cell>
          <cell r="C386">
            <v>10</v>
          </cell>
          <cell r="D386">
            <v>28.51</v>
          </cell>
        </row>
        <row r="387">
          <cell r="A387" t="str">
            <v>2011M02</v>
          </cell>
          <cell r="B387">
            <v>103.9555</v>
          </cell>
          <cell r="C387">
            <v>10</v>
          </cell>
          <cell r="D387">
            <v>28.51</v>
          </cell>
        </row>
        <row r="388">
          <cell r="A388" t="str">
            <v>2011M03</v>
          </cell>
          <cell r="B388">
            <v>114.44130434782601</v>
          </cell>
          <cell r="C388">
            <v>10</v>
          </cell>
          <cell r="D388">
            <v>28.51</v>
          </cell>
        </row>
        <row r="389">
          <cell r="A389" t="str">
            <v>2011M04</v>
          </cell>
          <cell r="B389">
            <v>123.07</v>
          </cell>
          <cell r="C389">
            <v>10</v>
          </cell>
          <cell r="D389">
            <v>28.51</v>
          </cell>
        </row>
        <row r="390">
          <cell r="A390" t="str">
            <v>2011M05</v>
          </cell>
          <cell r="B390">
            <v>114.458181818182</v>
          </cell>
          <cell r="C390">
            <v>10</v>
          </cell>
          <cell r="D390">
            <v>28.51</v>
          </cell>
        </row>
        <row r="391">
          <cell r="A391" t="str">
            <v>2011M06</v>
          </cell>
          <cell r="B391">
            <v>113.757727272727</v>
          </cell>
          <cell r="C391">
            <v>10</v>
          </cell>
          <cell r="D391">
            <v>28.51</v>
          </cell>
        </row>
        <row r="392">
          <cell r="A392" t="str">
            <v>2011M07</v>
          </cell>
          <cell r="B392">
            <v>116.46</v>
          </cell>
          <cell r="C392">
            <v>10</v>
          </cell>
          <cell r="D392">
            <v>28.51</v>
          </cell>
        </row>
        <row r="393">
          <cell r="A393" t="str">
            <v>2011M08</v>
          </cell>
          <cell r="B393">
            <v>110.08130434782601</v>
          </cell>
          <cell r="C393">
            <v>10</v>
          </cell>
          <cell r="D393">
            <v>28.51</v>
          </cell>
        </row>
        <row r="394">
          <cell r="A394" t="str">
            <v>2011M09</v>
          </cell>
          <cell r="B394">
            <v>110.879090909091</v>
          </cell>
          <cell r="C394">
            <v>10</v>
          </cell>
          <cell r="D394">
            <v>28.51</v>
          </cell>
        </row>
        <row r="395">
          <cell r="A395" t="str">
            <v>2011M10</v>
          </cell>
          <cell r="B395">
            <v>109.468571428571</v>
          </cell>
          <cell r="C395">
            <v>10</v>
          </cell>
          <cell r="D395">
            <v>28.51</v>
          </cell>
        </row>
        <row r="396">
          <cell r="A396" t="str">
            <v>2011M11</v>
          </cell>
          <cell r="B396">
            <v>110.504090909091</v>
          </cell>
          <cell r="C396">
            <v>10</v>
          </cell>
          <cell r="D396">
            <v>28.51</v>
          </cell>
        </row>
        <row r="397">
          <cell r="A397" t="str">
            <v>2011M12</v>
          </cell>
          <cell r="B397">
            <v>107.909047619048</v>
          </cell>
          <cell r="C397">
            <v>10</v>
          </cell>
          <cell r="D397">
            <v>28.51</v>
          </cell>
        </row>
        <row r="398">
          <cell r="A398" t="str">
            <v>2012M01</v>
          </cell>
          <cell r="B398">
            <v>111.15619047619001</v>
          </cell>
          <cell r="C398">
            <v>10</v>
          </cell>
          <cell r="D398">
            <v>28.51</v>
          </cell>
        </row>
        <row r="399">
          <cell r="A399" t="str">
            <v>2012M02</v>
          </cell>
          <cell r="B399">
            <v>119.70238095238101</v>
          </cell>
          <cell r="C399">
            <v>10</v>
          </cell>
          <cell r="D399">
            <v>28.51</v>
          </cell>
        </row>
        <row r="400">
          <cell r="A400" t="str">
            <v>2012M03</v>
          </cell>
          <cell r="B400">
            <v>124.928636363636</v>
          </cell>
          <cell r="C400">
            <v>10</v>
          </cell>
          <cell r="D400">
            <v>28.51</v>
          </cell>
        </row>
        <row r="401">
          <cell r="A401" t="str">
            <v>2012M04</v>
          </cell>
          <cell r="B401">
            <v>120.4635</v>
          </cell>
          <cell r="C401">
            <v>10</v>
          </cell>
          <cell r="D401">
            <v>28.51</v>
          </cell>
        </row>
        <row r="402">
          <cell r="A402" t="str">
            <v>2012M05</v>
          </cell>
          <cell r="B402">
            <v>110.52173913043499</v>
          </cell>
          <cell r="C402">
            <v>10</v>
          </cell>
          <cell r="D402">
            <v>28.51</v>
          </cell>
        </row>
        <row r="403">
          <cell r="A403" t="str">
            <v>2012M06</v>
          </cell>
          <cell r="B403">
            <v>95.589047619047605</v>
          </cell>
          <cell r="C403">
            <v>10</v>
          </cell>
          <cell r="D403">
            <v>28.51</v>
          </cell>
        </row>
        <row r="404">
          <cell r="A404" t="str">
            <v>2012M07</v>
          </cell>
          <cell r="B404">
            <v>103.14090909090901</v>
          </cell>
          <cell r="C404">
            <v>10</v>
          </cell>
          <cell r="D404">
            <v>28.51</v>
          </cell>
        </row>
        <row r="405">
          <cell r="A405" t="str">
            <v>2012M08</v>
          </cell>
          <cell r="B405">
            <v>113.34</v>
          </cell>
          <cell r="C405">
            <v>10</v>
          </cell>
          <cell r="D405">
            <v>28.51</v>
          </cell>
        </row>
        <row r="406">
          <cell r="A406" t="str">
            <v>2012M09</v>
          </cell>
          <cell r="B406">
            <v>113.38249999999999</v>
          </cell>
          <cell r="C406">
            <v>10</v>
          </cell>
          <cell r="D406">
            <v>28.51</v>
          </cell>
        </row>
        <row r="407">
          <cell r="A407" t="str">
            <v>2012M10</v>
          </cell>
          <cell r="B407">
            <v>111.97347826087</v>
          </cell>
          <cell r="C407">
            <v>10</v>
          </cell>
          <cell r="D407">
            <v>28.51</v>
          </cell>
        </row>
        <row r="408">
          <cell r="A408" t="str">
            <v>2012M11</v>
          </cell>
          <cell r="B408">
            <v>109.711818181818</v>
          </cell>
          <cell r="C408">
            <v>10</v>
          </cell>
          <cell r="D408">
            <v>28.51</v>
          </cell>
        </row>
        <row r="409">
          <cell r="A409" t="str">
            <v>2012M12</v>
          </cell>
          <cell r="B409">
            <v>109.6765</v>
          </cell>
          <cell r="C409">
            <v>10</v>
          </cell>
          <cell r="D409">
            <v>28.51</v>
          </cell>
        </row>
        <row r="410">
          <cell r="A410" t="str">
            <v>2013M01</v>
          </cell>
          <cell r="B410">
            <v>112.973636363636</v>
          </cell>
          <cell r="C410">
            <v>10</v>
          </cell>
          <cell r="D410">
            <v>28.51</v>
          </cell>
        </row>
        <row r="411">
          <cell r="A411" t="str">
            <v>2013M02</v>
          </cell>
          <cell r="B411">
            <v>116.51949999999999</v>
          </cell>
          <cell r="C411">
            <v>10</v>
          </cell>
          <cell r="D411">
            <v>28.51</v>
          </cell>
        </row>
        <row r="412">
          <cell r="A412" t="str">
            <v>2013M03</v>
          </cell>
          <cell r="B412">
            <v>109.24</v>
          </cell>
          <cell r="C412">
            <v>10</v>
          </cell>
          <cell r="D412">
            <v>28.51</v>
          </cell>
        </row>
        <row r="413">
          <cell r="A413" t="str">
            <v>2013M04</v>
          </cell>
          <cell r="B413">
            <v>102.875454545455</v>
          </cell>
          <cell r="C413">
            <v>10</v>
          </cell>
          <cell r="D413">
            <v>28.51</v>
          </cell>
        </row>
        <row r="414">
          <cell r="A414" t="str">
            <v>2013M05</v>
          </cell>
          <cell r="B414">
            <v>103.026956521739</v>
          </cell>
          <cell r="C414">
            <v>10</v>
          </cell>
          <cell r="D414">
            <v>28.51</v>
          </cell>
        </row>
        <row r="415">
          <cell r="A415" t="str">
            <v>2013M06</v>
          </cell>
          <cell r="B415">
            <v>103.11</v>
          </cell>
          <cell r="C415">
            <v>10</v>
          </cell>
          <cell r="D415">
            <v>28.51</v>
          </cell>
        </row>
        <row r="416">
          <cell r="A416" t="str">
            <v>2013M07</v>
          </cell>
          <cell r="B416">
            <v>107.71608695652201</v>
          </cell>
          <cell r="C416">
            <v>10</v>
          </cell>
          <cell r="D416">
            <v>28.51</v>
          </cell>
        </row>
        <row r="417">
          <cell r="A417" t="str">
            <v>2013M08</v>
          </cell>
          <cell r="B417">
            <v>110.964545454545</v>
          </cell>
          <cell r="C417">
            <v>10</v>
          </cell>
          <cell r="D417">
            <v>28.51</v>
          </cell>
        </row>
        <row r="418">
          <cell r="A418" t="str">
            <v>2013M09</v>
          </cell>
          <cell r="B418">
            <v>111.62142857142901</v>
          </cell>
          <cell r="C418">
            <v>10</v>
          </cell>
          <cell r="D418">
            <v>28.51</v>
          </cell>
        </row>
        <row r="419">
          <cell r="A419" t="str">
            <v>2013M10</v>
          </cell>
          <cell r="B419">
            <v>109.478695652174</v>
          </cell>
          <cell r="C419">
            <v>10</v>
          </cell>
          <cell r="D419">
            <v>28.51</v>
          </cell>
        </row>
        <row r="420">
          <cell r="A420" t="str">
            <v>2013M11</v>
          </cell>
          <cell r="B420">
            <v>108.07619047619001</v>
          </cell>
          <cell r="C420">
            <v>10</v>
          </cell>
          <cell r="D420">
            <v>28.51</v>
          </cell>
        </row>
        <row r="421">
          <cell r="A421" t="str">
            <v>2013M12</v>
          </cell>
          <cell r="B421">
            <v>110.67400000000001</v>
          </cell>
          <cell r="C421">
            <v>10</v>
          </cell>
          <cell r="D421">
            <v>28.51</v>
          </cell>
        </row>
        <row r="422">
          <cell r="A422" t="str">
            <v>2014M01</v>
          </cell>
          <cell r="B422">
            <v>107.42</v>
          </cell>
          <cell r="C422">
            <v>10</v>
          </cell>
          <cell r="D422">
            <v>28.51</v>
          </cell>
        </row>
        <row r="423">
          <cell r="A423" t="str">
            <v>2014M02</v>
          </cell>
          <cell r="B423">
            <v>108.81</v>
          </cell>
          <cell r="C423">
            <v>10</v>
          </cell>
          <cell r="D423">
            <v>28.51</v>
          </cell>
        </row>
        <row r="424">
          <cell r="A424" t="str">
            <v>2014M03</v>
          </cell>
          <cell r="B424">
            <v>107.4</v>
          </cell>
          <cell r="C424">
            <v>10</v>
          </cell>
          <cell r="D424">
            <v>28.51</v>
          </cell>
        </row>
        <row r="425">
          <cell r="A425" t="str">
            <v>2014M04</v>
          </cell>
          <cell r="B425">
            <v>107.79</v>
          </cell>
          <cell r="C425">
            <v>10</v>
          </cell>
          <cell r="D425">
            <v>28.51</v>
          </cell>
        </row>
        <row r="426">
          <cell r="A426" t="str">
            <v>2014M05</v>
          </cell>
          <cell r="B426">
            <v>109.68</v>
          </cell>
          <cell r="C426">
            <v>10</v>
          </cell>
          <cell r="D426">
            <v>28.51</v>
          </cell>
        </row>
        <row r="427">
          <cell r="A427" t="str">
            <v>2014M06</v>
          </cell>
          <cell r="B427">
            <v>111.87</v>
          </cell>
          <cell r="C427">
            <v>10</v>
          </cell>
          <cell r="D427">
            <v>28.51</v>
          </cell>
        </row>
        <row r="428">
          <cell r="A428" t="str">
            <v>2014M07</v>
          </cell>
          <cell r="B428">
            <v>106.98</v>
          </cell>
          <cell r="C428">
            <v>10</v>
          </cell>
          <cell r="D428">
            <v>28.51</v>
          </cell>
        </row>
        <row r="429">
          <cell r="A429" t="str">
            <v>2014M08</v>
          </cell>
          <cell r="B429">
            <v>101.92</v>
          </cell>
          <cell r="C429">
            <v>10</v>
          </cell>
          <cell r="D429">
            <v>28.51</v>
          </cell>
        </row>
        <row r="430">
          <cell r="A430" t="str">
            <v>2014M09</v>
          </cell>
          <cell r="B430">
            <v>97.34</v>
          </cell>
          <cell r="C430">
            <v>10</v>
          </cell>
          <cell r="D430">
            <v>28.51</v>
          </cell>
        </row>
        <row r="431">
          <cell r="A431" t="str">
            <v>2014M10</v>
          </cell>
          <cell r="B431">
            <v>87.27</v>
          </cell>
          <cell r="C431">
            <v>10</v>
          </cell>
          <cell r="D431">
            <v>28.51</v>
          </cell>
        </row>
        <row r="432">
          <cell r="A432" t="str">
            <v>2014M11</v>
          </cell>
          <cell r="B432">
            <v>78.44</v>
          </cell>
          <cell r="C432">
            <v>10</v>
          </cell>
          <cell r="D432">
            <v>28.51</v>
          </cell>
        </row>
        <row r="433">
          <cell r="A433" t="str">
            <v>2014M12</v>
          </cell>
          <cell r="B433">
            <v>62.33</v>
          </cell>
          <cell r="C433">
            <v>10</v>
          </cell>
          <cell r="D433">
            <v>28.51</v>
          </cell>
        </row>
        <row r="434">
          <cell r="A434" t="str">
            <v>2015M01</v>
          </cell>
          <cell r="B434">
            <v>48.07</v>
          </cell>
          <cell r="C434">
            <v>10</v>
          </cell>
          <cell r="D434">
            <v>28.51</v>
          </cell>
        </row>
        <row r="435">
          <cell r="A435" t="str">
            <v>2015M02</v>
          </cell>
          <cell r="B435">
            <v>57.93</v>
          </cell>
          <cell r="C435">
            <v>10</v>
          </cell>
          <cell r="D435">
            <v>28.51</v>
          </cell>
        </row>
        <row r="436">
          <cell r="A436" t="str">
            <v>2015M03</v>
          </cell>
          <cell r="B436">
            <v>55.79</v>
          </cell>
          <cell r="C436">
            <v>10</v>
          </cell>
          <cell r="D436">
            <v>28.51</v>
          </cell>
        </row>
        <row r="437">
          <cell r="A437" t="str">
            <v>2015M04</v>
          </cell>
          <cell r="B437">
            <v>59.39</v>
          </cell>
          <cell r="C437">
            <v>10</v>
          </cell>
          <cell r="D437">
            <v>28.51</v>
          </cell>
        </row>
        <row r="438">
          <cell r="A438" t="str">
            <v>2015M05</v>
          </cell>
          <cell r="B438">
            <v>64.56</v>
          </cell>
          <cell r="C438">
            <v>10</v>
          </cell>
          <cell r="D438">
            <v>28.51</v>
          </cell>
        </row>
        <row r="439">
          <cell r="A439" t="str">
            <v>2015M06</v>
          </cell>
          <cell r="B439">
            <v>62.34</v>
          </cell>
          <cell r="C439">
            <v>10</v>
          </cell>
          <cell r="D439">
            <v>28.51</v>
          </cell>
        </row>
        <row r="440">
          <cell r="A440" t="str">
            <v>2015M07</v>
          </cell>
          <cell r="B440">
            <v>55.87</v>
          </cell>
          <cell r="C440">
            <v>10</v>
          </cell>
          <cell r="D440">
            <v>28.51</v>
          </cell>
        </row>
        <row r="441">
          <cell r="A441" t="str">
            <v>2015M08</v>
          </cell>
          <cell r="B441">
            <v>46.99</v>
          </cell>
          <cell r="C441">
            <v>10</v>
          </cell>
          <cell r="D441">
            <v>28.51</v>
          </cell>
        </row>
        <row r="442">
          <cell r="A442" t="str">
            <v>2015M09</v>
          </cell>
          <cell r="B442">
            <v>47.24</v>
          </cell>
          <cell r="C442">
            <v>10</v>
          </cell>
          <cell r="D442">
            <v>28.51</v>
          </cell>
        </row>
        <row r="443">
          <cell r="A443" t="str">
            <v>2015M10</v>
          </cell>
          <cell r="B443">
            <v>48.12</v>
          </cell>
          <cell r="C443">
            <v>10</v>
          </cell>
          <cell r="D443">
            <v>28.51</v>
          </cell>
        </row>
        <row r="444">
          <cell r="A444" t="str">
            <v>2015M11</v>
          </cell>
          <cell r="B444">
            <v>44.42</v>
          </cell>
          <cell r="C444">
            <v>10</v>
          </cell>
          <cell r="D444">
            <v>28.51</v>
          </cell>
        </row>
        <row r="445">
          <cell r="A445" t="str">
            <v>2015M12</v>
          </cell>
          <cell r="B445">
            <v>37.72</v>
          </cell>
          <cell r="C445">
            <v>10</v>
          </cell>
          <cell r="D445">
            <v>28.51</v>
          </cell>
        </row>
        <row r="446">
          <cell r="A446" t="str">
            <v>2016M01</v>
          </cell>
          <cell r="B446">
            <v>30.8</v>
          </cell>
          <cell r="C446">
            <v>10</v>
          </cell>
          <cell r="D446">
            <v>28.51</v>
          </cell>
        </row>
        <row r="447">
          <cell r="A447" t="str">
            <v>2016M02</v>
          </cell>
          <cell r="B447">
            <v>33.200000000000003</v>
          </cell>
          <cell r="C447">
            <v>10</v>
          </cell>
          <cell r="D447">
            <v>28.51</v>
          </cell>
        </row>
        <row r="448">
          <cell r="A448" t="str">
            <v>2016M03</v>
          </cell>
          <cell r="B448">
            <v>39.07</v>
          </cell>
          <cell r="C448">
            <v>10</v>
          </cell>
          <cell r="D448">
            <v>28.51</v>
          </cell>
        </row>
        <row r="449">
          <cell r="A449" t="str">
            <v>2016M04</v>
          </cell>
          <cell r="B449">
            <v>42.25</v>
          </cell>
          <cell r="C449">
            <v>10</v>
          </cell>
          <cell r="D449">
            <v>28.51</v>
          </cell>
        </row>
        <row r="450">
          <cell r="A450" t="str">
            <v>2016M05</v>
          </cell>
          <cell r="B450">
            <v>47.13</v>
          </cell>
          <cell r="C450">
            <v>10</v>
          </cell>
          <cell r="D450">
            <v>28.51</v>
          </cell>
        </row>
        <row r="451">
          <cell r="A451" t="str">
            <v>2016M06</v>
          </cell>
          <cell r="B451">
            <v>48.48</v>
          </cell>
          <cell r="C451">
            <v>10</v>
          </cell>
          <cell r="D451">
            <v>28.51</v>
          </cell>
        </row>
        <row r="452">
          <cell r="A452" t="str">
            <v>2016M07</v>
          </cell>
          <cell r="B452">
            <v>45.07</v>
          </cell>
          <cell r="C452">
            <v>10</v>
          </cell>
          <cell r="D452">
            <v>28.51</v>
          </cell>
        </row>
        <row r="453">
          <cell r="A453" t="str">
            <v>2016M08</v>
          </cell>
          <cell r="B453">
            <v>46.14</v>
          </cell>
          <cell r="C453">
            <v>10</v>
          </cell>
          <cell r="D453">
            <v>28.51</v>
          </cell>
        </row>
        <row r="454">
          <cell r="A454" t="str">
            <v>2016M09</v>
          </cell>
          <cell r="B454">
            <v>46.19</v>
          </cell>
          <cell r="C454">
            <v>10</v>
          </cell>
          <cell r="D454">
            <v>28.51</v>
          </cell>
        </row>
        <row r="455">
          <cell r="A455" t="str">
            <v>2016M10</v>
          </cell>
          <cell r="B455">
            <v>49.73</v>
          </cell>
          <cell r="C455">
            <v>10</v>
          </cell>
          <cell r="D455">
            <v>28.51</v>
          </cell>
        </row>
        <row r="456">
          <cell r="A456" t="str">
            <v>2016M11</v>
          </cell>
          <cell r="B456">
            <v>46.44</v>
          </cell>
          <cell r="C456">
            <v>10</v>
          </cell>
          <cell r="D456">
            <v>28.51</v>
          </cell>
        </row>
        <row r="457">
          <cell r="A457" t="str">
            <v>2016M12</v>
          </cell>
          <cell r="B457">
            <v>54.07</v>
          </cell>
          <cell r="C457">
            <v>10</v>
          </cell>
          <cell r="D457">
            <v>28.51</v>
          </cell>
        </row>
        <row r="458">
          <cell r="A458" t="str">
            <v>2017M01</v>
          </cell>
          <cell r="B458">
            <v>54.89</v>
          </cell>
          <cell r="C458">
            <v>10</v>
          </cell>
          <cell r="D458">
            <v>28.51</v>
          </cell>
        </row>
        <row r="459">
          <cell r="A459" t="str">
            <v>2017M02</v>
          </cell>
          <cell r="B459">
            <v>55.49</v>
          </cell>
          <cell r="C459">
            <v>10</v>
          </cell>
          <cell r="D459">
            <v>28.51</v>
          </cell>
        </row>
        <row r="460">
          <cell r="A460" t="str">
            <v>2017M03</v>
          </cell>
          <cell r="B460">
            <v>51.97</v>
          </cell>
          <cell r="C460">
            <v>10</v>
          </cell>
          <cell r="D460">
            <v>28.51</v>
          </cell>
        </row>
        <row r="461">
          <cell r="A461" t="str">
            <v>2017M04</v>
          </cell>
          <cell r="B461">
            <v>52.98</v>
          </cell>
          <cell r="C461">
            <v>10</v>
          </cell>
          <cell r="D461">
            <v>28.51</v>
          </cell>
        </row>
        <row r="462">
          <cell r="A462" t="str">
            <v>2017M05</v>
          </cell>
          <cell r="B462">
            <v>50.87</v>
          </cell>
          <cell r="C462">
            <v>10</v>
          </cell>
          <cell r="D462">
            <v>28.51</v>
          </cell>
        </row>
        <row r="463">
          <cell r="A463" t="str">
            <v>2017M06</v>
          </cell>
          <cell r="B463">
            <v>46.89</v>
          </cell>
          <cell r="C463">
            <v>10</v>
          </cell>
          <cell r="D463">
            <v>28.51</v>
          </cell>
        </row>
        <row r="464">
          <cell r="A464" t="str">
            <v>2017M07</v>
          </cell>
          <cell r="B464">
            <v>48.69</v>
          </cell>
          <cell r="C464">
            <v>10</v>
          </cell>
          <cell r="D464">
            <v>28.51</v>
          </cell>
        </row>
        <row r="465">
          <cell r="A465" t="str">
            <v>2017M08</v>
          </cell>
          <cell r="B465">
            <v>51.37</v>
          </cell>
          <cell r="C465">
            <v>10</v>
          </cell>
          <cell r="D465">
            <v>28.51</v>
          </cell>
        </row>
        <row r="466">
          <cell r="A466" t="str">
            <v>2017M09</v>
          </cell>
          <cell r="B466">
            <v>55.16</v>
          </cell>
          <cell r="C466">
            <v>10</v>
          </cell>
          <cell r="D466">
            <v>28.51</v>
          </cell>
        </row>
        <row r="467">
          <cell r="A467" t="str">
            <v>2017M10</v>
          </cell>
          <cell r="B467">
            <v>57.62</v>
          </cell>
          <cell r="C467">
            <v>10</v>
          </cell>
          <cell r="D467">
            <v>28.51</v>
          </cell>
        </row>
        <row r="468">
          <cell r="A468" t="str">
            <v>2017M11</v>
          </cell>
          <cell r="B468">
            <v>62.57</v>
          </cell>
          <cell r="C468">
            <v>10</v>
          </cell>
          <cell r="D468">
            <v>28.51</v>
          </cell>
        </row>
        <row r="469">
          <cell r="A469" t="str">
            <v>2017M12</v>
          </cell>
          <cell r="B469">
            <v>64.209999999999994</v>
          </cell>
          <cell r="C469">
            <v>10</v>
          </cell>
          <cell r="D469">
            <v>28.51</v>
          </cell>
        </row>
        <row r="470">
          <cell r="A470" t="str">
            <v>2018M01</v>
          </cell>
          <cell r="B470">
            <v>68.989999999999995</v>
          </cell>
          <cell r="C470">
            <v>10</v>
          </cell>
          <cell r="D470">
            <v>28.51</v>
          </cell>
        </row>
        <row r="471">
          <cell r="A471" t="str">
            <v>2018M02</v>
          </cell>
          <cell r="B471">
            <v>65.42</v>
          </cell>
          <cell r="C471">
            <v>10</v>
          </cell>
          <cell r="D471">
            <v>28.51</v>
          </cell>
        </row>
        <row r="472">
          <cell r="A472" t="str">
            <v>2018M03</v>
          </cell>
          <cell r="B472">
            <v>66.45</v>
          </cell>
          <cell r="C472">
            <v>10</v>
          </cell>
          <cell r="D472">
            <v>28.51</v>
          </cell>
        </row>
        <row r="473">
          <cell r="A473" t="str">
            <v>2018M04</v>
          </cell>
          <cell r="B473">
            <v>71.63</v>
          </cell>
          <cell r="C473">
            <v>10</v>
          </cell>
          <cell r="D473">
            <v>28.51</v>
          </cell>
        </row>
        <row r="474">
          <cell r="A474" t="str">
            <v>2018M05</v>
          </cell>
          <cell r="B474">
            <v>76.650000000000006</v>
          </cell>
          <cell r="C474">
            <v>10</v>
          </cell>
          <cell r="D474">
            <v>28.51</v>
          </cell>
        </row>
        <row r="475">
          <cell r="A475" t="str">
            <v>2018M06</v>
          </cell>
          <cell r="B475">
            <v>75.19</v>
          </cell>
          <cell r="C475">
            <v>10</v>
          </cell>
          <cell r="D475">
            <v>28.51</v>
          </cell>
        </row>
        <row r="476">
          <cell r="A476" t="str">
            <v>2018M07</v>
          </cell>
          <cell r="B476">
            <v>74.44</v>
          </cell>
          <cell r="C476">
            <v>10</v>
          </cell>
          <cell r="D476">
            <v>28.51</v>
          </cell>
        </row>
        <row r="477">
          <cell r="A477" t="str">
            <v>2018M08</v>
          </cell>
          <cell r="B477">
            <v>73.13</v>
          </cell>
          <cell r="C477">
            <v>10</v>
          </cell>
          <cell r="D477">
            <v>28.51</v>
          </cell>
        </row>
        <row r="478">
          <cell r="A478" t="str">
            <v>2018M09</v>
          </cell>
          <cell r="B478">
            <v>78.86</v>
          </cell>
          <cell r="C478">
            <v>10</v>
          </cell>
          <cell r="D478">
            <v>28.51</v>
          </cell>
        </row>
        <row r="479">
          <cell r="A479" t="str">
            <v>2018M10</v>
          </cell>
          <cell r="B479">
            <v>80.47</v>
          </cell>
          <cell r="C479">
            <v>10</v>
          </cell>
          <cell r="D479">
            <v>28.51</v>
          </cell>
        </row>
        <row r="480">
          <cell r="A480" t="str">
            <v>2018M11</v>
          </cell>
          <cell r="B480">
            <v>65.17</v>
          </cell>
          <cell r="C480">
            <v>10</v>
          </cell>
          <cell r="D480">
            <v>28.51</v>
          </cell>
        </row>
        <row r="481">
          <cell r="A481" t="str">
            <v>2018M12</v>
          </cell>
          <cell r="B481">
            <v>56.46</v>
          </cell>
          <cell r="C481">
            <v>10</v>
          </cell>
          <cell r="D481">
            <v>28.51</v>
          </cell>
        </row>
        <row r="482">
          <cell r="A482" t="str">
            <v>2019M01</v>
          </cell>
          <cell r="B482">
            <v>59.27</v>
          </cell>
          <cell r="C482">
            <v>10</v>
          </cell>
          <cell r="D482">
            <v>28.51</v>
          </cell>
        </row>
        <row r="483">
          <cell r="A483" t="str">
            <v>2019M02</v>
          </cell>
          <cell r="B483">
            <v>64.13</v>
          </cell>
          <cell r="C483">
            <v>10</v>
          </cell>
          <cell r="D483">
            <v>28.51</v>
          </cell>
        </row>
        <row r="484">
          <cell r="A484" t="str">
            <v>2019M03</v>
          </cell>
          <cell r="B484">
            <v>66.41</v>
          </cell>
          <cell r="C484">
            <v>10</v>
          </cell>
          <cell r="D484">
            <v>28.51</v>
          </cell>
        </row>
        <row r="485">
          <cell r="A485" t="str">
            <v>2019M04</v>
          </cell>
          <cell r="B485">
            <v>71.2</v>
          </cell>
          <cell r="C485">
            <v>10</v>
          </cell>
          <cell r="D485">
            <v>28.51</v>
          </cell>
        </row>
        <row r="486">
          <cell r="A486" t="str">
            <v>2019M05</v>
          </cell>
          <cell r="B486">
            <v>70.53</v>
          </cell>
          <cell r="C486">
            <v>10</v>
          </cell>
          <cell r="D486">
            <v>28.51</v>
          </cell>
        </row>
        <row r="487">
          <cell r="A487" t="str">
            <v>2019M06</v>
          </cell>
          <cell r="B487">
            <v>63.3</v>
          </cell>
          <cell r="C487">
            <v>10</v>
          </cell>
          <cell r="D487">
            <v>28.51</v>
          </cell>
        </row>
        <row r="488">
          <cell r="A488" t="str">
            <v>2019M07</v>
          </cell>
          <cell r="B488">
            <v>64</v>
          </cell>
          <cell r="C488">
            <v>10</v>
          </cell>
          <cell r="D488">
            <v>28.51</v>
          </cell>
        </row>
        <row r="489">
          <cell r="A489" t="str">
            <v>2019M08</v>
          </cell>
          <cell r="B489">
            <v>59.25</v>
          </cell>
          <cell r="C489">
            <v>10</v>
          </cell>
          <cell r="D489">
            <v>28.51</v>
          </cell>
        </row>
        <row r="490">
          <cell r="A490" t="str">
            <v>2019M09</v>
          </cell>
          <cell r="B490">
            <v>62.33</v>
          </cell>
          <cell r="C490">
            <v>10</v>
          </cell>
          <cell r="D490">
            <v>28.51</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0"/>
  <sheetViews>
    <sheetView showGridLines="0" tabSelected="1" workbookViewId="0">
      <selection activeCell="L7" sqref="L7"/>
    </sheetView>
  </sheetViews>
  <sheetFormatPr defaultColWidth="9.140625" defaultRowHeight="15"/>
  <cols>
    <col min="10" max="14" width="20.7109375" customWidth="1"/>
  </cols>
  <sheetData>
    <row r="1" spans="1:15" ht="45" customHeight="1">
      <c r="A1" s="524"/>
      <c r="B1" s="524"/>
      <c r="C1" s="524"/>
      <c r="D1" s="524"/>
      <c r="E1" s="524"/>
      <c r="F1" s="524"/>
      <c r="G1" s="524"/>
      <c r="H1" s="524"/>
      <c r="I1" s="525"/>
      <c r="J1" s="640" t="s">
        <v>80</v>
      </c>
      <c r="K1" s="641"/>
      <c r="L1" s="641"/>
      <c r="M1" s="641"/>
      <c r="N1" s="642"/>
      <c r="O1" s="69"/>
    </row>
    <row r="2" spans="1:15" ht="99.95" customHeight="1">
      <c r="A2" s="524"/>
      <c r="B2" s="524"/>
      <c r="C2" s="524"/>
      <c r="D2" s="524"/>
      <c r="E2" s="524"/>
      <c r="F2" s="524"/>
      <c r="G2" s="524"/>
      <c r="H2" s="524"/>
      <c r="I2" s="525"/>
      <c r="J2" s="637" t="s">
        <v>279</v>
      </c>
      <c r="K2" s="638"/>
      <c r="L2" s="638"/>
      <c r="M2" s="638"/>
      <c r="N2" s="639"/>
      <c r="O2" s="69"/>
    </row>
    <row r="3" spans="1:15" ht="99.95" customHeight="1" thickBot="1">
      <c r="A3" s="524"/>
      <c r="B3" s="524"/>
      <c r="C3" s="524"/>
      <c r="D3" s="524"/>
      <c r="E3" s="524"/>
      <c r="F3" s="524"/>
      <c r="G3" s="524"/>
      <c r="H3" s="524"/>
      <c r="I3" s="525"/>
      <c r="J3" s="643" t="s">
        <v>283</v>
      </c>
      <c r="K3" s="644"/>
      <c r="L3" s="644"/>
      <c r="M3" s="644"/>
      <c r="N3" s="645"/>
      <c r="O3" s="69"/>
    </row>
    <row r="4" spans="1:15" ht="50.1" customHeight="1">
      <c r="A4" s="646"/>
      <c r="B4" s="646"/>
      <c r="C4" s="646"/>
      <c r="D4" s="646"/>
      <c r="E4" s="646"/>
      <c r="F4" s="646"/>
      <c r="G4" s="646"/>
      <c r="H4" s="646"/>
      <c r="I4" s="646"/>
      <c r="J4" s="637" t="s">
        <v>215</v>
      </c>
      <c r="K4" s="638"/>
      <c r="L4" s="638"/>
      <c r="M4" s="638"/>
      <c r="N4" s="639"/>
      <c r="O4" s="69"/>
    </row>
    <row r="5" spans="1:15" ht="50.1" customHeight="1">
      <c r="A5" s="646"/>
      <c r="B5" s="646"/>
      <c r="C5" s="646"/>
      <c r="D5" s="646"/>
      <c r="E5" s="646"/>
      <c r="F5" s="646"/>
      <c r="G5" s="646"/>
      <c r="H5" s="646"/>
      <c r="I5" s="646"/>
      <c r="J5" s="637" t="s">
        <v>119</v>
      </c>
      <c r="K5" s="638"/>
      <c r="L5" s="638"/>
      <c r="M5" s="638"/>
      <c r="N5" s="639"/>
      <c r="O5" s="69"/>
    </row>
    <row r="6" spans="1:15" ht="50.1" customHeight="1" thickBot="1">
      <c r="A6" s="646"/>
      <c r="B6" s="646"/>
      <c r="C6" s="646"/>
      <c r="D6" s="646"/>
      <c r="E6" s="646"/>
      <c r="F6" s="646"/>
      <c r="G6" s="646"/>
      <c r="H6" s="646"/>
      <c r="I6" s="646"/>
      <c r="J6" s="647" t="s">
        <v>14</v>
      </c>
      <c r="K6" s="648"/>
      <c r="L6" s="648"/>
      <c r="M6" s="648"/>
      <c r="N6" s="649"/>
      <c r="O6" s="69"/>
    </row>
    <row r="7" spans="1:15" ht="60" customHeight="1">
      <c r="A7" s="646"/>
      <c r="B7" s="646"/>
      <c r="C7" s="646"/>
      <c r="D7" s="646"/>
      <c r="E7" s="646"/>
      <c r="F7" s="646"/>
      <c r="G7" s="646"/>
      <c r="H7" s="646"/>
      <c r="I7" s="646"/>
      <c r="N7" s="69"/>
    </row>
    <row r="8" spans="1:15" ht="60" customHeight="1">
      <c r="A8" s="646"/>
      <c r="B8" s="646"/>
      <c r="C8" s="646"/>
      <c r="D8" s="646"/>
      <c r="E8" s="646"/>
      <c r="F8" s="646"/>
      <c r="G8" s="646"/>
      <c r="H8" s="646"/>
      <c r="I8" s="646"/>
    </row>
    <row r="9" spans="1:15" ht="60" customHeight="1">
      <c r="A9" s="646"/>
      <c r="B9" s="646"/>
      <c r="C9" s="646"/>
      <c r="D9" s="646"/>
      <c r="E9" s="646"/>
      <c r="F9" s="646"/>
      <c r="G9" s="646"/>
      <c r="H9" s="646"/>
      <c r="I9" s="646"/>
    </row>
    <row r="10" spans="1:15" ht="60" customHeight="1">
      <c r="A10" s="646"/>
      <c r="B10" s="646"/>
      <c r="C10" s="646"/>
      <c r="D10" s="646"/>
      <c r="E10" s="646"/>
      <c r="F10" s="646"/>
      <c r="G10" s="646"/>
      <c r="H10" s="646"/>
      <c r="I10" s="646"/>
    </row>
  </sheetData>
  <sheetProtection algorithmName="SHA-512" hashValue="qBYSC2cqwcIeBjhi7BLKt6OETSgjQ2WNIA+wcNP7CABenPlw7H7SDgHdg6YObNIuGFbD0gCVmGX3fAyNaFlKog==" saltValue="orRo8gJXKz/82QAnOHJ0VQ==" spinCount="100000" sheet="1" objects="1" scenarios="1" selectLockedCells="1" selectUnlockedCells="1"/>
  <mergeCells count="13">
    <mergeCell ref="J2:N2"/>
    <mergeCell ref="J1:N1"/>
    <mergeCell ref="J3:N3"/>
    <mergeCell ref="A9:I9"/>
    <mergeCell ref="A10:I10"/>
    <mergeCell ref="J4:N4"/>
    <mergeCell ref="J5:N5"/>
    <mergeCell ref="J6:N6"/>
    <mergeCell ref="A5:I5"/>
    <mergeCell ref="A6:I6"/>
    <mergeCell ref="A7:I7"/>
    <mergeCell ref="A8:I8"/>
    <mergeCell ref="A4:I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AF19" sqref="AF19"/>
    </sheetView>
  </sheetViews>
  <sheetFormatPr defaultColWidth="9.140625" defaultRowHeight="15"/>
  <sheetData/>
  <sheetProtection algorithmName="SHA-512" hashValue="Lg1NTp+Ha8eZnnpsPpirIKB1hySP1bqTzL/43ILIVL3VqNMrZFWMOcihTYENjyj32Pvb9iYmewURFBZ8xLMLAw==" saltValue="N6V/gSZvKScvYb4bOZqohQ==" spinCount="100000" sheet="1" objects="1" scenarios="1" selectLockedCells="1" selectUnlockedCell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59"/>
  <sheetViews>
    <sheetView zoomScale="80" zoomScaleNormal="80" workbookViewId="0">
      <selection activeCell="H2" sqref="H2"/>
    </sheetView>
  </sheetViews>
  <sheetFormatPr defaultColWidth="9.140625" defaultRowHeight="15"/>
  <cols>
    <col min="1" max="1" width="28.7109375" style="562" customWidth="1"/>
    <col min="2" max="2" width="69.42578125" style="564" customWidth="1"/>
    <col min="3" max="3" width="29.140625" style="563" customWidth="1"/>
    <col min="4" max="4" width="30.7109375" style="619" customWidth="1"/>
    <col min="5" max="16384" width="9.140625" style="2"/>
  </cols>
  <sheetData>
    <row r="1" spans="1:7" ht="99.95" customHeight="1">
      <c r="A1" s="750" t="s">
        <v>276</v>
      </c>
      <c r="B1" s="751"/>
      <c r="C1" s="751"/>
      <c r="D1" s="752"/>
      <c r="E1" s="71"/>
      <c r="F1" s="71"/>
    </row>
    <row r="2" spans="1:7" ht="60" customHeight="1">
      <c r="A2" s="553"/>
      <c r="B2" s="596" t="s">
        <v>238</v>
      </c>
      <c r="C2" s="604" t="s">
        <v>239</v>
      </c>
      <c r="D2" s="627" t="s">
        <v>274</v>
      </c>
      <c r="E2" s="71"/>
      <c r="F2" s="71"/>
      <c r="G2" s="71"/>
    </row>
    <row r="3" spans="1:7" ht="60" customHeight="1">
      <c r="A3" s="763" t="s">
        <v>245</v>
      </c>
      <c r="B3" s="567" t="s">
        <v>275</v>
      </c>
      <c r="C3" s="605">
        <v>1500000</v>
      </c>
      <c r="D3" s="626"/>
      <c r="E3" s="71"/>
      <c r="F3" s="71"/>
      <c r="G3" s="71"/>
    </row>
    <row r="4" spans="1:7" ht="60" customHeight="1">
      <c r="A4" s="763"/>
      <c r="B4" s="597" t="s">
        <v>240</v>
      </c>
      <c r="C4" s="606">
        <f>SUM(C3:C3)</f>
        <v>1500000</v>
      </c>
      <c r="D4" s="620"/>
      <c r="E4" s="71"/>
      <c r="F4" s="71"/>
      <c r="G4" s="71"/>
    </row>
    <row r="5" spans="1:7" ht="60" customHeight="1">
      <c r="A5" s="764" t="s">
        <v>246</v>
      </c>
      <c r="B5" s="568" t="s">
        <v>247</v>
      </c>
      <c r="C5" s="607">
        <v>3500000</v>
      </c>
      <c r="D5" s="622"/>
      <c r="E5" s="71"/>
      <c r="F5" s="71"/>
      <c r="G5" s="71"/>
    </row>
    <row r="6" spans="1:7" ht="60" customHeight="1">
      <c r="A6" s="764"/>
      <c r="B6" s="598" t="s">
        <v>241</v>
      </c>
      <c r="C6" s="608">
        <f>SUM(C5:C5)</f>
        <v>3500000</v>
      </c>
      <c r="D6" s="554">
        <f>C6</f>
        <v>3500000</v>
      </c>
      <c r="E6" s="71"/>
      <c r="F6" s="71"/>
    </row>
    <row r="7" spans="1:7" ht="60" customHeight="1">
      <c r="A7" s="765" t="s">
        <v>248</v>
      </c>
      <c r="B7" s="569" t="s">
        <v>251</v>
      </c>
      <c r="C7" s="609">
        <v>12400000</v>
      </c>
      <c r="D7" s="624"/>
      <c r="E7" s="71"/>
      <c r="F7" s="71"/>
      <c r="G7" s="71"/>
    </row>
    <row r="8" spans="1:7" ht="60" customHeight="1">
      <c r="A8" s="765"/>
      <c r="B8" s="599" t="s">
        <v>242</v>
      </c>
      <c r="C8" s="610">
        <f>SUM(C7:C7)</f>
        <v>12400000</v>
      </c>
      <c r="D8" s="555"/>
      <c r="E8" s="71"/>
      <c r="F8" s="71"/>
      <c r="G8" s="71"/>
    </row>
    <row r="9" spans="1:7" ht="60" customHeight="1">
      <c r="A9" s="766" t="s">
        <v>272</v>
      </c>
      <c r="B9" s="570" t="s">
        <v>270</v>
      </c>
      <c r="C9" s="611">
        <v>2000000</v>
      </c>
      <c r="D9" s="623"/>
      <c r="E9" s="71"/>
      <c r="F9" s="71"/>
      <c r="G9" s="71"/>
    </row>
    <row r="10" spans="1:7" ht="60" customHeight="1">
      <c r="A10" s="766"/>
      <c r="B10" s="600" t="s">
        <v>243</v>
      </c>
      <c r="C10" s="612">
        <f>SUM(C9:C9)</f>
        <v>2000000</v>
      </c>
      <c r="D10" s="556">
        <f>C10</f>
        <v>2000000</v>
      </c>
      <c r="E10" s="71"/>
      <c r="F10" s="71"/>
      <c r="G10" s="71"/>
    </row>
    <row r="11" spans="1:7" ht="60" customHeight="1">
      <c r="A11" s="753" t="s">
        <v>280</v>
      </c>
      <c r="B11" s="571" t="s">
        <v>273</v>
      </c>
      <c r="C11" s="613">
        <v>5000000</v>
      </c>
      <c r="D11" s="621"/>
      <c r="E11" s="71"/>
      <c r="F11" s="71"/>
      <c r="G11" s="71"/>
    </row>
    <row r="12" spans="1:7" ht="60" customHeight="1">
      <c r="A12" s="754"/>
      <c r="B12" s="601" t="s">
        <v>249</v>
      </c>
      <c r="C12" s="613">
        <f>C11</f>
        <v>5000000</v>
      </c>
      <c r="D12" s="565">
        <f>C12</f>
        <v>5000000</v>
      </c>
      <c r="E12" s="71"/>
      <c r="F12" s="71"/>
      <c r="G12" s="71"/>
    </row>
    <row r="13" spans="1:7" ht="60" customHeight="1">
      <c r="A13" s="549"/>
      <c r="B13" s="602" t="s">
        <v>250</v>
      </c>
      <c r="C13" s="614">
        <f>SUM(C4+C6+C8+C10+C12)</f>
        <v>24400000</v>
      </c>
      <c r="D13" s="616"/>
      <c r="E13" s="71"/>
      <c r="F13" s="71"/>
      <c r="G13" s="71"/>
    </row>
    <row r="14" spans="1:7" ht="60" customHeight="1">
      <c r="A14" s="566" t="s">
        <v>244</v>
      </c>
      <c r="B14" s="603">
        <v>0.1</v>
      </c>
      <c r="C14" s="614">
        <f>SUM(C13*B14)</f>
        <v>2440000</v>
      </c>
      <c r="D14" s="616"/>
      <c r="E14" s="71"/>
      <c r="F14" s="71"/>
      <c r="G14" s="71"/>
    </row>
    <row r="15" spans="1:7" ht="60" customHeight="1">
      <c r="A15" s="761" t="s">
        <v>252</v>
      </c>
      <c r="B15" s="762"/>
      <c r="C15" s="614">
        <f>C13+C14</f>
        <v>26840000</v>
      </c>
      <c r="D15" s="616"/>
      <c r="E15" s="71"/>
      <c r="F15" s="71"/>
      <c r="G15" s="71"/>
    </row>
    <row r="16" spans="1:7" ht="60" customHeight="1">
      <c r="A16" s="757" t="s">
        <v>271</v>
      </c>
      <c r="B16" s="758"/>
      <c r="C16" s="615">
        <f>D4+D6+D10+D12</f>
        <v>10500000</v>
      </c>
      <c r="D16" s="625"/>
      <c r="E16" s="71"/>
    </row>
    <row r="17" spans="1:7" ht="60" customHeight="1" thickBot="1">
      <c r="A17" s="759" t="s">
        <v>277</v>
      </c>
      <c r="B17" s="760"/>
      <c r="C17" s="755">
        <f>C15-C16</f>
        <v>16340000</v>
      </c>
      <c r="D17" s="756"/>
      <c r="E17" s="71"/>
      <c r="F17" s="71"/>
      <c r="G17" s="71"/>
    </row>
    <row r="18" spans="1:7" ht="14.25">
      <c r="A18" s="550"/>
      <c r="B18" s="551"/>
      <c r="C18" s="557"/>
      <c r="D18" s="617"/>
      <c r="E18" s="71"/>
      <c r="F18" s="71"/>
      <c r="G18" s="71"/>
    </row>
    <row r="19" spans="1:7" ht="42">
      <c r="A19" s="550"/>
      <c r="B19" s="552"/>
      <c r="C19" s="558"/>
      <c r="D19" s="617"/>
      <c r="E19" s="574" t="s">
        <v>253</v>
      </c>
      <c r="F19" s="71"/>
      <c r="G19" s="71"/>
    </row>
    <row r="20" spans="1:7">
      <c r="A20" s="559"/>
      <c r="B20" s="560"/>
      <c r="C20" s="558"/>
      <c r="D20" s="618"/>
      <c r="E20" s="572">
        <v>0</v>
      </c>
      <c r="F20" s="71"/>
      <c r="G20" s="71"/>
    </row>
    <row r="21" spans="1:7">
      <c r="A21" s="559"/>
      <c r="B21" s="560"/>
      <c r="C21" s="558"/>
      <c r="D21" s="618"/>
      <c r="E21" s="573">
        <v>0.1</v>
      </c>
      <c r="F21" s="71"/>
      <c r="G21" s="71"/>
    </row>
    <row r="22" spans="1:7">
      <c r="A22" s="559"/>
      <c r="B22" s="560"/>
      <c r="C22" s="558"/>
      <c r="D22" s="618"/>
      <c r="E22" s="573">
        <v>0.11</v>
      </c>
      <c r="F22" s="71"/>
      <c r="G22" s="71"/>
    </row>
    <row r="23" spans="1:7">
      <c r="A23" s="559"/>
      <c r="B23" s="560"/>
      <c r="C23" s="558"/>
      <c r="D23" s="618"/>
      <c r="E23" s="573">
        <v>0.12</v>
      </c>
      <c r="F23" s="71"/>
      <c r="G23" s="71"/>
    </row>
    <row r="24" spans="1:7">
      <c r="A24" s="559"/>
      <c r="B24" s="560"/>
      <c r="C24" s="558"/>
      <c r="D24" s="618"/>
      <c r="E24" s="573">
        <v>0.13</v>
      </c>
      <c r="F24" s="71"/>
      <c r="G24" s="71"/>
    </row>
    <row r="25" spans="1:7">
      <c r="A25" s="559"/>
      <c r="B25" s="560"/>
      <c r="C25" s="558"/>
      <c r="D25" s="618"/>
      <c r="E25" s="573">
        <v>0.14000000000000001</v>
      </c>
      <c r="F25" s="71"/>
      <c r="G25" s="71"/>
    </row>
    <row r="26" spans="1:7">
      <c r="A26" s="559"/>
      <c r="B26" s="560"/>
      <c r="C26" s="558"/>
      <c r="D26" s="618"/>
      <c r="E26" s="573">
        <v>0.15</v>
      </c>
      <c r="F26" s="71"/>
      <c r="G26" s="71"/>
    </row>
    <row r="27" spans="1:7">
      <c r="A27" s="559"/>
      <c r="B27" s="560"/>
      <c r="C27" s="558"/>
      <c r="D27" s="618"/>
      <c r="E27" s="573">
        <v>0.16</v>
      </c>
      <c r="F27" s="71"/>
      <c r="G27" s="71"/>
    </row>
    <row r="28" spans="1:7">
      <c r="A28" s="559"/>
      <c r="B28" s="560"/>
      <c r="C28" s="558"/>
      <c r="D28" s="618"/>
      <c r="E28" s="573">
        <v>0.17</v>
      </c>
      <c r="F28" s="71"/>
      <c r="G28" s="71"/>
    </row>
    <row r="29" spans="1:7">
      <c r="A29" s="559"/>
      <c r="B29" s="560"/>
      <c r="C29" s="558"/>
      <c r="D29" s="618"/>
      <c r="E29" s="573">
        <v>0.18</v>
      </c>
      <c r="F29" s="71"/>
      <c r="G29" s="71"/>
    </row>
    <row r="30" spans="1:7">
      <c r="A30" s="559"/>
      <c r="B30" s="560"/>
      <c r="C30" s="558"/>
      <c r="D30" s="618"/>
      <c r="E30" s="573">
        <v>0.19</v>
      </c>
      <c r="F30" s="71"/>
      <c r="G30" s="71"/>
    </row>
    <row r="31" spans="1:7">
      <c r="A31" s="559"/>
      <c r="B31" s="560"/>
      <c r="C31" s="558"/>
      <c r="D31" s="618"/>
      <c r="E31" s="573">
        <v>0.2</v>
      </c>
      <c r="F31" s="71"/>
      <c r="G31" s="71"/>
    </row>
    <row r="32" spans="1:7">
      <c r="A32" s="559"/>
      <c r="B32" s="560"/>
      <c r="C32" s="558"/>
      <c r="D32" s="618"/>
      <c r="E32" s="573">
        <v>0.21</v>
      </c>
      <c r="F32" s="71"/>
      <c r="G32" s="71"/>
    </row>
    <row r="33" spans="1:7">
      <c r="A33" s="559"/>
      <c r="B33" s="560"/>
      <c r="C33" s="558"/>
      <c r="D33" s="618"/>
      <c r="E33" s="573">
        <v>0.22</v>
      </c>
      <c r="F33" s="71"/>
      <c r="G33" s="71"/>
    </row>
    <row r="34" spans="1:7">
      <c r="A34" s="559"/>
      <c r="B34" s="560"/>
      <c r="C34" s="558"/>
      <c r="D34" s="618"/>
      <c r="E34" s="573">
        <v>0.23</v>
      </c>
      <c r="F34" s="71"/>
      <c r="G34" s="71"/>
    </row>
    <row r="35" spans="1:7">
      <c r="A35" s="559"/>
      <c r="B35" s="560"/>
      <c r="C35" s="558"/>
      <c r="D35" s="618"/>
      <c r="E35" s="573">
        <v>0.24</v>
      </c>
      <c r="F35" s="71"/>
      <c r="G35" s="71"/>
    </row>
    <row r="36" spans="1:7">
      <c r="A36" s="559"/>
      <c r="B36" s="560"/>
      <c r="C36" s="558"/>
      <c r="D36" s="618"/>
      <c r="E36" s="573">
        <v>0.25</v>
      </c>
      <c r="F36" s="71"/>
      <c r="G36" s="71"/>
    </row>
    <row r="37" spans="1:7">
      <c r="A37" s="559"/>
      <c r="B37" s="560"/>
      <c r="C37" s="558"/>
      <c r="D37" s="618"/>
      <c r="E37" s="71"/>
      <c r="F37" s="71"/>
      <c r="G37" s="71"/>
    </row>
    <row r="38" spans="1:7">
      <c r="A38" s="559"/>
      <c r="B38" s="560"/>
      <c r="C38" s="558"/>
      <c r="D38" s="618"/>
      <c r="E38" s="71"/>
      <c r="F38" s="71"/>
      <c r="G38" s="71"/>
    </row>
    <row r="39" spans="1:7">
      <c r="A39" s="559"/>
      <c r="B39" s="560"/>
      <c r="C39" s="558"/>
      <c r="D39" s="618"/>
      <c r="E39" s="71"/>
      <c r="F39" s="71"/>
      <c r="G39" s="71"/>
    </row>
    <row r="40" spans="1:7">
      <c r="A40" s="559"/>
      <c r="B40" s="560"/>
      <c r="C40" s="558"/>
      <c r="D40" s="618"/>
      <c r="E40" s="71"/>
      <c r="F40" s="71"/>
      <c r="G40" s="71"/>
    </row>
    <row r="41" spans="1:7">
      <c r="A41" s="559"/>
      <c r="B41" s="560"/>
      <c r="C41" s="558"/>
      <c r="D41" s="618"/>
      <c r="E41" s="71"/>
      <c r="F41" s="71"/>
      <c r="G41" s="71"/>
    </row>
    <row r="42" spans="1:7">
      <c r="A42" s="559"/>
      <c r="B42" s="560"/>
      <c r="C42" s="558"/>
      <c r="D42" s="618"/>
      <c r="E42" s="71"/>
      <c r="F42" s="71"/>
      <c r="G42" s="71"/>
    </row>
    <row r="43" spans="1:7">
      <c r="A43" s="559"/>
      <c r="B43" s="560"/>
      <c r="C43" s="558"/>
      <c r="D43" s="618"/>
      <c r="E43" s="71"/>
      <c r="F43" s="71"/>
      <c r="G43" s="71"/>
    </row>
    <row r="44" spans="1:7">
      <c r="A44" s="559"/>
      <c r="B44" s="560"/>
      <c r="C44" s="558"/>
      <c r="D44" s="618"/>
      <c r="E44" s="71"/>
      <c r="F44" s="71"/>
      <c r="G44" s="71"/>
    </row>
    <row r="45" spans="1:7">
      <c r="A45" s="559"/>
      <c r="B45" s="560"/>
      <c r="C45" s="558"/>
      <c r="D45" s="618"/>
      <c r="E45" s="71"/>
      <c r="F45" s="71"/>
      <c r="G45" s="71"/>
    </row>
    <row r="46" spans="1:7">
      <c r="A46" s="559"/>
      <c r="B46" s="560"/>
      <c r="C46" s="558"/>
      <c r="D46" s="618"/>
      <c r="E46" s="71"/>
      <c r="F46" s="71"/>
      <c r="G46" s="71"/>
    </row>
    <row r="47" spans="1:7">
      <c r="A47" s="559"/>
      <c r="B47" s="560"/>
      <c r="C47" s="558"/>
      <c r="D47" s="618"/>
      <c r="E47" s="71"/>
      <c r="F47" s="71"/>
      <c r="G47" s="71"/>
    </row>
    <row r="48" spans="1:7">
      <c r="A48" s="559"/>
      <c r="B48" s="560"/>
      <c r="C48" s="558"/>
      <c r="D48" s="618"/>
      <c r="E48" s="71"/>
      <c r="F48" s="71"/>
      <c r="G48" s="71"/>
    </row>
    <row r="49" spans="1:7">
      <c r="A49" s="559"/>
      <c r="B49" s="560"/>
      <c r="C49" s="558"/>
      <c r="D49" s="618"/>
      <c r="E49" s="71"/>
      <c r="F49" s="71"/>
      <c r="G49" s="71"/>
    </row>
    <row r="50" spans="1:7">
      <c r="A50" s="559"/>
      <c r="B50" s="560"/>
      <c r="C50" s="558"/>
      <c r="D50" s="618"/>
      <c r="E50" s="71"/>
      <c r="F50" s="71"/>
      <c r="G50" s="71"/>
    </row>
    <row r="51" spans="1:7">
      <c r="A51" s="559"/>
      <c r="B51" s="560"/>
      <c r="C51" s="558"/>
      <c r="D51" s="618"/>
      <c r="E51" s="71"/>
      <c r="F51" s="71"/>
      <c r="G51" s="71"/>
    </row>
    <row r="52" spans="1:7">
      <c r="A52" s="559"/>
      <c r="B52" s="560"/>
      <c r="C52" s="558"/>
      <c r="D52" s="618"/>
      <c r="E52" s="71"/>
      <c r="F52" s="71"/>
      <c r="G52" s="71"/>
    </row>
    <row r="53" spans="1:7">
      <c r="A53" s="559"/>
      <c r="B53" s="560"/>
      <c r="C53" s="558"/>
      <c r="D53" s="618"/>
      <c r="E53" s="71"/>
      <c r="F53" s="71"/>
      <c r="G53" s="71"/>
    </row>
    <row r="54" spans="1:7">
      <c r="A54" s="559"/>
      <c r="B54" s="560"/>
      <c r="C54" s="558"/>
      <c r="D54" s="618"/>
      <c r="E54" s="71"/>
      <c r="F54" s="71"/>
      <c r="G54" s="71"/>
    </row>
    <row r="55" spans="1:7">
      <c r="A55" s="559"/>
      <c r="B55" s="560"/>
      <c r="C55" s="558"/>
      <c r="D55" s="618"/>
      <c r="E55" s="71"/>
      <c r="F55" s="71"/>
      <c r="G55" s="71"/>
    </row>
    <row r="56" spans="1:7">
      <c r="A56" s="559"/>
      <c r="B56" s="560"/>
      <c r="C56" s="558"/>
      <c r="D56" s="618"/>
      <c r="E56" s="71"/>
      <c r="F56" s="71"/>
      <c r="G56" s="71"/>
    </row>
    <row r="57" spans="1:7">
      <c r="A57" s="559"/>
      <c r="B57" s="560"/>
      <c r="C57" s="558"/>
      <c r="D57" s="618"/>
      <c r="E57" s="71"/>
    </row>
    <row r="58" spans="1:7">
      <c r="A58" s="561"/>
      <c r="B58" s="560"/>
      <c r="C58" s="558"/>
      <c r="D58" s="618"/>
      <c r="E58" s="71"/>
    </row>
    <row r="59" spans="1:7">
      <c r="B59" s="560"/>
      <c r="D59" s="618"/>
    </row>
  </sheetData>
  <sheetProtection algorithmName="SHA-512" hashValue="ZHYhfTP1NfuvUNUhOr13plLQDGwqCnLLRWgHoZokgATfAsPshFPRSIcgMA7XmSS5wUJ9iXBlTg/Bx5J24NRMYg==" saltValue="OTsWq4nnsEwE07nDQW5gRg==" spinCount="100000" sheet="1" objects="1" scenarios="1" selectLockedCells="1" selectUnlockedCells="1"/>
  <mergeCells count="10">
    <mergeCell ref="A1:D1"/>
    <mergeCell ref="A11:A12"/>
    <mergeCell ref="C17:D17"/>
    <mergeCell ref="A16:B16"/>
    <mergeCell ref="A17:B17"/>
    <mergeCell ref="A15:B15"/>
    <mergeCell ref="A3:A4"/>
    <mergeCell ref="A5:A6"/>
    <mergeCell ref="A7:A8"/>
    <mergeCell ref="A9:A10"/>
  </mergeCells>
  <dataValidations count="1">
    <dataValidation type="list" allowBlank="1" showInputMessage="1" showErrorMessage="1" sqref="B14" xr:uid="{00000000-0002-0000-0A00-000000000000}">
      <formula1>$E$20:$E$36</formula1>
    </dataValidation>
  </dataValidations>
  <pageMargins left="0.7" right="0.7" top="0.75" bottom="0.75" header="0.3" footer="0.3"/>
  <pageSetup paperSize="9" scale="53"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604"/>
  <sheetViews>
    <sheetView zoomScale="79" zoomScaleNormal="79" zoomScalePageLayoutView="90" workbookViewId="0">
      <selection activeCell="J57" sqref="J57"/>
    </sheetView>
  </sheetViews>
  <sheetFormatPr defaultColWidth="8.85546875" defaultRowHeight="15"/>
  <cols>
    <col min="1" max="1" width="80.28515625" style="8" customWidth="1"/>
    <col min="2" max="2" width="31.42578125" style="8" customWidth="1"/>
    <col min="3" max="3" width="23.85546875" style="8" customWidth="1"/>
    <col min="4" max="4" width="22.140625" style="8" customWidth="1"/>
    <col min="5" max="5" width="29.5703125" style="8" customWidth="1"/>
    <col min="6" max="6" width="21.85546875" style="8" customWidth="1"/>
    <col min="7" max="7" width="22" style="8" customWidth="1"/>
    <col min="8" max="8" width="29" style="8" customWidth="1"/>
    <col min="9" max="9" width="21.85546875" style="8" bestFit="1" customWidth="1"/>
    <col min="10" max="10" width="20.5703125" style="8" bestFit="1" customWidth="1"/>
    <col min="11" max="11" width="20.28515625" style="8" customWidth="1"/>
    <col min="12" max="12" width="20.5703125" style="8" bestFit="1" customWidth="1"/>
    <col min="13" max="13" width="25.42578125" style="8" bestFit="1" customWidth="1"/>
    <col min="14" max="15" width="20.5703125" style="8" bestFit="1" customWidth="1"/>
    <col min="16" max="16" width="21.42578125" style="8" customWidth="1"/>
    <col min="17" max="17" width="24.5703125" style="8" customWidth="1"/>
    <col min="18" max="18" width="20.5703125" style="8" bestFit="1" customWidth="1"/>
    <col min="19" max="19" width="22" style="8" customWidth="1"/>
    <col min="20" max="20" width="22.28515625" style="8" customWidth="1"/>
    <col min="21" max="21" width="20.5703125" style="8" bestFit="1" customWidth="1"/>
    <col min="22" max="22" width="21.85546875" style="8" bestFit="1" customWidth="1"/>
    <col min="23" max="23" width="22.85546875" style="8" customWidth="1"/>
    <col min="24" max="16384" width="8.85546875" style="8"/>
  </cols>
  <sheetData>
    <row r="1" spans="1:23" ht="30.95" customHeight="1">
      <c r="A1" s="767" t="s">
        <v>281</v>
      </c>
      <c r="B1" s="768"/>
      <c r="C1" s="768"/>
      <c r="D1" s="768"/>
      <c r="E1" s="768"/>
      <c r="F1" s="769"/>
      <c r="G1" s="23"/>
      <c r="H1" s="776" t="s">
        <v>57</v>
      </c>
      <c r="I1" s="777"/>
      <c r="J1" s="777"/>
      <c r="K1" s="24"/>
      <c r="L1" s="353"/>
      <c r="M1" s="25"/>
      <c r="N1" s="26"/>
      <c r="O1" s="23"/>
      <c r="P1" s="27"/>
      <c r="Q1" s="27"/>
      <c r="R1" s="28"/>
      <c r="S1" s="27"/>
      <c r="T1" s="27"/>
      <c r="U1" s="27"/>
      <c r="V1" s="27"/>
      <c r="W1" s="27"/>
    </row>
    <row r="2" spans="1:23" ht="21" customHeight="1">
      <c r="A2" s="770"/>
      <c r="B2" s="771"/>
      <c r="C2" s="771"/>
      <c r="D2" s="771"/>
      <c r="E2" s="771"/>
      <c r="F2" s="772"/>
      <c r="G2" s="23"/>
      <c r="H2" s="777"/>
      <c r="I2" s="777"/>
      <c r="J2" s="777"/>
      <c r="K2" s="24"/>
      <c r="L2" s="30"/>
      <c r="M2" s="25"/>
      <c r="N2" s="26"/>
      <c r="O2" s="23"/>
      <c r="P2" s="27"/>
      <c r="Q2" s="27"/>
      <c r="R2" s="28"/>
      <c r="S2" s="27"/>
      <c r="T2" s="27"/>
      <c r="U2" s="27"/>
      <c r="V2" s="27"/>
      <c r="W2" s="27"/>
    </row>
    <row r="3" spans="1:23" ht="16.5" thickBot="1">
      <c r="A3" s="773"/>
      <c r="B3" s="774"/>
      <c r="C3" s="774"/>
      <c r="D3" s="774"/>
      <c r="E3" s="774"/>
      <c r="F3" s="775"/>
      <c r="G3" s="34"/>
      <c r="H3" s="32"/>
      <c r="I3" s="32"/>
      <c r="J3" s="32"/>
      <c r="K3" s="32"/>
      <c r="L3" s="30"/>
      <c r="M3" s="23"/>
      <c r="N3" s="23"/>
      <c r="O3" s="23"/>
      <c r="P3" s="27"/>
      <c r="Q3" s="49"/>
      <c r="R3" s="27"/>
      <c r="S3" s="27"/>
      <c r="T3" s="27"/>
      <c r="U3" s="27"/>
      <c r="V3" s="27"/>
      <c r="W3" s="27"/>
    </row>
    <row r="4" spans="1:23" ht="15.75">
      <c r="A4" s="35"/>
      <c r="B4" s="35"/>
      <c r="C4" s="35"/>
      <c r="D4" s="34"/>
      <c r="E4" s="34"/>
      <c r="F4" s="34"/>
      <c r="G4" s="34"/>
      <c r="H4" s="32"/>
      <c r="I4" s="32"/>
      <c r="J4" s="32"/>
      <c r="K4" s="778"/>
      <c r="L4" s="778"/>
      <c r="M4" s="778"/>
      <c r="N4" s="23"/>
      <c r="O4" s="23"/>
      <c r="P4" s="27"/>
      <c r="Q4" s="49"/>
      <c r="R4" s="27"/>
      <c r="S4" s="27"/>
      <c r="T4" s="27"/>
      <c r="U4" s="27"/>
      <c r="V4" s="27"/>
      <c r="W4" s="27"/>
    </row>
    <row r="5" spans="1:23" ht="15.75">
      <c r="A5" s="36" t="s">
        <v>56</v>
      </c>
      <c r="B5" s="75">
        <v>0.02</v>
      </c>
      <c r="C5" s="34"/>
      <c r="D5" s="36" t="s">
        <v>55</v>
      </c>
      <c r="E5" s="34"/>
      <c r="F5" s="34"/>
      <c r="G5" s="34"/>
      <c r="H5" s="74">
        <v>0.02</v>
      </c>
      <c r="I5" s="73"/>
      <c r="J5" s="23"/>
      <c r="K5" s="29"/>
      <c r="L5" s="23"/>
      <c r="M5" s="23"/>
      <c r="N5" s="31"/>
      <c r="O5" s="23"/>
      <c r="P5" s="27"/>
      <c r="Q5" s="27"/>
      <c r="R5" s="27"/>
      <c r="S5" s="27"/>
      <c r="T5" s="27"/>
      <c r="U5" s="27"/>
      <c r="V5" s="27"/>
      <c r="W5" s="27"/>
    </row>
    <row r="6" spans="1:23" ht="15.75">
      <c r="A6" s="36" t="s">
        <v>278</v>
      </c>
      <c r="B6" s="509">
        <f>CAPEX!C17</f>
        <v>16340000</v>
      </c>
      <c r="C6" s="34"/>
      <c r="D6" s="36" t="s">
        <v>54</v>
      </c>
      <c r="E6" s="34"/>
      <c r="F6" s="34"/>
      <c r="G6" s="34"/>
      <c r="H6" s="74">
        <v>0.02</v>
      </c>
      <c r="I6" s="73"/>
      <c r="J6" s="23"/>
      <c r="K6" s="23"/>
      <c r="L6" s="23"/>
      <c r="M6" s="23"/>
      <c r="N6" s="31"/>
      <c r="O6" s="23"/>
      <c r="P6" s="27"/>
      <c r="Q6" s="27"/>
      <c r="R6" s="27"/>
      <c r="S6" s="27"/>
      <c r="T6" s="27"/>
      <c r="U6" s="27"/>
      <c r="V6" s="27"/>
      <c r="W6" s="27"/>
    </row>
    <row r="7" spans="1:23" ht="15.75">
      <c r="A7" s="36"/>
      <c r="B7" s="37"/>
      <c r="C7" s="34"/>
      <c r="D7" s="36"/>
      <c r="E7" s="34"/>
      <c r="F7" s="34"/>
      <c r="G7" s="34"/>
      <c r="H7" s="73"/>
      <c r="I7" s="73"/>
      <c r="J7" s="23"/>
      <c r="K7" s="23"/>
      <c r="L7" s="23"/>
      <c r="M7" s="23"/>
      <c r="N7" s="31"/>
      <c r="O7" s="23"/>
      <c r="P7" s="27"/>
      <c r="Q7" s="27"/>
      <c r="R7" s="27"/>
      <c r="S7" s="27"/>
      <c r="T7" s="27"/>
      <c r="U7" s="27"/>
      <c r="V7" s="27"/>
      <c r="W7" s="27"/>
    </row>
    <row r="8" spans="1:23" ht="15.75">
      <c r="C8" s="34"/>
      <c r="D8" s="36"/>
      <c r="E8" s="34"/>
      <c r="F8" s="34"/>
      <c r="G8" s="34"/>
      <c r="H8" s="33"/>
      <c r="I8" s="31"/>
      <c r="J8" s="23"/>
      <c r="K8" s="23"/>
      <c r="L8" s="23"/>
      <c r="M8" s="23"/>
      <c r="N8" s="31"/>
      <c r="O8" s="23"/>
      <c r="P8" s="27"/>
      <c r="Q8" s="27"/>
      <c r="R8" s="27"/>
      <c r="S8" s="27"/>
      <c r="T8" s="27"/>
      <c r="U8" s="27"/>
      <c r="V8" s="27"/>
      <c r="W8" s="27"/>
    </row>
    <row r="9" spans="1:23" ht="15.75">
      <c r="A9" s="36"/>
      <c r="B9" s="37"/>
      <c r="C9" s="363"/>
      <c r="D9" s="115"/>
      <c r="E9" s="115"/>
      <c r="F9" s="115"/>
      <c r="G9" s="115"/>
      <c r="H9" s="115"/>
      <c r="I9" s="115"/>
      <c r="J9" s="115"/>
      <c r="K9" s="115"/>
      <c r="L9" s="115"/>
      <c r="M9" s="115"/>
      <c r="N9" s="115"/>
      <c r="O9" s="115"/>
      <c r="P9" s="115"/>
      <c r="Q9" s="115"/>
      <c r="R9" s="115"/>
      <c r="S9" s="115"/>
      <c r="T9" s="115"/>
      <c r="U9" s="115"/>
      <c r="V9" s="115"/>
      <c r="W9" s="27"/>
    </row>
    <row r="10" spans="1:23" ht="15.75">
      <c r="A10" s="29"/>
      <c r="B10" s="779"/>
      <c r="C10" s="779"/>
      <c r="D10" s="23"/>
      <c r="E10" s="23"/>
      <c r="F10" s="23"/>
      <c r="G10" s="23"/>
      <c r="H10" s="23"/>
      <c r="I10" s="23"/>
      <c r="J10" s="23"/>
      <c r="K10" s="23"/>
      <c r="L10" s="23"/>
      <c r="M10" s="23"/>
      <c r="N10" s="31"/>
      <c r="O10" s="23"/>
      <c r="P10" s="27"/>
      <c r="Q10" s="27"/>
      <c r="R10" s="27"/>
      <c r="S10" s="27"/>
      <c r="T10" s="27"/>
      <c r="U10" s="27"/>
      <c r="V10" s="27"/>
      <c r="W10" s="27"/>
    </row>
    <row r="11" spans="1:23" ht="15.75">
      <c r="A11" s="38" t="s">
        <v>46</v>
      </c>
      <c r="B11" s="76">
        <v>2022</v>
      </c>
      <c r="C11" s="39">
        <f t="shared" ref="C11:R12" si="0">B11+1</f>
        <v>2023</v>
      </c>
      <c r="D11" s="39">
        <f t="shared" si="0"/>
        <v>2024</v>
      </c>
      <c r="E11" s="39">
        <f t="shared" si="0"/>
        <v>2025</v>
      </c>
      <c r="F11" s="39">
        <f t="shared" si="0"/>
        <v>2026</v>
      </c>
      <c r="G11" s="39">
        <f t="shared" si="0"/>
        <v>2027</v>
      </c>
      <c r="H11" s="39">
        <f t="shared" si="0"/>
        <v>2028</v>
      </c>
      <c r="I11" s="39">
        <f t="shared" si="0"/>
        <v>2029</v>
      </c>
      <c r="J11" s="39">
        <f t="shared" si="0"/>
        <v>2030</v>
      </c>
      <c r="K11" s="39">
        <f t="shared" si="0"/>
        <v>2031</v>
      </c>
      <c r="L11" s="39">
        <f t="shared" si="0"/>
        <v>2032</v>
      </c>
      <c r="M11" s="21">
        <f t="shared" si="0"/>
        <v>2033</v>
      </c>
      <c r="N11" s="21">
        <f t="shared" si="0"/>
        <v>2034</v>
      </c>
      <c r="O11" s="21">
        <f t="shared" si="0"/>
        <v>2035</v>
      </c>
      <c r="P11" s="21">
        <f t="shared" si="0"/>
        <v>2036</v>
      </c>
      <c r="Q11" s="21">
        <f t="shared" si="0"/>
        <v>2037</v>
      </c>
      <c r="R11" s="21">
        <f t="shared" si="0"/>
        <v>2038</v>
      </c>
      <c r="S11" s="21">
        <f t="shared" ref="S11:V12" si="1">R11+1</f>
        <v>2039</v>
      </c>
      <c r="T11" s="21">
        <f>S11+1</f>
        <v>2040</v>
      </c>
      <c r="U11" s="21">
        <f>T11+1</f>
        <v>2041</v>
      </c>
      <c r="V11" s="21">
        <f t="shared" si="1"/>
        <v>2042</v>
      </c>
      <c r="W11" s="22" t="s">
        <v>41</v>
      </c>
    </row>
    <row r="12" spans="1:23" ht="15.75">
      <c r="A12" s="364" t="s">
        <v>53</v>
      </c>
      <c r="B12" s="365">
        <v>0</v>
      </c>
      <c r="C12" s="365">
        <f t="shared" si="0"/>
        <v>1</v>
      </c>
      <c r="D12" s="365">
        <f t="shared" si="0"/>
        <v>2</v>
      </c>
      <c r="E12" s="365">
        <f t="shared" si="0"/>
        <v>3</v>
      </c>
      <c r="F12" s="365">
        <f t="shared" si="0"/>
        <v>4</v>
      </c>
      <c r="G12" s="365">
        <f t="shared" si="0"/>
        <v>5</v>
      </c>
      <c r="H12" s="365">
        <f t="shared" si="0"/>
        <v>6</v>
      </c>
      <c r="I12" s="365">
        <f t="shared" si="0"/>
        <v>7</v>
      </c>
      <c r="J12" s="365">
        <f t="shared" si="0"/>
        <v>8</v>
      </c>
      <c r="K12" s="365">
        <f t="shared" si="0"/>
        <v>9</v>
      </c>
      <c r="L12" s="365">
        <f t="shared" si="0"/>
        <v>10</v>
      </c>
      <c r="M12" s="366">
        <f t="shared" si="0"/>
        <v>11</v>
      </c>
      <c r="N12" s="366">
        <f t="shared" si="0"/>
        <v>12</v>
      </c>
      <c r="O12" s="366">
        <f t="shared" si="0"/>
        <v>13</v>
      </c>
      <c r="P12" s="366">
        <f t="shared" si="0"/>
        <v>14</v>
      </c>
      <c r="Q12" s="366">
        <f t="shared" si="0"/>
        <v>15</v>
      </c>
      <c r="R12" s="366">
        <f t="shared" si="0"/>
        <v>16</v>
      </c>
      <c r="S12" s="366">
        <f t="shared" si="1"/>
        <v>17</v>
      </c>
      <c r="T12" s="366">
        <f>S12+1</f>
        <v>18</v>
      </c>
      <c r="U12" s="366">
        <f>T12+1</f>
        <v>19</v>
      </c>
      <c r="V12" s="366">
        <f t="shared" si="1"/>
        <v>20</v>
      </c>
      <c r="W12" s="367"/>
    </row>
    <row r="13" spans="1:23" ht="15.75">
      <c r="A13" s="368" t="s">
        <v>73</v>
      </c>
      <c r="B13" s="369"/>
      <c r="C13" s="370">
        <f>C38</f>
        <v>7054275.8499999959</v>
      </c>
      <c r="D13" s="371">
        <f t="shared" ref="D13:M13" si="2">C13/(100%-$H$5)</f>
        <v>7198240.6632653018</v>
      </c>
      <c r="E13" s="371">
        <f t="shared" si="2"/>
        <v>7345143.5339441858</v>
      </c>
      <c r="F13" s="371">
        <f t="shared" si="2"/>
        <v>7495044.4223920265</v>
      </c>
      <c r="G13" s="371">
        <f t="shared" si="2"/>
        <v>7648004.5126449252</v>
      </c>
      <c r="H13" s="371">
        <f t="shared" si="2"/>
        <v>7804086.2373927813</v>
      </c>
      <c r="I13" s="371">
        <f t="shared" si="2"/>
        <v>7963353.303462022</v>
      </c>
      <c r="J13" s="371">
        <f t="shared" si="2"/>
        <v>8125870.7178183896</v>
      </c>
      <c r="K13" s="371">
        <f t="shared" si="2"/>
        <v>8291704.8141003978</v>
      </c>
      <c r="L13" s="371">
        <f t="shared" si="2"/>
        <v>8460923.2796942834</v>
      </c>
      <c r="M13" s="371">
        <f t="shared" si="2"/>
        <v>8633595.1833615135</v>
      </c>
      <c r="N13" s="371">
        <f>M13/(100%-$H$5)</f>
        <v>8809791.0034301169</v>
      </c>
      <c r="O13" s="371">
        <f t="shared" ref="O13:V13" si="3">N13/(100%-$H$5)</f>
        <v>8989582.6565613449</v>
      </c>
      <c r="P13" s="371">
        <f t="shared" si="3"/>
        <v>9173043.5271034129</v>
      </c>
      <c r="Q13" s="371">
        <f t="shared" si="3"/>
        <v>9360248.4970442988</v>
      </c>
      <c r="R13" s="371">
        <f t="shared" si="3"/>
        <v>9551273.9765758161</v>
      </c>
      <c r="S13" s="371">
        <f t="shared" si="3"/>
        <v>9746197.9352814443</v>
      </c>
      <c r="T13" s="371">
        <f>S13/(100%-$H$5)</f>
        <v>9945099.9339606576</v>
      </c>
      <c r="U13" s="371">
        <f>T13/(100%-$H$5)</f>
        <v>10148061.157102711</v>
      </c>
      <c r="V13" s="371">
        <f t="shared" si="3"/>
        <v>10355164.446023175</v>
      </c>
      <c r="W13" s="372">
        <f t="shared" ref="W13:W20" si="4">SUM(C13:V13)</f>
        <v>172098705.65115878</v>
      </c>
    </row>
    <row r="14" spans="1:23" ht="15.75">
      <c r="A14" s="368" t="s">
        <v>74</v>
      </c>
      <c r="B14" s="369"/>
      <c r="C14" s="370">
        <f>(-(H38))</f>
        <v>-4417088.4042462707</v>
      </c>
      <c r="D14" s="373">
        <f>C14+($H$6*C14)</f>
        <v>-4505430.1723311963</v>
      </c>
      <c r="E14" s="373">
        <f t="shared" ref="E14:V14" si="5">D14+($H$6*D14)</f>
        <v>-4595538.7757778205</v>
      </c>
      <c r="F14" s="373">
        <f t="shared" si="5"/>
        <v>-4687449.5512933768</v>
      </c>
      <c r="G14" s="373">
        <f t="shared" si="5"/>
        <v>-4781198.5423192447</v>
      </c>
      <c r="H14" s="373">
        <f t="shared" si="5"/>
        <v>-4876822.5131656295</v>
      </c>
      <c r="I14" s="373">
        <f t="shared" si="5"/>
        <v>-4974358.9634289425</v>
      </c>
      <c r="J14" s="373">
        <f t="shared" si="5"/>
        <v>-5073846.1426975215</v>
      </c>
      <c r="K14" s="373">
        <f t="shared" si="5"/>
        <v>-5175323.0655514719</v>
      </c>
      <c r="L14" s="373">
        <f t="shared" si="5"/>
        <v>-5278829.5268625012</v>
      </c>
      <c r="M14" s="373">
        <f t="shared" si="5"/>
        <v>-5384406.1173997512</v>
      </c>
      <c r="N14" s="373">
        <f t="shared" si="5"/>
        <v>-5492094.2397477459</v>
      </c>
      <c r="O14" s="373">
        <f t="shared" si="5"/>
        <v>-5601936.1245427011</v>
      </c>
      <c r="P14" s="373">
        <f t="shared" si="5"/>
        <v>-5713974.8470335547</v>
      </c>
      <c r="Q14" s="373">
        <f t="shared" si="5"/>
        <v>-5828254.3439742262</v>
      </c>
      <c r="R14" s="373">
        <f t="shared" si="5"/>
        <v>-5944819.4308537105</v>
      </c>
      <c r="S14" s="373">
        <f t="shared" si="5"/>
        <v>-6063715.8194707846</v>
      </c>
      <c r="T14" s="373">
        <f>S14+($H$6*S14)</f>
        <v>-6184990.1358602</v>
      </c>
      <c r="U14" s="373">
        <f>T14+($H$6*T14)</f>
        <v>-6308689.9385774042</v>
      </c>
      <c r="V14" s="373">
        <f t="shared" si="5"/>
        <v>-6434863.7373489523</v>
      </c>
      <c r="W14" s="372">
        <f t="shared" si="4"/>
        <v>-107323630.39248301</v>
      </c>
    </row>
    <row r="15" spans="1:23" s="12" customFormat="1" ht="15.75">
      <c r="A15" s="374" t="s">
        <v>162</v>
      </c>
      <c r="B15" s="375" t="s">
        <v>67</v>
      </c>
      <c r="C15" s="370">
        <f>-$M38</f>
        <v>-1323540</v>
      </c>
      <c r="D15" s="370">
        <f>-$M39</f>
        <v>-1294128</v>
      </c>
      <c r="E15" s="370">
        <f>-$M40</f>
        <v>-1264716</v>
      </c>
      <c r="F15" s="370">
        <f>-$M41</f>
        <v>-1235304</v>
      </c>
      <c r="G15" s="370">
        <f>-$M42</f>
        <v>-1205892</v>
      </c>
      <c r="H15" s="370">
        <f>-$M43</f>
        <v>-1176480</v>
      </c>
      <c r="I15" s="370">
        <f>-$M44</f>
        <v>-1147068</v>
      </c>
      <c r="J15" s="370">
        <f>-$M45</f>
        <v>-1117656</v>
      </c>
      <c r="K15" s="370">
        <f>-$M46</f>
        <v>-1088244</v>
      </c>
      <c r="L15" s="370">
        <f>-$M47</f>
        <v>-1058832</v>
      </c>
      <c r="M15" s="370">
        <f>-$M48</f>
        <v>-1029420</v>
      </c>
      <c r="N15" s="370">
        <f>-$M49</f>
        <v>-1000008</v>
      </c>
      <c r="O15" s="370">
        <f>-$M50</f>
        <v>-970596</v>
      </c>
      <c r="P15" s="370">
        <f>-$M51</f>
        <v>-941184</v>
      </c>
      <c r="Q15" s="370">
        <f>-$M52</f>
        <v>-911772</v>
      </c>
      <c r="R15" s="370">
        <f>-$M53</f>
        <v>-882360</v>
      </c>
      <c r="S15" s="370">
        <f>-$M54</f>
        <v>-852948</v>
      </c>
      <c r="T15" s="370">
        <f>-$M55</f>
        <v>-823536</v>
      </c>
      <c r="U15" s="370">
        <f>-$M56</f>
        <v>-794124</v>
      </c>
      <c r="V15" s="370">
        <f>-$M57</f>
        <v>-764712</v>
      </c>
      <c r="W15" s="376">
        <f t="shared" si="4"/>
        <v>-20882520</v>
      </c>
    </row>
    <row r="16" spans="1:23" s="12" customFormat="1" ht="15.75">
      <c r="A16" s="377" t="s">
        <v>163</v>
      </c>
      <c r="B16" s="378">
        <f>-B6</f>
        <v>-16340000</v>
      </c>
      <c r="C16" s="379">
        <f>SUM(C13:C15)</f>
        <v>1313647.4457537252</v>
      </c>
      <c r="D16" s="379">
        <f>SUM(D13:D15)</f>
        <v>1398682.4909341056</v>
      </c>
      <c r="E16" s="379">
        <f t="shared" ref="E16:V16" si="6">SUM(E13:E15)</f>
        <v>1484888.7581663653</v>
      </c>
      <c r="F16" s="379">
        <f t="shared" si="6"/>
        <v>1572290.8710986497</v>
      </c>
      <c r="G16" s="379">
        <f t="shared" si="6"/>
        <v>1660913.9703256804</v>
      </c>
      <c r="H16" s="379">
        <f t="shared" si="6"/>
        <v>1750783.7242271518</v>
      </c>
      <c r="I16" s="379">
        <f t="shared" si="6"/>
        <v>1841926.3400330795</v>
      </c>
      <c r="J16" s="379">
        <f t="shared" si="6"/>
        <v>1934368.5751208682</v>
      </c>
      <c r="K16" s="379">
        <f t="shared" si="6"/>
        <v>2028137.7485489259</v>
      </c>
      <c r="L16" s="379">
        <f t="shared" si="6"/>
        <v>2123261.7528317822</v>
      </c>
      <c r="M16" s="379">
        <f t="shared" si="6"/>
        <v>2219769.0659617623</v>
      </c>
      <c r="N16" s="379">
        <f t="shared" si="6"/>
        <v>2317688.763682371</v>
      </c>
      <c r="O16" s="379">
        <f t="shared" si="6"/>
        <v>2417050.5320186438</v>
      </c>
      <c r="P16" s="379">
        <f t="shared" si="6"/>
        <v>2517884.6800698582</v>
      </c>
      <c r="Q16" s="379">
        <f t="shared" si="6"/>
        <v>2620222.1530700726</v>
      </c>
      <c r="R16" s="379">
        <f t="shared" si="6"/>
        <v>2724094.5457221055</v>
      </c>
      <c r="S16" s="379">
        <f t="shared" si="6"/>
        <v>2829534.1158106597</v>
      </c>
      <c r="T16" s="379">
        <f t="shared" si="6"/>
        <v>2936573.7981004575</v>
      </c>
      <c r="U16" s="379">
        <f t="shared" si="6"/>
        <v>3045247.2185253073</v>
      </c>
      <c r="V16" s="379">
        <f t="shared" si="6"/>
        <v>3155588.7086742232</v>
      </c>
      <c r="W16" s="380">
        <f t="shared" si="4"/>
        <v>43892555.258675791</v>
      </c>
    </row>
    <row r="17" spans="1:23" s="12" customFormat="1" ht="15.75">
      <c r="A17" s="374" t="s">
        <v>164</v>
      </c>
      <c r="B17" s="381" t="s">
        <v>67</v>
      </c>
      <c r="C17" s="370">
        <f>$S38</f>
        <v>147059.99999999994</v>
      </c>
      <c r="D17" s="370">
        <f>$S39</f>
        <v>143791.99999999994</v>
      </c>
      <c r="E17" s="370">
        <f>$S40</f>
        <v>140523.99999999994</v>
      </c>
      <c r="F17" s="370">
        <f>$S41</f>
        <v>137255.99999999994</v>
      </c>
      <c r="G17" s="370">
        <f>$S42</f>
        <v>133987.99999999994</v>
      </c>
      <c r="H17" s="370">
        <f>$S43</f>
        <v>130719.99999999996</v>
      </c>
      <c r="I17" s="370">
        <f>$S44</f>
        <v>127451.99999999997</v>
      </c>
      <c r="J17" s="370">
        <f>$S45</f>
        <v>124183.99999999997</v>
      </c>
      <c r="K17" s="370">
        <f>$S46</f>
        <v>120915.99999999997</v>
      </c>
      <c r="L17" s="370">
        <f>$S47</f>
        <v>117647.99999999997</v>
      </c>
      <c r="M17" s="370">
        <f>$S48</f>
        <v>114379.99999999997</v>
      </c>
      <c r="N17" s="370">
        <f>$S49</f>
        <v>111111.99999999997</v>
      </c>
      <c r="O17" s="370">
        <f>$S50</f>
        <v>107843.99999999997</v>
      </c>
      <c r="P17" s="370">
        <f>$S51</f>
        <v>104575.99999999997</v>
      </c>
      <c r="Q17" s="370">
        <f>$S52</f>
        <v>101307.99999999997</v>
      </c>
      <c r="R17" s="370">
        <f>$S53</f>
        <v>98039.999999999971</v>
      </c>
      <c r="S17" s="370">
        <f>$S54</f>
        <v>94771.999999999971</v>
      </c>
      <c r="T17" s="370">
        <f>$S55</f>
        <v>91503.999999999971</v>
      </c>
      <c r="U17" s="370">
        <f>$S56</f>
        <v>88235.999999999971</v>
      </c>
      <c r="V17" s="370">
        <f>$S57</f>
        <v>84967.999999999971</v>
      </c>
      <c r="W17" s="376">
        <f t="shared" si="4"/>
        <v>2320279.9999999995</v>
      </c>
    </row>
    <row r="18" spans="1:23" s="12" customFormat="1" ht="15.75">
      <c r="A18" s="377" t="s">
        <v>165</v>
      </c>
      <c r="B18" s="378">
        <f>-B6</f>
        <v>-16340000</v>
      </c>
      <c r="C18" s="379">
        <f>C16-C17</f>
        <v>1166587.4457537252</v>
      </c>
      <c r="D18" s="379">
        <f>D16-D17</f>
        <v>1254890.4909341056</v>
      </c>
      <c r="E18" s="379">
        <f>E16-E17</f>
        <v>1344364.7581663653</v>
      </c>
      <c r="F18" s="379">
        <f t="shared" ref="F18:V18" si="7">F16-F17</f>
        <v>1435034.8710986497</v>
      </c>
      <c r="G18" s="379">
        <f t="shared" si="7"/>
        <v>1526925.9703256804</v>
      </c>
      <c r="H18" s="379">
        <f t="shared" si="7"/>
        <v>1620063.7242271518</v>
      </c>
      <c r="I18" s="379">
        <f t="shared" si="7"/>
        <v>1714474.3400330795</v>
      </c>
      <c r="J18" s="379">
        <f t="shared" si="7"/>
        <v>1810184.5751208682</v>
      </c>
      <c r="K18" s="379">
        <f t="shared" si="7"/>
        <v>1907221.7485489259</v>
      </c>
      <c r="L18" s="379">
        <f t="shared" si="7"/>
        <v>2005613.7528317822</v>
      </c>
      <c r="M18" s="379">
        <f t="shared" si="7"/>
        <v>2105389.0659617623</v>
      </c>
      <c r="N18" s="379">
        <f t="shared" si="7"/>
        <v>2206576.763682371</v>
      </c>
      <c r="O18" s="379">
        <f t="shared" si="7"/>
        <v>2309206.5320186438</v>
      </c>
      <c r="P18" s="379">
        <f t="shared" si="7"/>
        <v>2413308.6800698582</v>
      </c>
      <c r="Q18" s="379">
        <f t="shared" si="7"/>
        <v>2518914.1530700726</v>
      </c>
      <c r="R18" s="379">
        <f t="shared" si="7"/>
        <v>2626054.5457221055</v>
      </c>
      <c r="S18" s="379">
        <f t="shared" si="7"/>
        <v>2734762.1158106597</v>
      </c>
      <c r="T18" s="379">
        <f t="shared" si="7"/>
        <v>2845069.7981004575</v>
      </c>
      <c r="U18" s="379">
        <f t="shared" si="7"/>
        <v>2957011.2185253073</v>
      </c>
      <c r="V18" s="379">
        <f t="shared" si="7"/>
        <v>3070620.7086742232</v>
      </c>
      <c r="W18" s="380">
        <f t="shared" si="4"/>
        <v>41572275.258675791</v>
      </c>
    </row>
    <row r="19" spans="1:23" s="12" customFormat="1" ht="15.75">
      <c r="A19" s="374" t="s">
        <v>236</v>
      </c>
      <c r="B19" s="381" t="s">
        <v>67</v>
      </c>
      <c r="C19" s="370">
        <f t="shared" ref="C19:V19" si="8">IF($G$60=0%, 0, $H$60*C18)</f>
        <v>116658.74457537253</v>
      </c>
      <c r="D19" s="370">
        <f t="shared" si="8"/>
        <v>125489.04909341056</v>
      </c>
      <c r="E19" s="370">
        <f t="shared" si="8"/>
        <v>134436.47581663655</v>
      </c>
      <c r="F19" s="370">
        <f t="shared" si="8"/>
        <v>143503.48710986497</v>
      </c>
      <c r="G19" s="370">
        <f t="shared" si="8"/>
        <v>152692.59703256804</v>
      </c>
      <c r="H19" s="370">
        <f t="shared" si="8"/>
        <v>162006.37242271518</v>
      </c>
      <c r="I19" s="370">
        <f t="shared" si="8"/>
        <v>171447.43400330795</v>
      </c>
      <c r="J19" s="370">
        <f t="shared" si="8"/>
        <v>181018.45751208684</v>
      </c>
      <c r="K19" s="370">
        <f t="shared" si="8"/>
        <v>190722.1748548926</v>
      </c>
      <c r="L19" s="370">
        <f t="shared" si="8"/>
        <v>200561.37528317823</v>
      </c>
      <c r="M19" s="370">
        <f t="shared" si="8"/>
        <v>210538.90659617624</v>
      </c>
      <c r="N19" s="370">
        <f t="shared" si="8"/>
        <v>220657.67636823712</v>
      </c>
      <c r="O19" s="370">
        <f t="shared" si="8"/>
        <v>230920.65320186439</v>
      </c>
      <c r="P19" s="370">
        <f t="shared" si="8"/>
        <v>241330.86800698584</v>
      </c>
      <c r="Q19" s="370">
        <f t="shared" si="8"/>
        <v>251891.41530700726</v>
      </c>
      <c r="R19" s="370">
        <f t="shared" si="8"/>
        <v>262605.45457221055</v>
      </c>
      <c r="S19" s="370">
        <f t="shared" si="8"/>
        <v>273476.21158106596</v>
      </c>
      <c r="T19" s="370">
        <f t="shared" si="8"/>
        <v>284506.97981004574</v>
      </c>
      <c r="U19" s="370">
        <f t="shared" si="8"/>
        <v>295701.12185253075</v>
      </c>
      <c r="V19" s="370">
        <f t="shared" si="8"/>
        <v>307062.07086742233</v>
      </c>
      <c r="W19" s="376">
        <f t="shared" si="4"/>
        <v>4157227.525867579</v>
      </c>
    </row>
    <row r="20" spans="1:23" s="12" customFormat="1" ht="15.75">
      <c r="A20" s="377" t="s">
        <v>237</v>
      </c>
      <c r="B20" s="378">
        <f>-B6</f>
        <v>-16340000</v>
      </c>
      <c r="C20" s="379">
        <f>C18-C19</f>
        <v>1049928.7011783528</v>
      </c>
      <c r="D20" s="379">
        <f>D18-D19</f>
        <v>1129401.441840695</v>
      </c>
      <c r="E20" s="379">
        <f>E18-E19</f>
        <v>1209928.2823497287</v>
      </c>
      <c r="F20" s="379">
        <f>F18-F19</f>
        <v>1291531.3839887846</v>
      </c>
      <c r="G20" s="379">
        <f t="shared" ref="G20:V20" si="9">G18-G19</f>
        <v>1374233.3732931125</v>
      </c>
      <c r="H20" s="379">
        <f t="shared" si="9"/>
        <v>1458057.3518044367</v>
      </c>
      <c r="I20" s="379">
        <f t="shared" si="9"/>
        <v>1543026.9060297715</v>
      </c>
      <c r="J20" s="379">
        <f t="shared" si="9"/>
        <v>1629166.1176087814</v>
      </c>
      <c r="K20" s="379">
        <f t="shared" si="9"/>
        <v>1716499.5736940333</v>
      </c>
      <c r="L20" s="379">
        <f t="shared" si="9"/>
        <v>1805052.377548604</v>
      </c>
      <c r="M20" s="379">
        <f t="shared" si="9"/>
        <v>1894850.159365586</v>
      </c>
      <c r="N20" s="379">
        <f t="shared" si="9"/>
        <v>1985919.087314134</v>
      </c>
      <c r="O20" s="379">
        <f t="shared" si="9"/>
        <v>2078285.8788167795</v>
      </c>
      <c r="P20" s="379">
        <f t="shared" si="9"/>
        <v>2171977.8120628726</v>
      </c>
      <c r="Q20" s="379">
        <f t="shared" si="9"/>
        <v>2267022.7377630654</v>
      </c>
      <c r="R20" s="379">
        <f t="shared" si="9"/>
        <v>2363449.091149895</v>
      </c>
      <c r="S20" s="379">
        <f t="shared" si="9"/>
        <v>2461285.9042295939</v>
      </c>
      <c r="T20" s="379">
        <f t="shared" si="9"/>
        <v>2560562.818290412</v>
      </c>
      <c r="U20" s="379">
        <f t="shared" si="9"/>
        <v>2661310.0966727766</v>
      </c>
      <c r="V20" s="379">
        <f t="shared" si="9"/>
        <v>2763558.6378068007</v>
      </c>
      <c r="W20" s="380">
        <f t="shared" si="4"/>
        <v>37415047.732808217</v>
      </c>
    </row>
    <row r="21" spans="1:23" s="385" customFormat="1" ht="15.75">
      <c r="A21" s="382" t="s">
        <v>166</v>
      </c>
      <c r="B21" s="383">
        <f>0</f>
        <v>0</v>
      </c>
      <c r="C21" s="384">
        <f>SUM(C17,C19)</f>
        <v>263718.74457537249</v>
      </c>
      <c r="D21" s="384">
        <f>SUM(D17,D19)</f>
        <v>269281.04909341049</v>
      </c>
      <c r="E21" s="384">
        <f t="shared" ref="E21:V21" si="10">SUM(E17,E19)</f>
        <v>274960.47581663646</v>
      </c>
      <c r="F21" s="384">
        <f>SUM(F17,F19)</f>
        <v>280759.48710986495</v>
      </c>
      <c r="G21" s="384">
        <f t="shared" si="10"/>
        <v>286680.59703256795</v>
      </c>
      <c r="H21" s="384">
        <f t="shared" si="10"/>
        <v>292726.37242271513</v>
      </c>
      <c r="I21" s="384">
        <f t="shared" si="10"/>
        <v>298899.43400330795</v>
      </c>
      <c r="J21" s="384">
        <f t="shared" si="10"/>
        <v>305202.45751208684</v>
      </c>
      <c r="K21" s="384">
        <f t="shared" si="10"/>
        <v>311638.17485489254</v>
      </c>
      <c r="L21" s="384">
        <f t="shared" si="10"/>
        <v>318209.37528317817</v>
      </c>
      <c r="M21" s="384">
        <f t="shared" si="10"/>
        <v>324918.90659617621</v>
      </c>
      <c r="N21" s="384">
        <f t="shared" si="10"/>
        <v>331769.67636823712</v>
      </c>
      <c r="O21" s="384">
        <f t="shared" si="10"/>
        <v>338764.65320186433</v>
      </c>
      <c r="P21" s="384">
        <f t="shared" si="10"/>
        <v>345906.86800698581</v>
      </c>
      <c r="Q21" s="384">
        <f t="shared" si="10"/>
        <v>353199.41530700726</v>
      </c>
      <c r="R21" s="384">
        <f t="shared" si="10"/>
        <v>360645.45457221055</v>
      </c>
      <c r="S21" s="384">
        <f t="shared" si="10"/>
        <v>368248.2115810659</v>
      </c>
      <c r="T21" s="384">
        <f t="shared" si="10"/>
        <v>376010.97981004568</v>
      </c>
      <c r="U21" s="384">
        <f t="shared" si="10"/>
        <v>383937.12185253075</v>
      </c>
      <c r="V21" s="384">
        <f t="shared" si="10"/>
        <v>392030.07086742227</v>
      </c>
      <c r="W21" s="384">
        <f>SUM(C21:V21)</f>
        <v>6477507.5258675795</v>
      </c>
    </row>
    <row r="22" spans="1:23" ht="15.75">
      <c r="A22" s="374" t="s">
        <v>235</v>
      </c>
      <c r="B22" s="386">
        <f>0</f>
        <v>0</v>
      </c>
      <c r="C22" s="387">
        <f t="shared" ref="C22:W22" si="11">$G$63*C20</f>
        <v>52496.435058917647</v>
      </c>
      <c r="D22" s="387">
        <f t="shared" si="11"/>
        <v>56470.072092034752</v>
      </c>
      <c r="E22" s="387">
        <f t="shared" si="11"/>
        <v>60496.414117486442</v>
      </c>
      <c r="F22" s="387">
        <f t="shared" si="11"/>
        <v>64576.569199439233</v>
      </c>
      <c r="G22" s="387">
        <f t="shared" si="11"/>
        <v>68711.668664655634</v>
      </c>
      <c r="H22" s="387">
        <f t="shared" si="11"/>
        <v>72902.867590221838</v>
      </c>
      <c r="I22" s="387">
        <f t="shared" si="11"/>
        <v>77151.345301488574</v>
      </c>
      <c r="J22" s="387">
        <f t="shared" si="11"/>
        <v>81458.305880439075</v>
      </c>
      <c r="K22" s="387">
        <f t="shared" si="11"/>
        <v>85824.978684701666</v>
      </c>
      <c r="L22" s="387">
        <f t="shared" si="11"/>
        <v>90252.618877430214</v>
      </c>
      <c r="M22" s="387">
        <f t="shared" si="11"/>
        <v>94742.5079682793</v>
      </c>
      <c r="N22" s="387">
        <f t="shared" si="11"/>
        <v>99295.954365706712</v>
      </c>
      <c r="O22" s="387">
        <f t="shared" si="11"/>
        <v>103914.29394083898</v>
      </c>
      <c r="P22" s="387">
        <f t="shared" si="11"/>
        <v>108598.89060314363</v>
      </c>
      <c r="Q22" s="387">
        <f t="shared" si="11"/>
        <v>113351.13688815327</v>
      </c>
      <c r="R22" s="387">
        <f t="shared" si="11"/>
        <v>118172.45455749476</v>
      </c>
      <c r="S22" s="387">
        <f t="shared" si="11"/>
        <v>123064.29521147971</v>
      </c>
      <c r="T22" s="387">
        <f t="shared" si="11"/>
        <v>128028.1409145206</v>
      </c>
      <c r="U22" s="387">
        <f t="shared" si="11"/>
        <v>133065.50483363884</v>
      </c>
      <c r="V22" s="387">
        <f t="shared" si="11"/>
        <v>138177.93189034003</v>
      </c>
      <c r="W22" s="548">
        <f t="shared" si="11"/>
        <v>1870752.3866404109</v>
      </c>
    </row>
    <row r="23" spans="1:23" ht="15.75">
      <c r="A23" s="377" t="s">
        <v>167</v>
      </c>
      <c r="B23" s="379">
        <f>0</f>
        <v>0</v>
      </c>
      <c r="C23" s="379">
        <f>C20-C22</f>
        <v>997432.2661194352</v>
      </c>
      <c r="D23" s="379">
        <f t="shared" ref="D23:W23" si="12">D20-D22</f>
        <v>1072931.3697486601</v>
      </c>
      <c r="E23" s="379">
        <f t="shared" si="12"/>
        <v>1149431.8682322423</v>
      </c>
      <c r="F23" s="379">
        <f t="shared" si="12"/>
        <v>1226954.8147893455</v>
      </c>
      <c r="G23" s="379">
        <f t="shared" si="12"/>
        <v>1305521.7046284568</v>
      </c>
      <c r="H23" s="379">
        <f t="shared" si="12"/>
        <v>1385154.4842142148</v>
      </c>
      <c r="I23" s="379">
        <f t="shared" si="12"/>
        <v>1465875.5607282829</v>
      </c>
      <c r="J23" s="379">
        <f t="shared" si="12"/>
        <v>1547707.8117283424</v>
      </c>
      <c r="K23" s="379">
        <f t="shared" si="12"/>
        <v>1630674.5950093316</v>
      </c>
      <c r="L23" s="379">
        <f t="shared" si="12"/>
        <v>1714799.7586711738</v>
      </c>
      <c r="M23" s="379">
        <f t="shared" si="12"/>
        <v>1800107.6513973067</v>
      </c>
      <c r="N23" s="379">
        <f t="shared" si="12"/>
        <v>1886623.1329484272</v>
      </c>
      <c r="O23" s="379">
        <f t="shared" si="12"/>
        <v>1974371.5848759406</v>
      </c>
      <c r="P23" s="379">
        <f t="shared" si="12"/>
        <v>2063378.9214597289</v>
      </c>
      <c r="Q23" s="379">
        <f t="shared" si="12"/>
        <v>2153671.600874912</v>
      </c>
      <c r="R23" s="379">
        <f t="shared" si="12"/>
        <v>2245276.6365924003</v>
      </c>
      <c r="S23" s="379">
        <f t="shared" si="12"/>
        <v>2338221.6090181144</v>
      </c>
      <c r="T23" s="379">
        <f t="shared" si="12"/>
        <v>2432534.6773758912</v>
      </c>
      <c r="U23" s="379">
        <f t="shared" si="12"/>
        <v>2528244.591839138</v>
      </c>
      <c r="V23" s="379">
        <f t="shared" si="12"/>
        <v>2625380.7059164606</v>
      </c>
      <c r="W23" s="380">
        <f t="shared" si="12"/>
        <v>35544295.346167803</v>
      </c>
    </row>
    <row r="24" spans="1:23" ht="15.75">
      <c r="A24" s="368" t="s">
        <v>168</v>
      </c>
      <c r="B24" s="386">
        <f>0</f>
        <v>0</v>
      </c>
      <c r="C24" s="371">
        <f>C23+B24</f>
        <v>997432.2661194352</v>
      </c>
      <c r="D24" s="371">
        <f>D23+C24</f>
        <v>2070363.6358680953</v>
      </c>
      <c r="E24" s="371">
        <f t="shared" ref="E24:U24" si="13">E23+D24</f>
        <v>3219795.5041003376</v>
      </c>
      <c r="F24" s="371">
        <f t="shared" si="13"/>
        <v>4446750.3188896831</v>
      </c>
      <c r="G24" s="371">
        <f t="shared" si="13"/>
        <v>5752272.0235181395</v>
      </c>
      <c r="H24" s="371">
        <f t="shared" si="13"/>
        <v>7137426.5077323541</v>
      </c>
      <c r="I24" s="371">
        <f t="shared" si="13"/>
        <v>8603302.0684606377</v>
      </c>
      <c r="J24" s="371">
        <f t="shared" si="13"/>
        <v>10151009.880188979</v>
      </c>
      <c r="K24" s="371">
        <f t="shared" si="13"/>
        <v>11781684.47519831</v>
      </c>
      <c r="L24" s="371">
        <f t="shared" si="13"/>
        <v>13496484.233869484</v>
      </c>
      <c r="M24" s="371">
        <f t="shared" si="13"/>
        <v>15296591.88526679</v>
      </c>
      <c r="N24" s="371">
        <f t="shared" si="13"/>
        <v>17183215.018215217</v>
      </c>
      <c r="O24" s="371">
        <f t="shared" si="13"/>
        <v>19157586.603091158</v>
      </c>
      <c r="P24" s="371">
        <f t="shared" si="13"/>
        <v>21220965.524550885</v>
      </c>
      <c r="Q24" s="371">
        <f t="shared" si="13"/>
        <v>23374637.125425797</v>
      </c>
      <c r="R24" s="371">
        <f t="shared" si="13"/>
        <v>25619913.762018196</v>
      </c>
      <c r="S24" s="371">
        <f t="shared" si="13"/>
        <v>27958135.37103631</v>
      </c>
      <c r="T24" s="371">
        <f t="shared" si="13"/>
        <v>30390670.0484122</v>
      </c>
      <c r="U24" s="371">
        <f t="shared" si="13"/>
        <v>32918914.640251338</v>
      </c>
      <c r="V24" s="371">
        <f>V23+U24</f>
        <v>35544295.346167803</v>
      </c>
      <c r="W24" s="372">
        <f>SUM(C24:V24)</f>
        <v>316321446.23838115</v>
      </c>
    </row>
    <row r="25" spans="1:23" ht="15.75">
      <c r="A25" s="388" t="s">
        <v>52</v>
      </c>
      <c r="B25" s="389">
        <f>0</f>
        <v>0</v>
      </c>
      <c r="C25" s="390">
        <f>C23/(1+$B$5)^C12</f>
        <v>977874.77070532856</v>
      </c>
      <c r="D25" s="390">
        <f>D23/(1+$B$5)^D12</f>
        <v>1031268.137013322</v>
      </c>
      <c r="E25" s="390">
        <f t="shared" ref="E25:V25" si="14">E23/(1+$B$5)^E12</f>
        <v>1083135.3214753775</v>
      </c>
      <c r="F25" s="390">
        <f t="shared" si="14"/>
        <v>1133516.5935843457</v>
      </c>
      <c r="G25" s="390">
        <f t="shared" si="14"/>
        <v>1182451.2307836644</v>
      </c>
      <c r="H25" s="390">
        <f t="shared" si="14"/>
        <v>1229977.5418890982</v>
      </c>
      <c r="I25" s="390">
        <f t="shared" si="14"/>
        <v>1276132.8899733853</v>
      </c>
      <c r="J25" s="390">
        <f t="shared" si="14"/>
        <v>1320953.7147258583</v>
      </c>
      <c r="K25" s="390">
        <f t="shared" si="14"/>
        <v>1364475.5542988228</v>
      </c>
      <c r="L25" s="390">
        <f t="shared" si="14"/>
        <v>1406733.0666522239</v>
      </c>
      <c r="M25" s="390">
        <f t="shared" si="14"/>
        <v>1447760.0504078818</v>
      </c>
      <c r="N25" s="390">
        <f t="shared" si="14"/>
        <v>1487589.4652243189</v>
      </c>
      <c r="O25" s="390">
        <f t="shared" si="14"/>
        <v>1526253.4517029591</v>
      </c>
      <c r="P25" s="390">
        <f t="shared" si="14"/>
        <v>1563783.3508362502</v>
      </c>
      <c r="Q25" s="390">
        <f t="shared" si="14"/>
        <v>1600209.7230080147</v>
      </c>
      <c r="R25" s="390">
        <f t="shared" si="14"/>
        <v>1635562.3665561106</v>
      </c>
      <c r="S25" s="390">
        <f t="shared" si="14"/>
        <v>1669870.3359072616</v>
      </c>
      <c r="T25" s="390">
        <f t="shared" si="14"/>
        <v>1703161.9592937082</v>
      </c>
      <c r="U25" s="390">
        <f t="shared" si="14"/>
        <v>1735464.8560610865</v>
      </c>
      <c r="V25" s="390">
        <f t="shared" si="14"/>
        <v>1766805.9535767741</v>
      </c>
      <c r="W25" s="372">
        <f>SUM(C25:V25)</f>
        <v>28142980.333675794</v>
      </c>
    </row>
    <row r="26" spans="1:23" ht="15.75">
      <c r="A26" s="23"/>
      <c r="B26" s="9"/>
      <c r="C26" s="9"/>
      <c r="D26" s="9"/>
      <c r="E26" s="9"/>
      <c r="F26" s="9"/>
      <c r="G26" s="9"/>
      <c r="H26" s="9"/>
      <c r="I26" s="9"/>
      <c r="J26" s="9"/>
      <c r="K26" s="9"/>
      <c r="L26" s="9"/>
      <c r="M26" s="9"/>
      <c r="N26" s="9"/>
      <c r="O26" s="9"/>
    </row>
    <row r="27" spans="1:23" ht="18">
      <c r="A27" s="391" t="s">
        <v>169</v>
      </c>
      <c r="B27" s="392">
        <f>W22</f>
        <v>1870752.3866404109</v>
      </c>
      <c r="C27" s="9"/>
      <c r="D27" s="9"/>
      <c r="E27" s="9"/>
      <c r="F27" s="9"/>
      <c r="G27" s="9"/>
      <c r="H27" s="9"/>
      <c r="I27" s="9"/>
      <c r="J27" s="9"/>
      <c r="K27" s="9"/>
      <c r="L27" s="9"/>
      <c r="M27" s="9"/>
      <c r="N27" s="9"/>
      <c r="O27" s="9"/>
    </row>
    <row r="28" spans="1:23" ht="18" customHeight="1">
      <c r="A28" s="391" t="s">
        <v>210</v>
      </c>
      <c r="B28" s="392">
        <f>H61</f>
        <v>1633999.9999999995</v>
      </c>
      <c r="C28" s="9"/>
      <c r="D28" s="393"/>
      <c r="E28" s="9"/>
      <c r="F28" s="9"/>
      <c r="G28" s="9"/>
      <c r="H28" s="9"/>
      <c r="I28" s="9"/>
      <c r="J28" s="9"/>
      <c r="K28" s="9"/>
      <c r="L28" s="9"/>
      <c r="M28" s="9"/>
      <c r="N28" s="9"/>
      <c r="O28" s="9"/>
    </row>
    <row r="29" spans="1:23" ht="18" customHeight="1">
      <c r="A29" s="391" t="s">
        <v>211</v>
      </c>
      <c r="B29" s="392">
        <f>W21</f>
        <v>6477507.5258675795</v>
      </c>
      <c r="C29" s="9"/>
      <c r="D29" s="9"/>
      <c r="E29" s="9"/>
      <c r="F29" s="9"/>
      <c r="G29" s="9"/>
      <c r="H29" s="9"/>
      <c r="I29" s="9"/>
      <c r="J29" s="9"/>
      <c r="K29" s="9"/>
      <c r="L29" s="9"/>
      <c r="M29" s="9"/>
      <c r="N29" s="9"/>
      <c r="O29" s="9"/>
      <c r="W29" s="394"/>
    </row>
    <row r="30" spans="1:23" ht="18" customHeight="1" thickBot="1">
      <c r="A30" s="395" t="s">
        <v>170</v>
      </c>
      <c r="B30" s="396">
        <f>B29/B28</f>
        <v>3.9642028922078221</v>
      </c>
      <c r="C30" s="397"/>
      <c r="D30" s="398"/>
      <c r="E30" s="399"/>
      <c r="F30" s="399"/>
      <c r="G30" s="9"/>
      <c r="H30" s="116"/>
      <c r="I30" s="9"/>
      <c r="J30" s="9"/>
      <c r="K30" s="9"/>
      <c r="L30" s="9"/>
      <c r="M30" s="9"/>
      <c r="N30" s="9"/>
      <c r="O30" s="9"/>
    </row>
    <row r="31" spans="1:23" ht="18" customHeight="1">
      <c r="A31" s="391" t="s">
        <v>171</v>
      </c>
      <c r="B31" s="400">
        <f>$C$12*((W21/H61)^(1/($C$12*$V$12))-1)</f>
        <v>7.1291832072251093E-2</v>
      </c>
      <c r="C31" s="9"/>
      <c r="D31" s="780" t="str">
        <f>IF(B32&gt;0, "This investment is profitable", "This investment is NOT profitable")</f>
        <v>This investment is profitable</v>
      </c>
      <c r="E31" s="781"/>
      <c r="F31" s="781"/>
      <c r="G31" s="782"/>
      <c r="H31" s="9"/>
      <c r="I31" s="789" t="s">
        <v>50</v>
      </c>
      <c r="J31" s="790"/>
      <c r="K31" s="790"/>
      <c r="L31" s="791"/>
      <c r="M31" s="9"/>
      <c r="N31" s="9"/>
      <c r="O31" s="9"/>
      <c r="T31" s="401"/>
    </row>
    <row r="32" spans="1:23" ht="18" customHeight="1" thickBot="1">
      <c r="A32" s="402" t="s">
        <v>51</v>
      </c>
      <c r="B32" s="392">
        <f>W25</f>
        <v>28142980.333675794</v>
      </c>
      <c r="C32" s="403"/>
      <c r="D32" s="783"/>
      <c r="E32" s="784"/>
      <c r="F32" s="784"/>
      <c r="G32" s="785"/>
      <c r="H32" s="404"/>
      <c r="I32" s="792"/>
      <c r="J32" s="793"/>
      <c r="K32" s="793"/>
      <c r="L32" s="794"/>
      <c r="M32" s="20"/>
      <c r="N32" s="20"/>
      <c r="O32" s="20"/>
      <c r="P32" s="19"/>
      <c r="Q32" s="19"/>
      <c r="R32" s="19"/>
      <c r="S32" s="15"/>
      <c r="T32" s="15"/>
    </row>
    <row r="33" spans="1:23" ht="18" customHeight="1" thickBot="1">
      <c r="A33" s="405" t="s">
        <v>49</v>
      </c>
      <c r="B33" s="406">
        <f>A102</f>
        <v>0.14536140025004762</v>
      </c>
      <c r="C33" s="407" t="s">
        <v>145</v>
      </c>
      <c r="D33" s="786"/>
      <c r="E33" s="787"/>
      <c r="F33" s="787"/>
      <c r="G33" s="788"/>
      <c r="H33" s="9"/>
      <c r="I33" s="795" t="s">
        <v>48</v>
      </c>
      <c r="J33" s="796"/>
      <c r="K33" s="355">
        <f>IF(G57=0, "NO LOAN",H58)</f>
        <v>20</v>
      </c>
      <c r="L33" s="146" t="s">
        <v>25</v>
      </c>
      <c r="M33" s="18"/>
      <c r="N33" s="17"/>
      <c r="O33" s="17"/>
      <c r="P33" s="16"/>
      <c r="Q33" s="16"/>
      <c r="R33" s="16"/>
    </row>
    <row r="34" spans="1:23" ht="57.75" customHeight="1" thickBot="1">
      <c r="A34" s="408" t="s">
        <v>172</v>
      </c>
      <c r="B34" s="409">
        <f>COUNTIF(B24:L24, "&lt;=0")</f>
        <v>1</v>
      </c>
      <c r="C34" s="9"/>
      <c r="D34" s="792" t="s">
        <v>63</v>
      </c>
      <c r="E34" s="793"/>
      <c r="F34" s="793"/>
      <c r="G34" s="354">
        <f>IF(B34&gt;J94,B34,J94)</f>
        <v>6</v>
      </c>
      <c r="H34" s="9"/>
      <c r="I34" s="803" t="str">
        <f>IF(K33="NO LOAN", "The project M23is paid back in or after", "However, the investor will be able to pay back the bank after")</f>
        <v>However, the investor will be able to pay back the bank after</v>
      </c>
      <c r="J34" s="804"/>
      <c r="K34" s="144" t="s">
        <v>47</v>
      </c>
      <c r="L34" s="145">
        <f>B11+G34</f>
        <v>2028</v>
      </c>
      <c r="M34" s="18"/>
      <c r="N34" s="17"/>
      <c r="O34" s="17"/>
      <c r="P34" s="16"/>
      <c r="Q34" s="16"/>
      <c r="R34" s="16"/>
    </row>
    <row r="35" spans="1:23" ht="19.5" thickBot="1">
      <c r="A35" s="9"/>
      <c r="B35" s="9"/>
      <c r="C35" s="9"/>
      <c r="D35" s="9"/>
      <c r="E35" s="9"/>
      <c r="F35" s="9"/>
      <c r="G35" s="9"/>
      <c r="H35" s="9"/>
      <c r="I35" s="9"/>
      <c r="J35" s="9"/>
      <c r="K35" s="9"/>
      <c r="L35" s="9"/>
      <c r="M35" s="805" t="str">
        <f>CONCATENATE("Financier Interest &amp; Principle : ", (G57*100),"%")</f>
        <v>Financier Interest &amp; Principle : 90%</v>
      </c>
      <c r="N35" s="806"/>
      <c r="O35" s="806"/>
      <c r="P35" s="806"/>
      <c r="Q35" s="806"/>
      <c r="R35" s="807" t="str">
        <f>CONCATENATE("Investor Fixed Returns: ",(G60*100),"%")</f>
        <v>Investor Fixed Returns: 10%</v>
      </c>
      <c r="S35" s="807"/>
      <c r="T35" s="807"/>
    </row>
    <row r="36" spans="1:23" ht="30" customHeight="1">
      <c r="A36" s="808" t="s">
        <v>77</v>
      </c>
      <c r="B36" s="809"/>
      <c r="C36" s="809"/>
      <c r="D36" s="809"/>
      <c r="E36" s="809"/>
      <c r="F36" s="809"/>
      <c r="G36" s="809"/>
      <c r="H36" s="809"/>
      <c r="I36" s="810"/>
      <c r="J36" s="9"/>
      <c r="K36" s="34"/>
      <c r="L36" s="811" t="s">
        <v>46</v>
      </c>
      <c r="M36" s="797" t="s">
        <v>45</v>
      </c>
      <c r="N36" s="797" t="s">
        <v>44</v>
      </c>
      <c r="O36" s="797" t="s">
        <v>44</v>
      </c>
      <c r="P36" s="797" t="s">
        <v>43</v>
      </c>
      <c r="Q36" s="797" t="s">
        <v>173</v>
      </c>
      <c r="R36" s="797" t="s">
        <v>44</v>
      </c>
      <c r="S36" s="797" t="s">
        <v>174</v>
      </c>
      <c r="T36" s="797" t="s">
        <v>175</v>
      </c>
    </row>
    <row r="37" spans="1:23" ht="18.75" thickBot="1">
      <c r="A37" s="202"/>
      <c r="B37" s="42"/>
      <c r="C37" s="42"/>
      <c r="D37" s="42"/>
      <c r="E37" s="42"/>
      <c r="F37" s="42"/>
      <c r="G37" s="42"/>
      <c r="H37" s="42"/>
      <c r="I37" s="200"/>
      <c r="J37" s="9"/>
      <c r="K37" s="34"/>
      <c r="L37" s="812"/>
      <c r="M37" s="798"/>
      <c r="N37" s="798"/>
      <c r="O37" s="798"/>
      <c r="P37" s="798"/>
      <c r="Q37" s="798"/>
      <c r="R37" s="798"/>
      <c r="S37" s="798"/>
      <c r="T37" s="798"/>
    </row>
    <row r="38" spans="1:23" s="63" customFormat="1" ht="24" customHeight="1" thickBot="1">
      <c r="A38" s="168" t="s">
        <v>176</v>
      </c>
      <c r="B38" s="205" t="s">
        <v>204</v>
      </c>
      <c r="C38" s="410">
        <f>B42+B47+B51+B55+B59+B62+B65+B68+B71+B74+B78+B80</f>
        <v>7054275.8499999959</v>
      </c>
      <c r="D38" s="59"/>
      <c r="E38" s="411" t="s">
        <v>42</v>
      </c>
      <c r="F38" s="412"/>
      <c r="G38" s="413" t="s">
        <v>41</v>
      </c>
      <c r="H38" s="414">
        <f>H39+H43+H48+H49+H52+H53+H54+H55</f>
        <v>4417088.4042462707</v>
      </c>
      <c r="I38" s="415" t="s">
        <v>204</v>
      </c>
      <c r="J38" s="60"/>
      <c r="K38" s="61" t="s">
        <v>40</v>
      </c>
      <c r="L38" s="62">
        <v>1</v>
      </c>
      <c r="M38" s="416">
        <f t="shared" ref="M38:M57" si="15">IF($L38&lt;=$H$58, P38, 0)</f>
        <v>1323540</v>
      </c>
      <c r="N38" s="417">
        <f>IF($O38&gt;0, O38, 0)</f>
        <v>588240</v>
      </c>
      <c r="O38" s="417">
        <f>$H$57*$H$56/100</f>
        <v>588240</v>
      </c>
      <c r="P38" s="417">
        <f>$H$57*$H$56/100+$H$57/$H$58</f>
        <v>1323540</v>
      </c>
      <c r="Q38" s="418">
        <f>M38-N38</f>
        <v>735300</v>
      </c>
      <c r="R38" s="419">
        <f>$H$61*$H$56/100</f>
        <v>65359.999999999978</v>
      </c>
      <c r="S38" s="419">
        <f>$H$61*$H$56/100+$H$61/$H$62</f>
        <v>147059.99999999994</v>
      </c>
      <c r="T38" s="419">
        <f>S38-R38</f>
        <v>81699.999999999971</v>
      </c>
      <c r="U38" s="420"/>
      <c r="V38" s="421"/>
      <c r="W38" s="421"/>
    </row>
    <row r="39" spans="1:23" ht="15.75">
      <c r="A39" s="169" t="s">
        <v>124</v>
      </c>
      <c r="B39" s="212"/>
      <c r="C39" s="170"/>
      <c r="D39" s="40"/>
      <c r="E39" s="422" t="s">
        <v>232</v>
      </c>
      <c r="F39" s="52"/>
      <c r="G39" s="52"/>
      <c r="H39" s="516">
        <f>'Model inputs '!E49</f>
        <v>1675768.4042462707</v>
      </c>
      <c r="I39" s="423" t="s">
        <v>204</v>
      </c>
      <c r="J39" s="424"/>
      <c r="K39" s="34"/>
      <c r="L39" s="34">
        <v>2</v>
      </c>
      <c r="M39" s="425">
        <f t="shared" si="15"/>
        <v>1294128</v>
      </c>
      <c r="N39" s="426">
        <f t="shared" ref="N39:N57" si="16">IF($O39&gt;0, O39, 0)</f>
        <v>558828</v>
      </c>
      <c r="O39" s="426">
        <f t="shared" ref="O39:O57" si="17">($H$57-(($H$57/$H$58)*L38))*$H$56%</f>
        <v>558828</v>
      </c>
      <c r="P39" s="426">
        <f t="shared" ref="P39:P57" si="18">($H$57-(($H$57/$H$58)*L38))*$H$56%+($H$57/$H$58)</f>
        <v>1294128</v>
      </c>
      <c r="Q39" s="418">
        <f>M39-N39</f>
        <v>735300</v>
      </c>
      <c r="R39" s="419">
        <f t="shared" ref="R39:R57" si="19">(($H$61-(($H$61/$H$62)*L38))*$H$56)/100</f>
        <v>62091.999999999978</v>
      </c>
      <c r="S39" s="427">
        <f t="shared" ref="S39:S57" si="20">($H$61-(($H$61/$H$62)*L38))*$H$56%+($H$61/$H$62)</f>
        <v>143791.99999999994</v>
      </c>
      <c r="T39" s="419">
        <f t="shared" ref="T39:T57" si="21">S39-R39</f>
        <v>81699.999999999971</v>
      </c>
      <c r="U39" s="428"/>
      <c r="V39" s="421"/>
      <c r="W39" s="421"/>
    </row>
    <row r="40" spans="1:23" ht="15.75">
      <c r="A40" s="215" t="s">
        <v>203</v>
      </c>
      <c r="B40" s="78">
        <f>'Model inputs '!A28</f>
        <v>34000000</v>
      </c>
      <c r="C40" s="170" t="s">
        <v>18</v>
      </c>
      <c r="D40" s="40"/>
      <c r="E40" s="422"/>
      <c r="F40" s="430"/>
      <c r="G40" s="52"/>
      <c r="H40" s="517"/>
      <c r="I40" s="423"/>
      <c r="J40" s="14"/>
      <c r="K40" s="34"/>
      <c r="L40" s="34">
        <v>3</v>
      </c>
      <c r="M40" s="425">
        <f t="shared" si="15"/>
        <v>1264716</v>
      </c>
      <c r="N40" s="426">
        <f>IF($O40&gt;0, O40, 0)</f>
        <v>529416</v>
      </c>
      <c r="O40" s="426">
        <f t="shared" si="17"/>
        <v>529416</v>
      </c>
      <c r="P40" s="426">
        <f t="shared" si="18"/>
        <v>1264716</v>
      </c>
      <c r="Q40" s="418">
        <f>M40-N40</f>
        <v>735300</v>
      </c>
      <c r="R40" s="419">
        <f t="shared" si="19"/>
        <v>58823.999999999978</v>
      </c>
      <c r="S40" s="427">
        <f t="shared" si="20"/>
        <v>140523.99999999994</v>
      </c>
      <c r="T40" s="419">
        <f t="shared" si="21"/>
        <v>81699.999999999971</v>
      </c>
      <c r="U40" s="428"/>
      <c r="V40" s="421"/>
      <c r="W40" s="421"/>
    </row>
    <row r="41" spans="1:23" ht="15.75">
      <c r="A41" s="171" t="s">
        <v>205</v>
      </c>
      <c r="B41" s="212">
        <v>8.9999999999999893</v>
      </c>
      <c r="C41" s="170" t="s">
        <v>125</v>
      </c>
      <c r="D41" s="40"/>
      <c r="E41" s="431" t="s">
        <v>78</v>
      </c>
      <c r="F41" s="53"/>
      <c r="G41" s="54"/>
      <c r="H41" s="432">
        <f>'Model inputs '!G15</f>
        <v>24966000</v>
      </c>
      <c r="I41" s="197" t="s">
        <v>65</v>
      </c>
      <c r="J41" s="13"/>
      <c r="K41" s="34"/>
      <c r="L41" s="34">
        <v>4</v>
      </c>
      <c r="M41" s="425">
        <f t="shared" si="15"/>
        <v>1235304</v>
      </c>
      <c r="N41" s="426">
        <f t="shared" si="16"/>
        <v>500004</v>
      </c>
      <c r="O41" s="426">
        <f t="shared" si="17"/>
        <v>500004</v>
      </c>
      <c r="P41" s="426">
        <f t="shared" si="18"/>
        <v>1235304</v>
      </c>
      <c r="Q41" s="418">
        <f>M41-N41</f>
        <v>735300</v>
      </c>
      <c r="R41" s="419">
        <f t="shared" si="19"/>
        <v>55555.999999999978</v>
      </c>
      <c r="S41" s="427">
        <f t="shared" si="20"/>
        <v>137255.99999999994</v>
      </c>
      <c r="T41" s="419">
        <f t="shared" si="21"/>
        <v>81699.999999999971</v>
      </c>
      <c r="U41" s="428"/>
      <c r="V41" s="421"/>
      <c r="W41" s="421"/>
    </row>
    <row r="42" spans="1:23" ht="15.75">
      <c r="A42" s="172" t="s">
        <v>103</v>
      </c>
      <c r="B42" s="213">
        <f>B40*B41/100</f>
        <v>3059999.9999999963</v>
      </c>
      <c r="C42" s="173" t="s">
        <v>204</v>
      </c>
      <c r="D42" s="40"/>
      <c r="E42" s="433" t="s">
        <v>128</v>
      </c>
      <c r="F42" s="52"/>
      <c r="G42" s="52"/>
      <c r="H42" s="216">
        <v>2</v>
      </c>
      <c r="I42" s="197"/>
      <c r="J42" s="11"/>
      <c r="K42" s="34"/>
      <c r="L42" s="34">
        <v>5</v>
      </c>
      <c r="M42" s="425">
        <f t="shared" si="15"/>
        <v>1205892</v>
      </c>
      <c r="N42" s="426">
        <f>IF($O42&gt;0, O42, 0)</f>
        <v>470592</v>
      </c>
      <c r="O42" s="426">
        <f t="shared" si="17"/>
        <v>470592</v>
      </c>
      <c r="P42" s="426">
        <f t="shared" si="18"/>
        <v>1205892</v>
      </c>
      <c r="Q42" s="418">
        <f t="shared" ref="Q42:Q56" si="22">M42-N42</f>
        <v>735300</v>
      </c>
      <c r="R42" s="419">
        <f t="shared" si="19"/>
        <v>52287.999999999978</v>
      </c>
      <c r="S42" s="427">
        <f t="shared" si="20"/>
        <v>133987.99999999994</v>
      </c>
      <c r="T42" s="419">
        <f t="shared" si="21"/>
        <v>81699.999999999971</v>
      </c>
      <c r="U42" s="434"/>
      <c r="V42" s="421"/>
      <c r="W42" s="421"/>
    </row>
    <row r="43" spans="1:23" ht="15.75">
      <c r="A43" s="169" t="s">
        <v>39</v>
      </c>
      <c r="B43" s="77"/>
      <c r="C43" s="170"/>
      <c r="D43" s="40"/>
      <c r="E43" s="435" t="s">
        <v>79</v>
      </c>
      <c r="F43" s="52"/>
      <c r="G43" s="55"/>
      <c r="H43" s="207">
        <f>H41*H42/100</f>
        <v>499320</v>
      </c>
      <c r="I43" s="198" t="s">
        <v>204</v>
      </c>
      <c r="J43" s="11"/>
      <c r="K43" s="34"/>
      <c r="L43" s="34">
        <v>6</v>
      </c>
      <c r="M43" s="425">
        <f t="shared" si="15"/>
        <v>1176480</v>
      </c>
      <c r="N43" s="426">
        <f t="shared" si="16"/>
        <v>441180</v>
      </c>
      <c r="O43" s="426">
        <f t="shared" si="17"/>
        <v>441180</v>
      </c>
      <c r="P43" s="426">
        <f t="shared" si="18"/>
        <v>1176480</v>
      </c>
      <c r="Q43" s="418">
        <f t="shared" si="22"/>
        <v>735300</v>
      </c>
      <c r="R43" s="419">
        <f t="shared" si="19"/>
        <v>49019.999999999978</v>
      </c>
      <c r="S43" s="427">
        <f t="shared" si="20"/>
        <v>130719.99999999996</v>
      </c>
      <c r="T43" s="419">
        <f t="shared" si="21"/>
        <v>81699.999999999971</v>
      </c>
      <c r="U43" s="434"/>
      <c r="V43" s="421"/>
      <c r="W43" s="421"/>
    </row>
    <row r="44" spans="1:23" ht="15.75">
      <c r="A44" s="174" t="s">
        <v>36</v>
      </c>
      <c r="B44" s="79"/>
      <c r="C44" s="175"/>
      <c r="D44" s="40"/>
      <c r="E44" s="436" t="s">
        <v>177</v>
      </c>
      <c r="F44" s="437"/>
      <c r="G44" s="438"/>
      <c r="H44" s="217">
        <v>20</v>
      </c>
      <c r="I44" s="198" t="s">
        <v>212</v>
      </c>
      <c r="J44" s="11"/>
      <c r="K44" s="34"/>
      <c r="L44" s="34">
        <v>7</v>
      </c>
      <c r="M44" s="425">
        <f t="shared" si="15"/>
        <v>1147068</v>
      </c>
      <c r="N44" s="426">
        <f t="shared" si="16"/>
        <v>411768</v>
      </c>
      <c r="O44" s="426">
        <f t="shared" si="17"/>
        <v>411768</v>
      </c>
      <c r="P44" s="426">
        <f t="shared" si="18"/>
        <v>1147068</v>
      </c>
      <c r="Q44" s="418">
        <f t="shared" si="22"/>
        <v>735300</v>
      </c>
      <c r="R44" s="419">
        <f t="shared" si="19"/>
        <v>45751.999999999993</v>
      </c>
      <c r="S44" s="427">
        <f t="shared" si="20"/>
        <v>127451.99999999997</v>
      </c>
      <c r="T44" s="419">
        <f t="shared" si="21"/>
        <v>81699.999999999971</v>
      </c>
      <c r="U44" s="428"/>
      <c r="V44" s="421"/>
      <c r="W44" s="421"/>
    </row>
    <row r="45" spans="1:23" ht="15.75">
      <c r="A45" s="176" t="s">
        <v>178</v>
      </c>
      <c r="B45" s="80">
        <f>'Model inputs '!E23</f>
        <v>23468040</v>
      </c>
      <c r="C45" s="175" t="s">
        <v>18</v>
      </c>
      <c r="D45" s="40"/>
      <c r="E45" s="439" t="s">
        <v>68</v>
      </c>
      <c r="F45" s="437"/>
      <c r="G45" s="438"/>
      <c r="H45" s="56">
        <v>15</v>
      </c>
      <c r="I45" s="198"/>
      <c r="J45" s="11"/>
      <c r="K45" s="34"/>
      <c r="L45" s="34">
        <v>8</v>
      </c>
      <c r="M45" s="425">
        <f t="shared" si="15"/>
        <v>1117656</v>
      </c>
      <c r="N45" s="426">
        <f t="shared" si="16"/>
        <v>382356</v>
      </c>
      <c r="O45" s="426">
        <f t="shared" si="17"/>
        <v>382356</v>
      </c>
      <c r="P45" s="426">
        <f t="shared" si="18"/>
        <v>1117656</v>
      </c>
      <c r="Q45" s="418">
        <f>M45-N45</f>
        <v>735300</v>
      </c>
      <c r="R45" s="419">
        <f t="shared" si="19"/>
        <v>42483.999999999993</v>
      </c>
      <c r="S45" s="427">
        <f t="shared" si="20"/>
        <v>124183.99999999997</v>
      </c>
      <c r="T45" s="419">
        <f t="shared" si="21"/>
        <v>81699.999999999971</v>
      </c>
      <c r="U45" s="428"/>
      <c r="V45" s="421"/>
      <c r="W45" s="421"/>
    </row>
    <row r="46" spans="1:23" ht="15.75">
      <c r="A46" s="176" t="s">
        <v>126</v>
      </c>
      <c r="B46" s="210">
        <v>14</v>
      </c>
      <c r="C46" s="175" t="s">
        <v>125</v>
      </c>
      <c r="D46" s="40"/>
      <c r="E46" s="433" t="s">
        <v>38</v>
      </c>
      <c r="F46" s="52"/>
      <c r="G46" s="55"/>
      <c r="H46" s="55">
        <v>10</v>
      </c>
      <c r="I46" s="198" t="s">
        <v>37</v>
      </c>
      <c r="J46" s="11"/>
      <c r="K46" s="45"/>
      <c r="L46" s="45">
        <v>9</v>
      </c>
      <c r="M46" s="425">
        <f t="shared" si="15"/>
        <v>1088244</v>
      </c>
      <c r="N46" s="426">
        <f t="shared" si="16"/>
        <v>352944</v>
      </c>
      <c r="O46" s="426">
        <f t="shared" si="17"/>
        <v>352944</v>
      </c>
      <c r="P46" s="426">
        <f t="shared" si="18"/>
        <v>1088244</v>
      </c>
      <c r="Q46" s="418">
        <f t="shared" si="22"/>
        <v>735300</v>
      </c>
      <c r="R46" s="419">
        <f t="shared" si="19"/>
        <v>39215.999999999993</v>
      </c>
      <c r="S46" s="427">
        <f t="shared" si="20"/>
        <v>120915.99999999997</v>
      </c>
      <c r="T46" s="419">
        <f t="shared" si="21"/>
        <v>81699.999999999971</v>
      </c>
      <c r="U46" s="428"/>
      <c r="V46" s="421"/>
      <c r="W46" s="421"/>
    </row>
    <row r="47" spans="1:23" s="12" customFormat="1" ht="15.75">
      <c r="A47" s="174" t="s">
        <v>32</v>
      </c>
      <c r="B47" s="204">
        <f>B45*B46/100</f>
        <v>3285525.6</v>
      </c>
      <c r="C47" s="175" t="s">
        <v>204</v>
      </c>
      <c r="D47" s="41"/>
      <c r="E47" s="433" t="s">
        <v>35</v>
      </c>
      <c r="F47" s="52"/>
      <c r="G47" s="55"/>
      <c r="H47" s="56">
        <v>300</v>
      </c>
      <c r="I47" s="198" t="s">
        <v>34</v>
      </c>
      <c r="J47" s="11"/>
      <c r="K47" s="45"/>
      <c r="L47" s="45">
        <v>10</v>
      </c>
      <c r="M47" s="425">
        <f t="shared" si="15"/>
        <v>1058832</v>
      </c>
      <c r="N47" s="426">
        <f t="shared" si="16"/>
        <v>323532</v>
      </c>
      <c r="O47" s="426">
        <f t="shared" si="17"/>
        <v>323532</v>
      </c>
      <c r="P47" s="426">
        <f t="shared" si="18"/>
        <v>1058832</v>
      </c>
      <c r="Q47" s="418">
        <f t="shared" si="22"/>
        <v>735300</v>
      </c>
      <c r="R47" s="419">
        <f t="shared" si="19"/>
        <v>35947.999999999993</v>
      </c>
      <c r="S47" s="427">
        <f t="shared" si="20"/>
        <v>117647.99999999997</v>
      </c>
      <c r="T47" s="419">
        <f t="shared" si="21"/>
        <v>81699.999999999971</v>
      </c>
      <c r="U47" s="440"/>
      <c r="V47" s="421"/>
      <c r="W47" s="421"/>
    </row>
    <row r="48" spans="1:23" s="12" customFormat="1" ht="15.75">
      <c r="A48" s="177" t="s">
        <v>31</v>
      </c>
      <c r="B48" s="81"/>
      <c r="C48" s="178"/>
      <c r="D48" s="441"/>
      <c r="E48" s="435" t="s">
        <v>33</v>
      </c>
      <c r="F48" s="52"/>
      <c r="G48" s="55"/>
      <c r="H48" s="207">
        <f>H44*H46*H47*H45</f>
        <v>900000</v>
      </c>
      <c r="I48" s="198" t="s">
        <v>204</v>
      </c>
      <c r="J48" s="630"/>
      <c r="K48" s="11"/>
      <c r="L48" s="34">
        <v>11</v>
      </c>
      <c r="M48" s="425">
        <f t="shared" si="15"/>
        <v>1029420</v>
      </c>
      <c r="N48" s="426">
        <f t="shared" si="16"/>
        <v>294120</v>
      </c>
      <c r="O48" s="426">
        <f t="shared" si="17"/>
        <v>294120</v>
      </c>
      <c r="P48" s="426">
        <f t="shared" si="18"/>
        <v>1029420</v>
      </c>
      <c r="Q48" s="418">
        <f t="shared" si="22"/>
        <v>735300</v>
      </c>
      <c r="R48" s="419">
        <f t="shared" si="19"/>
        <v>32679.999999999989</v>
      </c>
      <c r="S48" s="427">
        <f t="shared" si="20"/>
        <v>114379.99999999997</v>
      </c>
      <c r="T48" s="419">
        <f t="shared" si="21"/>
        <v>81699.999999999985</v>
      </c>
      <c r="U48" s="440"/>
      <c r="V48" s="421"/>
      <c r="W48" s="421"/>
    </row>
    <row r="49" spans="1:23" ht="15.75">
      <c r="A49" s="179" t="s">
        <v>76</v>
      </c>
      <c r="B49" s="118">
        <f>'Model inputs '!E26</f>
        <v>18350010</v>
      </c>
      <c r="C49" s="180" t="s">
        <v>18</v>
      </c>
      <c r="D49" s="40"/>
      <c r="E49" s="442" t="s">
        <v>233</v>
      </c>
      <c r="F49" s="103"/>
      <c r="G49" s="443">
        <v>0.05</v>
      </c>
      <c r="H49" s="633">
        <f>CAPEX!C15*G49</f>
        <v>1342000</v>
      </c>
      <c r="I49" s="199" t="s">
        <v>204</v>
      </c>
      <c r="J49" s="631"/>
      <c r="K49" s="632"/>
      <c r="L49" s="34">
        <v>12</v>
      </c>
      <c r="M49" s="425">
        <f t="shared" si="15"/>
        <v>1000008</v>
      </c>
      <c r="N49" s="426">
        <f t="shared" si="16"/>
        <v>264708</v>
      </c>
      <c r="O49" s="426">
        <f t="shared" si="17"/>
        <v>264708</v>
      </c>
      <c r="P49" s="426">
        <f t="shared" si="18"/>
        <v>1000008</v>
      </c>
      <c r="Q49" s="418">
        <f t="shared" si="22"/>
        <v>735300</v>
      </c>
      <c r="R49" s="419">
        <f t="shared" si="19"/>
        <v>29411.999999999996</v>
      </c>
      <c r="S49" s="427">
        <f t="shared" si="20"/>
        <v>111111.99999999997</v>
      </c>
      <c r="T49" s="419">
        <f t="shared" si="21"/>
        <v>81699.999999999971</v>
      </c>
      <c r="U49" s="428"/>
      <c r="V49" s="421"/>
      <c r="W49" s="421"/>
    </row>
    <row r="50" spans="1:23" ht="15.75">
      <c r="A50" s="179" t="s">
        <v>127</v>
      </c>
      <c r="B50" s="209">
        <v>2.5</v>
      </c>
      <c r="C50" s="180" t="s">
        <v>125</v>
      </c>
      <c r="D50" s="40"/>
      <c r="E50" s="628" t="s">
        <v>282</v>
      </c>
      <c r="F50" s="629"/>
      <c r="G50" s="629"/>
      <c r="H50" s="636">
        <f>H43+H48+H49</f>
        <v>2741320</v>
      </c>
      <c r="I50" s="199"/>
      <c r="J50" s="11"/>
      <c r="K50" s="46"/>
      <c r="L50" s="47">
        <v>13</v>
      </c>
      <c r="M50" s="425">
        <f t="shared" si="15"/>
        <v>970596</v>
      </c>
      <c r="N50" s="426">
        <f t="shared" si="16"/>
        <v>235296</v>
      </c>
      <c r="O50" s="426">
        <f t="shared" si="17"/>
        <v>235296</v>
      </c>
      <c r="P50" s="426">
        <f t="shared" si="18"/>
        <v>970596</v>
      </c>
      <c r="Q50" s="418">
        <f t="shared" si="22"/>
        <v>735300</v>
      </c>
      <c r="R50" s="419">
        <f t="shared" si="19"/>
        <v>26143.999999999996</v>
      </c>
      <c r="S50" s="427">
        <f t="shared" si="20"/>
        <v>107843.99999999997</v>
      </c>
      <c r="T50" s="419">
        <f t="shared" si="21"/>
        <v>81699.999999999971</v>
      </c>
      <c r="U50" s="428"/>
      <c r="V50" s="421"/>
      <c r="W50" s="421"/>
    </row>
    <row r="51" spans="1:23" ht="15.75">
      <c r="A51" s="177" t="s">
        <v>28</v>
      </c>
      <c r="B51" s="203">
        <f>B49*B50/100</f>
        <v>458750.25</v>
      </c>
      <c r="C51" s="180" t="s">
        <v>204</v>
      </c>
      <c r="D51" s="40"/>
      <c r="E51" s="444" t="s">
        <v>179</v>
      </c>
      <c r="F51" s="445"/>
      <c r="G51" s="446"/>
      <c r="H51" s="635">
        <v>0</v>
      </c>
      <c r="I51" s="447" t="s">
        <v>180</v>
      </c>
      <c r="J51" s="11"/>
      <c r="K51" s="34"/>
      <c r="L51" s="34">
        <v>14</v>
      </c>
      <c r="M51" s="425">
        <f t="shared" si="15"/>
        <v>941184</v>
      </c>
      <c r="N51" s="426">
        <f t="shared" si="16"/>
        <v>205884</v>
      </c>
      <c r="O51" s="426">
        <f t="shared" si="17"/>
        <v>205884</v>
      </c>
      <c r="P51" s="426">
        <f t="shared" si="18"/>
        <v>941184</v>
      </c>
      <c r="Q51" s="418">
        <f t="shared" si="22"/>
        <v>735300</v>
      </c>
      <c r="R51" s="419">
        <f t="shared" si="19"/>
        <v>22876</v>
      </c>
      <c r="S51" s="427">
        <f t="shared" si="20"/>
        <v>104575.99999999997</v>
      </c>
      <c r="T51" s="419">
        <f t="shared" si="21"/>
        <v>81699.999999999971</v>
      </c>
      <c r="U51" s="428"/>
      <c r="V51" s="421"/>
      <c r="W51" s="421"/>
    </row>
    <row r="52" spans="1:23" ht="15.75">
      <c r="A52" s="181" t="s">
        <v>69</v>
      </c>
      <c r="B52" s="82"/>
      <c r="C52" s="182"/>
      <c r="D52" s="448"/>
      <c r="E52" s="444"/>
      <c r="F52" s="445"/>
      <c r="G52" s="446"/>
      <c r="H52" s="634">
        <f>H51*75000</f>
        <v>0</v>
      </c>
      <c r="I52" s="447" t="s">
        <v>204</v>
      </c>
      <c r="J52" s="11"/>
      <c r="K52" s="34"/>
      <c r="L52" s="34">
        <v>15</v>
      </c>
      <c r="M52" s="425">
        <f t="shared" si="15"/>
        <v>911772</v>
      </c>
      <c r="N52" s="426">
        <f t="shared" si="16"/>
        <v>176472</v>
      </c>
      <c r="O52" s="426">
        <f t="shared" si="17"/>
        <v>176472</v>
      </c>
      <c r="P52" s="426">
        <f t="shared" si="18"/>
        <v>911772</v>
      </c>
      <c r="Q52" s="418">
        <f t="shared" si="22"/>
        <v>735300</v>
      </c>
      <c r="R52" s="419">
        <f t="shared" si="19"/>
        <v>19608</v>
      </c>
      <c r="S52" s="427">
        <f t="shared" si="20"/>
        <v>101307.99999999997</v>
      </c>
      <c r="T52" s="419">
        <f t="shared" si="21"/>
        <v>81699.999999999971</v>
      </c>
      <c r="U52" s="428"/>
      <c r="V52" s="421"/>
      <c r="W52" s="421"/>
    </row>
    <row r="53" spans="1:23" ht="15.75">
      <c r="A53" s="183" t="s">
        <v>182</v>
      </c>
      <c r="B53" s="83">
        <v>0</v>
      </c>
      <c r="C53" s="184" t="s">
        <v>19</v>
      </c>
      <c r="D53" s="40"/>
      <c r="E53" s="444" t="s">
        <v>209</v>
      </c>
      <c r="F53" s="445"/>
      <c r="G53" s="446"/>
      <c r="H53" s="207">
        <v>0</v>
      </c>
      <c r="I53" s="447"/>
      <c r="J53" s="11"/>
      <c r="K53" s="34"/>
      <c r="L53" s="34">
        <v>16</v>
      </c>
      <c r="M53" s="425">
        <f t="shared" si="15"/>
        <v>882360</v>
      </c>
      <c r="N53" s="426">
        <f t="shared" si="16"/>
        <v>147060</v>
      </c>
      <c r="O53" s="426">
        <f t="shared" si="17"/>
        <v>147060</v>
      </c>
      <c r="P53" s="426">
        <f t="shared" si="18"/>
        <v>882360</v>
      </c>
      <c r="Q53" s="418">
        <f t="shared" si="22"/>
        <v>735300</v>
      </c>
      <c r="R53" s="419">
        <f t="shared" si="19"/>
        <v>16340</v>
      </c>
      <c r="S53" s="427">
        <f t="shared" si="20"/>
        <v>98039.999999999971</v>
      </c>
      <c r="T53" s="419">
        <f t="shared" si="21"/>
        <v>81699.999999999971</v>
      </c>
      <c r="U53" s="428"/>
      <c r="V53" s="421"/>
      <c r="W53" s="421"/>
    </row>
    <row r="54" spans="1:23" ht="15.75">
      <c r="A54" s="183" t="s">
        <v>23</v>
      </c>
      <c r="B54" s="452">
        <v>0</v>
      </c>
      <c r="C54" s="184" t="s">
        <v>206</v>
      </c>
      <c r="D54" s="40"/>
      <c r="E54" s="444" t="s">
        <v>209</v>
      </c>
      <c r="F54" s="445"/>
      <c r="G54" s="446"/>
      <c r="H54" s="449">
        <v>0</v>
      </c>
      <c r="I54" s="447" t="s">
        <v>204</v>
      </c>
      <c r="K54" s="450"/>
      <c r="L54" s="34">
        <v>17</v>
      </c>
      <c r="M54" s="425">
        <f t="shared" si="15"/>
        <v>852948</v>
      </c>
      <c r="N54" s="426">
        <f t="shared" si="16"/>
        <v>117648</v>
      </c>
      <c r="O54" s="426">
        <f t="shared" si="17"/>
        <v>117648</v>
      </c>
      <c r="P54" s="426">
        <f t="shared" si="18"/>
        <v>852948</v>
      </c>
      <c r="Q54" s="418">
        <f t="shared" si="22"/>
        <v>735300</v>
      </c>
      <c r="R54" s="419">
        <f t="shared" si="19"/>
        <v>13072</v>
      </c>
      <c r="S54" s="427">
        <f t="shared" si="20"/>
        <v>94771.999999999971</v>
      </c>
      <c r="T54" s="419">
        <f t="shared" si="21"/>
        <v>81699.999999999971</v>
      </c>
      <c r="U54" s="428"/>
      <c r="V54" s="421"/>
      <c r="W54" s="421"/>
    </row>
    <row r="55" spans="1:23" ht="15.75" customHeight="1">
      <c r="A55" s="183" t="s">
        <v>229</v>
      </c>
      <c r="B55" s="469">
        <f>B53*B54</f>
        <v>0</v>
      </c>
      <c r="C55" s="184" t="s">
        <v>204</v>
      </c>
      <c r="D55" s="40"/>
      <c r="E55" s="451" t="s">
        <v>181</v>
      </c>
      <c r="F55" s="52"/>
      <c r="G55" s="55"/>
      <c r="H55" s="207">
        <v>0</v>
      </c>
      <c r="I55" s="198" t="s">
        <v>204</v>
      </c>
      <c r="J55" s="11"/>
      <c r="K55" s="9"/>
      <c r="L55" s="34">
        <v>18</v>
      </c>
      <c r="M55" s="425">
        <f t="shared" si="15"/>
        <v>823536</v>
      </c>
      <c r="N55" s="426">
        <f t="shared" si="16"/>
        <v>88236</v>
      </c>
      <c r="O55" s="426">
        <f t="shared" si="17"/>
        <v>88236</v>
      </c>
      <c r="P55" s="426">
        <f t="shared" si="18"/>
        <v>823536</v>
      </c>
      <c r="Q55" s="418">
        <f t="shared" si="22"/>
        <v>735300</v>
      </c>
      <c r="R55" s="419">
        <f t="shared" si="19"/>
        <v>9804</v>
      </c>
      <c r="S55" s="427">
        <f t="shared" si="20"/>
        <v>91503.999999999971</v>
      </c>
      <c r="T55" s="419">
        <f t="shared" si="21"/>
        <v>81699.999999999971</v>
      </c>
      <c r="U55" s="428"/>
      <c r="V55" s="421"/>
      <c r="W55" s="421"/>
    </row>
    <row r="56" spans="1:23" ht="15.75" customHeight="1">
      <c r="A56" s="185" t="s">
        <v>70</v>
      </c>
      <c r="B56" s="84"/>
      <c r="C56" s="186"/>
      <c r="D56" s="40"/>
      <c r="E56" s="451" t="s">
        <v>30</v>
      </c>
      <c r="F56" s="52"/>
      <c r="G56" s="52"/>
      <c r="H56" s="57">
        <v>4</v>
      </c>
      <c r="I56" s="198" t="s">
        <v>29</v>
      </c>
      <c r="J56" s="11"/>
      <c r="K56" s="9"/>
      <c r="L56" s="34">
        <v>19</v>
      </c>
      <c r="M56" s="425">
        <f t="shared" si="15"/>
        <v>794124</v>
      </c>
      <c r="N56" s="426">
        <f t="shared" si="16"/>
        <v>58824</v>
      </c>
      <c r="O56" s="426">
        <f t="shared" si="17"/>
        <v>58824</v>
      </c>
      <c r="P56" s="426">
        <f t="shared" si="18"/>
        <v>794124</v>
      </c>
      <c r="Q56" s="418">
        <f t="shared" si="22"/>
        <v>735300</v>
      </c>
      <c r="R56" s="419">
        <f t="shared" si="19"/>
        <v>6536</v>
      </c>
      <c r="S56" s="427">
        <f t="shared" si="20"/>
        <v>88235.999999999971</v>
      </c>
      <c r="T56" s="419">
        <f t="shared" si="21"/>
        <v>81699.999999999971</v>
      </c>
      <c r="U56" s="428"/>
      <c r="V56" s="421"/>
      <c r="W56" s="421"/>
    </row>
    <row r="57" spans="1:23" ht="15.75">
      <c r="A57" s="183" t="s">
        <v>22</v>
      </c>
      <c r="B57" s="84">
        <v>0</v>
      </c>
      <c r="C57" s="184" t="s">
        <v>19</v>
      </c>
      <c r="D57" s="40"/>
      <c r="E57" s="799" t="s">
        <v>27</v>
      </c>
      <c r="F57" s="800"/>
      <c r="G57" s="519">
        <v>0.9</v>
      </c>
      <c r="H57" s="206">
        <f>B6*G57</f>
        <v>14706000</v>
      </c>
      <c r="I57" s="198" t="s">
        <v>213</v>
      </c>
      <c r="J57" s="11"/>
      <c r="K57" s="9"/>
      <c r="L57" s="34">
        <v>20</v>
      </c>
      <c r="M57" s="425">
        <f t="shared" si="15"/>
        <v>764712</v>
      </c>
      <c r="N57" s="426">
        <f t="shared" si="16"/>
        <v>29412</v>
      </c>
      <c r="O57" s="426">
        <f t="shared" si="17"/>
        <v>29412</v>
      </c>
      <c r="P57" s="426">
        <f t="shared" si="18"/>
        <v>764712</v>
      </c>
      <c r="Q57" s="418">
        <f>M57-N57</f>
        <v>735300</v>
      </c>
      <c r="R57" s="419">
        <f t="shared" si="19"/>
        <v>3268</v>
      </c>
      <c r="S57" s="427">
        <f t="shared" si="20"/>
        <v>84967.999999999971</v>
      </c>
      <c r="T57" s="419">
        <f t="shared" si="21"/>
        <v>81699.999999999971</v>
      </c>
      <c r="U57" s="428"/>
      <c r="V57" s="421"/>
      <c r="W57" s="421"/>
    </row>
    <row r="58" spans="1:23" ht="18" customHeight="1">
      <c r="A58" s="183" t="s">
        <v>207</v>
      </c>
      <c r="B58" s="452">
        <v>0</v>
      </c>
      <c r="C58" s="184" t="s">
        <v>206</v>
      </c>
      <c r="D58" s="40"/>
      <c r="E58" s="433" t="s">
        <v>26</v>
      </c>
      <c r="F58" s="53"/>
      <c r="G58" s="52"/>
      <c r="H58" s="57">
        <v>20</v>
      </c>
      <c r="I58" s="198" t="s">
        <v>25</v>
      </c>
      <c r="J58" s="9"/>
      <c r="K58" s="9"/>
      <c r="L58" s="9"/>
      <c r="M58" s="9"/>
      <c r="N58" s="9"/>
      <c r="O58" s="9"/>
    </row>
    <row r="59" spans="1:23" ht="15.75">
      <c r="A59" s="183" t="s">
        <v>230</v>
      </c>
      <c r="B59" s="459">
        <f>B57*B58</f>
        <v>0</v>
      </c>
      <c r="C59" s="187" t="s">
        <v>204</v>
      </c>
      <c r="D59" s="40"/>
      <c r="E59" s="801" t="s">
        <v>24</v>
      </c>
      <c r="F59" s="802"/>
      <c r="G59" s="52"/>
      <c r="H59" s="66">
        <f>($M$59-H57)/H58</f>
        <v>308826</v>
      </c>
      <c r="I59" s="198" t="s">
        <v>204</v>
      </c>
      <c r="J59" s="9"/>
      <c r="K59" s="36" t="s">
        <v>75</v>
      </c>
      <c r="L59" s="36"/>
      <c r="M59" s="105">
        <f>SUM(M38:M57)</f>
        <v>20882520</v>
      </c>
      <c r="N59" s="105">
        <f>SUM(N38:N57)</f>
        <v>6176520</v>
      </c>
      <c r="O59" s="105"/>
      <c r="P59" s="105"/>
      <c r="Q59" s="105">
        <f>SUM(Q38:Q57)</f>
        <v>14706000</v>
      </c>
      <c r="R59" s="105">
        <f>SUM(R38:R57)</f>
        <v>686279.99999999988</v>
      </c>
      <c r="S59" s="105">
        <f>SUM(S38:S57)</f>
        <v>2320279.9999999995</v>
      </c>
      <c r="T59" s="105">
        <f>SUM(T38:T57)</f>
        <v>1633999.9999999998</v>
      </c>
      <c r="U59" s="453"/>
      <c r="V59" s="453"/>
      <c r="W59" s="454"/>
    </row>
    <row r="60" spans="1:23" ht="15.75">
      <c r="A60" s="461" t="s">
        <v>186</v>
      </c>
      <c r="B60" s="462">
        <v>0</v>
      </c>
      <c r="C60" s="463" t="s">
        <v>19</v>
      </c>
      <c r="D60" s="40"/>
      <c r="E60" s="455" t="s">
        <v>183</v>
      </c>
      <c r="F60" s="456"/>
      <c r="G60" s="520">
        <f>100%-G57</f>
        <v>9.9999999999999978E-2</v>
      </c>
      <c r="H60" s="457">
        <v>0.1</v>
      </c>
      <c r="I60" s="458" t="s">
        <v>29</v>
      </c>
      <c r="J60" s="9"/>
    </row>
    <row r="61" spans="1:23" ht="15.75">
      <c r="A61" s="467" t="s">
        <v>23</v>
      </c>
      <c r="B61" s="468">
        <v>0</v>
      </c>
      <c r="C61" s="463" t="s">
        <v>206</v>
      </c>
      <c r="D61" s="40"/>
      <c r="E61" s="799" t="s">
        <v>184</v>
      </c>
      <c r="F61" s="800"/>
      <c r="G61" s="58"/>
      <c r="H61" s="206">
        <f>B6*G60</f>
        <v>1633999.9999999995</v>
      </c>
      <c r="I61" s="198" t="s">
        <v>213</v>
      </c>
      <c r="J61" s="9"/>
      <c r="K61" s="9"/>
      <c r="L61" s="9"/>
      <c r="M61" s="9"/>
      <c r="N61" s="9"/>
      <c r="O61" s="9"/>
    </row>
    <row r="62" spans="1:23" ht="15.75">
      <c r="A62" s="467" t="s">
        <v>187</v>
      </c>
      <c r="B62" s="469">
        <v>0</v>
      </c>
      <c r="C62" s="463" t="s">
        <v>204</v>
      </c>
      <c r="D62" s="40"/>
      <c r="E62" s="801" t="s">
        <v>185</v>
      </c>
      <c r="F62" s="802"/>
      <c r="G62" s="52"/>
      <c r="H62" s="57">
        <f>H58</f>
        <v>20</v>
      </c>
      <c r="I62" s="198" t="s">
        <v>25</v>
      </c>
      <c r="J62" s="10"/>
      <c r="K62" s="9"/>
      <c r="L62" s="9"/>
      <c r="M62" s="9"/>
      <c r="N62" s="116"/>
      <c r="O62" s="9"/>
    </row>
    <row r="63" spans="1:23" ht="15.75">
      <c r="A63" s="461" t="s">
        <v>188</v>
      </c>
      <c r="B63" s="462">
        <v>0</v>
      </c>
      <c r="C63" s="463" t="s">
        <v>19</v>
      </c>
      <c r="D63" s="40"/>
      <c r="E63" s="813" t="s">
        <v>234</v>
      </c>
      <c r="F63" s="814"/>
      <c r="G63" s="460">
        <v>0.05</v>
      </c>
      <c r="H63" s="206">
        <f>W22</f>
        <v>1870752.3866404109</v>
      </c>
      <c r="I63" s="197" t="s">
        <v>214</v>
      </c>
      <c r="J63" s="10"/>
      <c r="K63" s="9"/>
      <c r="L63" s="9"/>
      <c r="M63" s="9"/>
      <c r="N63" s="116"/>
      <c r="O63" s="9"/>
    </row>
    <row r="64" spans="1:23" ht="15.75">
      <c r="A64" s="467" t="s">
        <v>23</v>
      </c>
      <c r="B64" s="468">
        <v>0</v>
      </c>
      <c r="C64" s="463" t="s">
        <v>206</v>
      </c>
      <c r="D64" s="40"/>
      <c r="E64" s="464"/>
      <c r="F64" s="465"/>
      <c r="G64" s="465"/>
      <c r="H64" s="465"/>
      <c r="I64" s="466"/>
      <c r="J64" s="10"/>
      <c r="K64" s="9"/>
      <c r="L64" s="9"/>
      <c r="M64" s="9"/>
      <c r="N64" s="116"/>
      <c r="O64" s="9"/>
    </row>
    <row r="65" spans="1:15" ht="15.75">
      <c r="A65" s="467" t="s">
        <v>189</v>
      </c>
      <c r="B65" s="469">
        <f>B63*B64</f>
        <v>0</v>
      </c>
      <c r="C65" s="463" t="s">
        <v>204</v>
      </c>
      <c r="D65" s="40"/>
      <c r="E65" s="464"/>
      <c r="F65" s="465"/>
      <c r="G65" s="465"/>
      <c r="H65" s="465"/>
      <c r="I65" s="466"/>
      <c r="J65" s="10"/>
      <c r="K65" s="9"/>
      <c r="L65" s="9"/>
      <c r="M65" s="9"/>
      <c r="N65" s="116"/>
      <c r="O65" s="9"/>
    </row>
    <row r="66" spans="1:15" ht="15.75">
      <c r="A66" s="461" t="s">
        <v>190</v>
      </c>
      <c r="B66" s="462">
        <v>0</v>
      </c>
      <c r="C66" s="463" t="s">
        <v>19</v>
      </c>
      <c r="D66" s="40"/>
      <c r="E66" s="464"/>
      <c r="F66" s="465"/>
      <c r="G66" s="465"/>
      <c r="H66" s="465"/>
      <c r="I66" s="466"/>
      <c r="J66" s="10"/>
      <c r="K66" s="9"/>
      <c r="L66" s="9"/>
      <c r="M66" s="9"/>
      <c r="N66" s="116"/>
      <c r="O66" s="9"/>
    </row>
    <row r="67" spans="1:15" ht="15.75">
      <c r="A67" s="467" t="s">
        <v>23</v>
      </c>
      <c r="B67" s="468">
        <v>0</v>
      </c>
      <c r="C67" s="463" t="s">
        <v>206</v>
      </c>
      <c r="D67" s="40"/>
      <c r="E67" s="464"/>
      <c r="F67" s="465"/>
      <c r="G67" s="465"/>
      <c r="H67" s="465"/>
      <c r="I67" s="466"/>
      <c r="J67" s="10"/>
      <c r="K67" s="9"/>
      <c r="L67" s="9"/>
      <c r="M67" s="9"/>
      <c r="N67" s="116"/>
      <c r="O67" s="9"/>
    </row>
    <row r="68" spans="1:15" ht="15.75">
      <c r="A68" s="467" t="s">
        <v>191</v>
      </c>
      <c r="B68" s="469">
        <f>B66*B67</f>
        <v>0</v>
      </c>
      <c r="C68" s="463" t="s">
        <v>204</v>
      </c>
      <c r="D68" s="40"/>
      <c r="E68" s="464"/>
      <c r="F68" s="465"/>
      <c r="G68" s="465"/>
      <c r="H68" s="465"/>
      <c r="I68" s="466"/>
      <c r="J68" s="10"/>
      <c r="K68" s="9"/>
      <c r="L68" s="9"/>
      <c r="M68" s="9"/>
      <c r="N68" s="116"/>
      <c r="O68" s="9"/>
    </row>
    <row r="69" spans="1:15" ht="15.75">
      <c r="A69" s="470" t="s">
        <v>192</v>
      </c>
      <c r="B69" s="471">
        <v>0</v>
      </c>
      <c r="C69" s="472" t="s">
        <v>19</v>
      </c>
      <c r="D69" s="40"/>
      <c r="E69" s="464"/>
      <c r="F69" s="465"/>
      <c r="G69" s="465"/>
      <c r="H69" s="465"/>
      <c r="I69" s="466"/>
      <c r="J69" s="10"/>
      <c r="K69" s="9"/>
      <c r="L69" s="9"/>
      <c r="M69" s="9"/>
      <c r="N69" s="116"/>
      <c r="O69" s="9"/>
    </row>
    <row r="70" spans="1:15" ht="15.75">
      <c r="A70" s="477" t="s">
        <v>231</v>
      </c>
      <c r="B70" s="478">
        <v>0</v>
      </c>
      <c r="C70" s="472" t="s">
        <v>206</v>
      </c>
      <c r="D70" s="40"/>
      <c r="E70" s="464"/>
      <c r="F70" s="465"/>
      <c r="G70" s="465"/>
      <c r="H70" s="465"/>
      <c r="I70" s="466"/>
      <c r="J70" s="10"/>
      <c r="K70" s="9"/>
      <c r="L70" s="9"/>
      <c r="M70" s="9"/>
      <c r="N70" s="116"/>
      <c r="O70" s="9"/>
    </row>
    <row r="71" spans="1:15" ht="15.75">
      <c r="A71" s="477" t="s">
        <v>193</v>
      </c>
      <c r="B71" s="429">
        <f>B69*B70</f>
        <v>0</v>
      </c>
      <c r="C71" s="472" t="s">
        <v>204</v>
      </c>
      <c r="D71" s="40"/>
      <c r="E71" s="464"/>
      <c r="F71" s="465"/>
      <c r="G71" s="465"/>
      <c r="H71" s="465"/>
      <c r="I71" s="466"/>
      <c r="J71" s="10"/>
      <c r="K71" s="9"/>
      <c r="L71" s="9"/>
      <c r="M71" s="9"/>
      <c r="N71" s="116"/>
      <c r="O71" s="9"/>
    </row>
    <row r="72" spans="1:15" ht="15.75">
      <c r="A72" s="188" t="s">
        <v>21</v>
      </c>
      <c r="B72" s="85">
        <v>0</v>
      </c>
      <c r="C72" s="189" t="s">
        <v>206</v>
      </c>
      <c r="D72" s="40"/>
      <c r="E72" s="464"/>
      <c r="F72" s="465"/>
      <c r="G72" s="465"/>
      <c r="H72" s="465"/>
      <c r="I72" s="466"/>
      <c r="J72" s="10"/>
      <c r="K72" s="9"/>
      <c r="L72" s="9"/>
      <c r="M72" s="9"/>
      <c r="N72" s="116"/>
      <c r="O72" s="9"/>
    </row>
    <row r="73" spans="1:15" ht="15" customHeight="1" thickBot="1">
      <c r="A73" s="190" t="s">
        <v>20</v>
      </c>
      <c r="B73" s="86"/>
      <c r="C73" s="189" t="s">
        <v>58</v>
      </c>
      <c r="D73" s="40"/>
      <c r="E73" s="473"/>
      <c r="F73" s="474"/>
      <c r="G73" s="475"/>
      <c r="H73" s="475"/>
      <c r="I73" s="476"/>
      <c r="J73" s="10"/>
      <c r="K73" s="9"/>
      <c r="L73" s="9"/>
      <c r="M73" s="9"/>
      <c r="N73" s="116"/>
      <c r="O73" s="9"/>
    </row>
    <row r="74" spans="1:15" ht="15.75">
      <c r="A74" s="191" t="s">
        <v>102</v>
      </c>
      <c r="B74" s="481">
        <v>0</v>
      </c>
      <c r="C74" s="189" t="s">
        <v>204</v>
      </c>
      <c r="D74" s="40"/>
      <c r="E74" s="479"/>
      <c r="F74" s="479"/>
      <c r="G74" s="479"/>
      <c r="H74" s="479"/>
      <c r="I74" s="480"/>
      <c r="J74" s="10"/>
      <c r="K74" s="9"/>
      <c r="L74" s="9"/>
      <c r="M74" s="9"/>
      <c r="N74" s="116"/>
      <c r="O74" s="9"/>
    </row>
    <row r="75" spans="1:15" ht="15.75">
      <c r="A75" s="192" t="s">
        <v>59</v>
      </c>
      <c r="B75" s="87"/>
      <c r="C75" s="193"/>
      <c r="D75" s="40"/>
      <c r="E75" s="479"/>
      <c r="F75" s="479"/>
      <c r="G75" s="479"/>
      <c r="H75" s="479"/>
      <c r="I75" s="480"/>
      <c r="J75" s="10"/>
      <c r="K75" s="9"/>
      <c r="L75" s="9"/>
      <c r="M75" s="9"/>
      <c r="N75" s="116"/>
      <c r="O75" s="9"/>
    </row>
    <row r="76" spans="1:15" ht="18">
      <c r="A76" s="194" t="s">
        <v>60</v>
      </c>
      <c r="B76" s="88">
        <f>'Model inputs '!E34</f>
        <v>13271706.630727762</v>
      </c>
      <c r="C76" s="195" t="s">
        <v>61</v>
      </c>
      <c r="D76" s="40"/>
      <c r="E76" s="42"/>
      <c r="F76" s="42"/>
      <c r="G76" s="42"/>
      <c r="H76" s="44"/>
      <c r="I76" s="201"/>
      <c r="J76" s="10"/>
      <c r="K76" s="9"/>
      <c r="L76" s="9"/>
      <c r="M76" s="9"/>
      <c r="N76" s="9"/>
      <c r="O76" s="9"/>
    </row>
    <row r="77" spans="1:15" ht="18">
      <c r="A77" s="194" t="s">
        <v>122</v>
      </c>
      <c r="B77" s="211">
        <v>0</v>
      </c>
      <c r="C77" s="195" t="s">
        <v>123</v>
      </c>
      <c r="D77" s="40"/>
      <c r="E77" s="42"/>
      <c r="F77" s="42"/>
      <c r="G77" s="42"/>
      <c r="H77" s="44"/>
      <c r="I77" s="201"/>
      <c r="J77" s="10"/>
      <c r="K77" s="9"/>
      <c r="L77" s="9"/>
      <c r="M77" s="9"/>
      <c r="N77" s="9"/>
      <c r="O77" s="9"/>
    </row>
    <row r="78" spans="1:15" ht="18">
      <c r="A78" s="483" t="s">
        <v>62</v>
      </c>
      <c r="B78" s="514">
        <f>B76*B77/100</f>
        <v>0</v>
      </c>
      <c r="C78" s="195" t="s">
        <v>204</v>
      </c>
      <c r="D78" s="40"/>
      <c r="E78" s="482"/>
      <c r="F78" s="42"/>
      <c r="G78" s="44"/>
      <c r="H78" s="44"/>
      <c r="I78" s="201"/>
      <c r="J78" s="10"/>
      <c r="K78" s="9"/>
      <c r="L78" s="9"/>
      <c r="M78" s="9"/>
      <c r="N78" s="9"/>
      <c r="O78" s="9"/>
    </row>
    <row r="79" spans="1:15" ht="18">
      <c r="A79" s="484"/>
      <c r="B79" s="513"/>
      <c r="C79" s="522"/>
      <c r="D79" s="521"/>
      <c r="E79" s="43"/>
      <c r="F79" s="42"/>
      <c r="G79" s="44"/>
      <c r="H79" s="44"/>
      <c r="I79" s="201"/>
      <c r="J79" s="10"/>
      <c r="K79" s="9"/>
      <c r="L79" s="9"/>
      <c r="M79" s="9"/>
      <c r="N79" s="9"/>
      <c r="O79" s="9"/>
    </row>
    <row r="80" spans="1:15" ht="18">
      <c r="A80" s="484" t="s">
        <v>208</v>
      </c>
      <c r="B80" s="515">
        <v>250000</v>
      </c>
      <c r="C80" s="485" t="s">
        <v>204</v>
      </c>
      <c r="D80" s="40"/>
      <c r="E80" s="43"/>
      <c r="F80" s="42"/>
      <c r="G80" s="44"/>
      <c r="H80" s="44"/>
      <c r="I80" s="201"/>
      <c r="J80" s="10"/>
      <c r="K80" s="9"/>
      <c r="L80" s="9"/>
      <c r="M80" s="9"/>
      <c r="N80" s="9"/>
      <c r="O80" s="9"/>
    </row>
    <row r="81" spans="1:15" ht="18">
      <c r="A81" s="488"/>
      <c r="B81" s="510"/>
      <c r="C81" s="485"/>
      <c r="D81" s="40"/>
      <c r="E81" s="43"/>
      <c r="F81" s="42"/>
      <c r="G81" s="44"/>
      <c r="H81" s="44"/>
      <c r="I81" s="201"/>
      <c r="J81" s="10"/>
      <c r="K81" s="9"/>
      <c r="L81" s="9"/>
      <c r="M81" s="9"/>
      <c r="N81" s="9"/>
      <c r="O81" s="9"/>
    </row>
    <row r="82" spans="1:15" ht="18">
      <c r="A82" s="511"/>
      <c r="B82" s="513"/>
      <c r="C82" s="485"/>
      <c r="D82" s="40"/>
      <c r="E82" s="43"/>
      <c r="F82" s="42"/>
      <c r="G82" s="44"/>
      <c r="H82" s="44"/>
      <c r="I82" s="201"/>
      <c r="J82" s="10"/>
      <c r="K82" s="9"/>
      <c r="L82" s="9"/>
      <c r="M82" s="9"/>
      <c r="N82" s="9"/>
      <c r="O82" s="9"/>
    </row>
    <row r="83" spans="1:15" ht="18">
      <c r="A83" s="484"/>
      <c r="B83" s="513"/>
      <c r="C83" s="485"/>
      <c r="D83" s="40"/>
      <c r="E83" s="43"/>
      <c r="F83" s="42"/>
      <c r="G83" s="44"/>
      <c r="H83" s="44"/>
      <c r="I83" s="486"/>
      <c r="K83" s="9"/>
      <c r="L83" s="9"/>
      <c r="M83" s="9"/>
      <c r="N83" s="9"/>
      <c r="O83" s="9"/>
    </row>
    <row r="84" spans="1:15" ht="18">
      <c r="A84" s="484"/>
      <c r="B84" s="513"/>
      <c r="C84" s="485"/>
      <c r="D84" s="40"/>
      <c r="E84" s="43"/>
      <c r="F84" s="42"/>
      <c r="G84" s="44"/>
      <c r="H84" s="44"/>
      <c r="I84" s="486"/>
      <c r="J84" s="487"/>
      <c r="K84" s="9"/>
      <c r="L84" s="9"/>
      <c r="M84" s="9"/>
      <c r="N84" s="9"/>
      <c r="O84" s="9"/>
    </row>
    <row r="85" spans="1:15">
      <c r="A85" s="488"/>
      <c r="B85" s="489"/>
      <c r="C85" s="485"/>
      <c r="D85" s="479"/>
      <c r="E85" s="479"/>
      <c r="F85" s="479"/>
      <c r="G85" s="479"/>
      <c r="H85" s="479"/>
      <c r="I85" s="480"/>
      <c r="J85" s="490">
        <f>L24-(H57-M38-M39-M40-M41-M42-M43-M44-M45-M46-M47)</f>
        <v>10702344.233869484</v>
      </c>
      <c r="K85" s="117"/>
      <c r="L85" s="9"/>
      <c r="M85" s="9"/>
      <c r="N85" s="9"/>
      <c r="O85" s="9"/>
    </row>
    <row r="86" spans="1:15">
      <c r="A86" s="488"/>
      <c r="B86" s="512"/>
      <c r="C86" s="485"/>
      <c r="D86" s="117"/>
      <c r="E86" s="117"/>
      <c r="F86" s="117"/>
      <c r="G86" s="117"/>
      <c r="H86" s="117"/>
      <c r="I86" s="491"/>
      <c r="J86" s="490"/>
      <c r="K86" s="117"/>
      <c r="L86" s="9"/>
      <c r="M86" s="9"/>
      <c r="N86" s="9"/>
      <c r="O86" s="9"/>
    </row>
    <row r="87" spans="1:15">
      <c r="A87" s="488"/>
      <c r="B87" s="489"/>
      <c r="C87" s="485"/>
      <c r="D87" s="117"/>
      <c r="E87" s="117"/>
      <c r="F87" s="117"/>
      <c r="G87" s="117"/>
      <c r="H87" s="117"/>
      <c r="I87" s="491"/>
      <c r="J87" s="490"/>
      <c r="K87" s="117"/>
      <c r="L87" s="9"/>
      <c r="M87" s="9"/>
      <c r="N87" s="9"/>
      <c r="O87" s="9"/>
    </row>
    <row r="88" spans="1:15">
      <c r="A88" s="488"/>
      <c r="B88" s="489"/>
      <c r="C88" s="485"/>
      <c r="D88" s="117"/>
      <c r="E88" s="117"/>
      <c r="F88" s="117"/>
      <c r="G88" s="117"/>
      <c r="H88" s="117"/>
      <c r="I88" s="491"/>
      <c r="J88" s="490"/>
      <c r="K88" s="117"/>
      <c r="L88" s="9"/>
      <c r="M88" s="9"/>
      <c r="N88" s="9"/>
      <c r="O88" s="9"/>
    </row>
    <row r="89" spans="1:15">
      <c r="A89" s="488"/>
      <c r="B89" s="489"/>
      <c r="C89" s="485"/>
      <c r="D89" s="117"/>
      <c r="E89" s="117"/>
      <c r="F89" s="117"/>
      <c r="G89" s="117"/>
      <c r="H89" s="117"/>
      <c r="I89" s="491"/>
      <c r="J89" s="490"/>
      <c r="K89" s="117"/>
      <c r="L89" s="9"/>
      <c r="M89" s="9"/>
      <c r="N89" s="9"/>
      <c r="O89" s="9"/>
    </row>
    <row r="90" spans="1:15">
      <c r="A90" s="488"/>
      <c r="B90" s="489"/>
      <c r="C90" s="485"/>
      <c r="D90" s="117"/>
      <c r="E90" s="117"/>
      <c r="F90" s="117"/>
      <c r="G90" s="117"/>
      <c r="H90" s="117"/>
      <c r="I90" s="491"/>
      <c r="J90" s="490"/>
      <c r="K90" s="117"/>
      <c r="L90" s="9"/>
      <c r="M90" s="9"/>
      <c r="N90" s="9"/>
      <c r="O90" s="9"/>
    </row>
    <row r="91" spans="1:15">
      <c r="A91" s="488"/>
      <c r="B91" s="489"/>
      <c r="C91" s="485"/>
      <c r="D91" s="117"/>
      <c r="E91" s="117"/>
      <c r="F91" s="117"/>
      <c r="G91" s="117"/>
      <c r="H91" s="117"/>
      <c r="I91" s="491"/>
      <c r="J91" s="490"/>
      <c r="K91" s="117"/>
      <c r="L91" s="9"/>
      <c r="M91" s="9"/>
      <c r="N91" s="9"/>
      <c r="O91" s="9"/>
    </row>
    <row r="92" spans="1:15">
      <c r="A92" s="488"/>
      <c r="B92" s="489"/>
      <c r="C92" s="485"/>
      <c r="D92" s="117"/>
      <c r="E92" s="117"/>
      <c r="F92" s="117"/>
      <c r="G92" s="117"/>
      <c r="H92" s="117"/>
      <c r="I92" s="491"/>
      <c r="J92" s="490"/>
      <c r="K92" s="117"/>
      <c r="L92" s="9"/>
      <c r="M92" s="9"/>
      <c r="N92" s="9"/>
      <c r="O92" s="9"/>
    </row>
    <row r="93" spans="1:15">
      <c r="A93" s="492"/>
      <c r="B93" s="493"/>
      <c r="C93" s="485"/>
      <c r="D93" s="117"/>
      <c r="E93" s="117"/>
      <c r="F93" s="117"/>
      <c r="G93" s="117"/>
      <c r="H93" s="117"/>
      <c r="I93" s="491"/>
      <c r="J93" s="490"/>
      <c r="K93" s="117"/>
      <c r="L93" s="9"/>
      <c r="M93" s="9"/>
      <c r="N93" s="9"/>
      <c r="O93" s="9"/>
    </row>
    <row r="94" spans="1:15" ht="18.75" thickBot="1">
      <c r="A94" s="494"/>
      <c r="B94" s="495"/>
      <c r="C94" s="496"/>
      <c r="D94" s="497"/>
      <c r="E94" s="497"/>
      <c r="F94" s="497"/>
      <c r="G94" s="497"/>
      <c r="H94" s="497"/>
      <c r="I94" s="498"/>
      <c r="J94" s="208">
        <f>COUNTIF(A95:J95,"&lt;0")</f>
        <v>6</v>
      </c>
      <c r="K94" s="117"/>
      <c r="L94" s="9"/>
      <c r="M94" s="9"/>
      <c r="N94" s="9"/>
      <c r="O94" s="9"/>
    </row>
    <row r="95" spans="1:15">
      <c r="A95" s="196">
        <f>C24-(H57-M38)</f>
        <v>-12385027.733880565</v>
      </c>
      <c r="B95" s="117">
        <f>D24-(H57-M38-M39)</f>
        <v>-10017968.364131905</v>
      </c>
      <c r="C95" s="117">
        <f>E24-(H57-M38-M39-M40)</f>
        <v>-7603820.4958996624</v>
      </c>
      <c r="D95" s="117">
        <f>F24-(H57-M38-M39-M40-M41)</f>
        <v>-5141561.6811103169</v>
      </c>
      <c r="E95" s="117">
        <f>G24-(H57-M38-M39-M40-M41-M42)</f>
        <v>-2630147.9764818605</v>
      </c>
      <c r="F95" s="117">
        <f>H24-(H57-M38-M39-M40-M41-M42-M43)</f>
        <v>-68513.492267645895</v>
      </c>
      <c r="G95" s="117">
        <f>I24-(H57-M38-M39-M40-M41-M42-M43-M44)</f>
        <v>2544430.0684606377</v>
      </c>
      <c r="H95" s="117">
        <f>J24-(H57-M38-M39-M40-M41-M42-M43-M44-M45)</f>
        <v>5209793.8801889792</v>
      </c>
      <c r="I95" s="117">
        <f>K24-(H57-M38-M39-M40-M41-M42-M43-M44-M45-M46)</f>
        <v>7928712.4751983099</v>
      </c>
      <c r="J95" s="490"/>
      <c r="K95" s="117"/>
      <c r="L95" s="9"/>
      <c r="M95" s="9"/>
      <c r="N95" s="9"/>
      <c r="O95" s="9"/>
    </row>
    <row r="97" spans="1:21" s="108" customFormat="1">
      <c r="A97" s="106">
        <f t="shared" ref="A97:U97" si="23">B11</f>
        <v>2022</v>
      </c>
      <c r="B97" s="106">
        <f t="shared" si="23"/>
        <v>2023</v>
      </c>
      <c r="C97" s="106">
        <f t="shared" si="23"/>
        <v>2024</v>
      </c>
      <c r="D97" s="106">
        <f t="shared" si="23"/>
        <v>2025</v>
      </c>
      <c r="E97" s="106">
        <f t="shared" si="23"/>
        <v>2026</v>
      </c>
      <c r="F97" s="106">
        <f t="shared" si="23"/>
        <v>2027</v>
      </c>
      <c r="G97" s="106">
        <f t="shared" si="23"/>
        <v>2028</v>
      </c>
      <c r="H97" s="106">
        <f t="shared" si="23"/>
        <v>2029</v>
      </c>
      <c r="I97" s="106">
        <f t="shared" si="23"/>
        <v>2030</v>
      </c>
      <c r="J97" s="106">
        <f t="shared" si="23"/>
        <v>2031</v>
      </c>
      <c r="K97" s="106">
        <f t="shared" si="23"/>
        <v>2032</v>
      </c>
      <c r="L97" s="106">
        <f t="shared" si="23"/>
        <v>2033</v>
      </c>
      <c r="M97" s="106">
        <f t="shared" si="23"/>
        <v>2034</v>
      </c>
      <c r="N97" s="106">
        <f t="shared" si="23"/>
        <v>2035</v>
      </c>
      <c r="O97" s="106">
        <f t="shared" si="23"/>
        <v>2036</v>
      </c>
      <c r="P97" s="106">
        <f t="shared" si="23"/>
        <v>2037</v>
      </c>
      <c r="Q97" s="106">
        <f t="shared" si="23"/>
        <v>2038</v>
      </c>
      <c r="R97" s="106">
        <f t="shared" si="23"/>
        <v>2039</v>
      </c>
      <c r="S97" s="106">
        <f t="shared" si="23"/>
        <v>2040</v>
      </c>
      <c r="T97" s="106">
        <f t="shared" si="23"/>
        <v>2041</v>
      </c>
      <c r="U97" s="106">
        <f t="shared" si="23"/>
        <v>2042</v>
      </c>
    </row>
    <row r="98" spans="1:21" s="108" customFormat="1">
      <c r="A98" s="109"/>
      <c r="B98" s="110">
        <f t="shared" ref="B98:U99" si="24">C13</f>
        <v>7054275.8499999959</v>
      </c>
      <c r="C98" s="110">
        <f t="shared" si="24"/>
        <v>7198240.6632653018</v>
      </c>
      <c r="D98" s="110">
        <f t="shared" si="24"/>
        <v>7345143.5339441858</v>
      </c>
      <c r="E98" s="110">
        <f t="shared" si="24"/>
        <v>7495044.4223920265</v>
      </c>
      <c r="F98" s="110">
        <f t="shared" si="24"/>
        <v>7648004.5126449252</v>
      </c>
      <c r="G98" s="110">
        <f t="shared" si="24"/>
        <v>7804086.2373927813</v>
      </c>
      <c r="H98" s="110">
        <f t="shared" si="24"/>
        <v>7963353.303462022</v>
      </c>
      <c r="I98" s="110">
        <f t="shared" si="24"/>
        <v>8125870.7178183896</v>
      </c>
      <c r="J98" s="110">
        <f t="shared" si="24"/>
        <v>8291704.8141003978</v>
      </c>
      <c r="K98" s="110">
        <f t="shared" si="24"/>
        <v>8460923.2796942834</v>
      </c>
      <c r="L98" s="110">
        <f t="shared" si="24"/>
        <v>8633595.1833615135</v>
      </c>
      <c r="M98" s="110">
        <f t="shared" si="24"/>
        <v>8809791.0034301169</v>
      </c>
      <c r="N98" s="110">
        <f t="shared" si="24"/>
        <v>8989582.6565613449</v>
      </c>
      <c r="O98" s="110">
        <f t="shared" si="24"/>
        <v>9173043.5271034129</v>
      </c>
      <c r="P98" s="110">
        <f t="shared" si="24"/>
        <v>9360248.4970442988</v>
      </c>
      <c r="Q98" s="110">
        <f t="shared" si="24"/>
        <v>9551273.9765758161</v>
      </c>
      <c r="R98" s="110">
        <f t="shared" si="24"/>
        <v>9746197.9352814443</v>
      </c>
      <c r="S98" s="110">
        <f t="shared" si="24"/>
        <v>9945099.9339606576</v>
      </c>
      <c r="T98" s="110">
        <f t="shared" si="24"/>
        <v>10148061.157102711</v>
      </c>
      <c r="U98" s="110">
        <f t="shared" si="24"/>
        <v>10355164.446023175</v>
      </c>
    </row>
    <row r="99" spans="1:21" s="108" customFormat="1">
      <c r="A99" s="109"/>
      <c r="B99" s="110">
        <f t="shared" si="24"/>
        <v>-4417088.4042462707</v>
      </c>
      <c r="C99" s="110">
        <f t="shared" si="24"/>
        <v>-4505430.1723311963</v>
      </c>
      <c r="D99" s="110">
        <f t="shared" si="24"/>
        <v>-4595538.7757778205</v>
      </c>
      <c r="E99" s="110">
        <f t="shared" si="24"/>
        <v>-4687449.5512933768</v>
      </c>
      <c r="F99" s="110">
        <f t="shared" si="24"/>
        <v>-4781198.5423192447</v>
      </c>
      <c r="G99" s="110">
        <f t="shared" si="24"/>
        <v>-4876822.5131656295</v>
      </c>
      <c r="H99" s="110">
        <f t="shared" si="24"/>
        <v>-4974358.9634289425</v>
      </c>
      <c r="I99" s="110">
        <f t="shared" si="24"/>
        <v>-5073846.1426975215</v>
      </c>
      <c r="J99" s="110">
        <f t="shared" si="24"/>
        <v>-5175323.0655514719</v>
      </c>
      <c r="K99" s="110">
        <f t="shared" si="24"/>
        <v>-5278829.5268625012</v>
      </c>
      <c r="L99" s="110">
        <f t="shared" si="24"/>
        <v>-5384406.1173997512</v>
      </c>
      <c r="M99" s="110">
        <f t="shared" si="24"/>
        <v>-5492094.2397477459</v>
      </c>
      <c r="N99" s="110">
        <f t="shared" si="24"/>
        <v>-5601936.1245427011</v>
      </c>
      <c r="O99" s="110">
        <f t="shared" si="24"/>
        <v>-5713974.8470335547</v>
      </c>
      <c r="P99" s="110">
        <f t="shared" si="24"/>
        <v>-5828254.3439742262</v>
      </c>
      <c r="Q99" s="110">
        <f t="shared" si="24"/>
        <v>-5944819.4308537105</v>
      </c>
      <c r="R99" s="110">
        <f t="shared" si="24"/>
        <v>-6063715.8194707846</v>
      </c>
      <c r="S99" s="110">
        <f t="shared" si="24"/>
        <v>-6184990.1358602</v>
      </c>
      <c r="T99" s="110">
        <f t="shared" si="24"/>
        <v>-6308689.9385774042</v>
      </c>
      <c r="U99" s="110">
        <f t="shared" si="24"/>
        <v>-6434863.7373489523</v>
      </c>
    </row>
    <row r="100" spans="1:21" s="108" customFormat="1">
      <c r="A100" s="111"/>
      <c r="B100" s="110">
        <f>-$N38</f>
        <v>-588240</v>
      </c>
      <c r="C100" s="110">
        <f>-$N39</f>
        <v>-558828</v>
      </c>
      <c r="D100" s="110">
        <f>-$N40</f>
        <v>-529416</v>
      </c>
      <c r="E100" s="110">
        <f>-$N41</f>
        <v>-500004</v>
      </c>
      <c r="F100" s="110">
        <f>-$N42</f>
        <v>-470592</v>
      </c>
      <c r="G100" s="110">
        <f>-$N43</f>
        <v>-441180</v>
      </c>
      <c r="H100" s="110">
        <f>-$N44</f>
        <v>-411768</v>
      </c>
      <c r="I100" s="110">
        <f>-$N45</f>
        <v>-382356</v>
      </c>
      <c r="J100" s="110">
        <f>-$N46</f>
        <v>-352944</v>
      </c>
      <c r="K100" s="110">
        <f>-$N47</f>
        <v>-323532</v>
      </c>
      <c r="L100" s="110">
        <f>-$N48</f>
        <v>-294120</v>
      </c>
      <c r="M100" s="110">
        <f>-$N49</f>
        <v>-264708</v>
      </c>
      <c r="N100" s="110">
        <f>-$N50</f>
        <v>-235296</v>
      </c>
      <c r="O100" s="110">
        <f>-$N51</f>
        <v>-205884</v>
      </c>
      <c r="P100" s="110">
        <f>-$N52</f>
        <v>-176472</v>
      </c>
      <c r="Q100" s="110">
        <f>-$N53</f>
        <v>-147060</v>
      </c>
      <c r="R100" s="110">
        <f>-$N54</f>
        <v>-117648</v>
      </c>
      <c r="S100" s="110">
        <f>-$N55</f>
        <v>-88236</v>
      </c>
      <c r="T100" s="110">
        <f>-$N56</f>
        <v>-58824</v>
      </c>
      <c r="U100" s="110">
        <f>-$N57</f>
        <v>-29412</v>
      </c>
    </row>
    <row r="101" spans="1:21" s="108" customFormat="1">
      <c r="A101" s="111">
        <f>-B6</f>
        <v>-16340000</v>
      </c>
      <c r="B101" s="110">
        <f t="shared" ref="B101:T101" si="25">SUM(B98:B100)</f>
        <v>2048947.4457537252</v>
      </c>
      <c r="C101" s="110">
        <f t="shared" si="25"/>
        <v>2133982.4909341056</v>
      </c>
      <c r="D101" s="110">
        <f t="shared" si="25"/>
        <v>2220188.7581663653</v>
      </c>
      <c r="E101" s="110">
        <f t="shared" si="25"/>
        <v>2307590.8710986497</v>
      </c>
      <c r="F101" s="110">
        <f t="shared" si="25"/>
        <v>2396213.9703256804</v>
      </c>
      <c r="G101" s="110">
        <f t="shared" si="25"/>
        <v>2486083.7242271518</v>
      </c>
      <c r="H101" s="110">
        <f t="shared" si="25"/>
        <v>2577226.3400330795</v>
      </c>
      <c r="I101" s="110">
        <f t="shared" si="25"/>
        <v>2669668.5751208682</v>
      </c>
      <c r="J101" s="110">
        <f t="shared" si="25"/>
        <v>2763437.7485489259</v>
      </c>
      <c r="K101" s="110">
        <f t="shared" si="25"/>
        <v>2858561.7528317822</v>
      </c>
      <c r="L101" s="110">
        <f t="shared" si="25"/>
        <v>2955069.0659617623</v>
      </c>
      <c r="M101" s="110">
        <f t="shared" si="25"/>
        <v>3052988.763682371</v>
      </c>
      <c r="N101" s="110">
        <f t="shared" si="25"/>
        <v>3152350.5320186438</v>
      </c>
      <c r="O101" s="110">
        <f t="shared" si="25"/>
        <v>3253184.6800698582</v>
      </c>
      <c r="P101" s="110">
        <f t="shared" si="25"/>
        <v>3355522.1530700726</v>
      </c>
      <c r="Q101" s="110">
        <f t="shared" si="25"/>
        <v>3459394.5457221055</v>
      </c>
      <c r="R101" s="110">
        <f t="shared" si="25"/>
        <v>3564834.1158106597</v>
      </c>
      <c r="S101" s="110">
        <f t="shared" si="25"/>
        <v>3671873.7981004575</v>
      </c>
      <c r="T101" s="110">
        <f t="shared" si="25"/>
        <v>3780547.2185253073</v>
      </c>
      <c r="U101" s="110">
        <f>SUM(U98:U100)</f>
        <v>3890888.7086742232</v>
      </c>
    </row>
    <row r="102" spans="1:21" s="107" customFormat="1">
      <c r="A102" s="112">
        <f>IRR(A101:U101)</f>
        <v>0.14536140025004762</v>
      </c>
      <c r="B102" s="113"/>
      <c r="C102" s="113"/>
      <c r="D102" s="113"/>
      <c r="E102" s="113"/>
      <c r="F102" s="113"/>
      <c r="G102" s="113"/>
      <c r="H102" s="113"/>
      <c r="I102" s="113"/>
      <c r="J102" s="113"/>
      <c r="K102" s="114"/>
    </row>
    <row r="107" spans="1:21">
      <c r="B107" s="523"/>
      <c r="C107" s="499" t="s">
        <v>194</v>
      </c>
      <c r="D107" s="499" t="s">
        <v>195</v>
      </c>
      <c r="E107" s="499" t="s">
        <v>196</v>
      </c>
      <c r="F107" s="499" t="s">
        <v>197</v>
      </c>
      <c r="G107" s="499" t="s">
        <v>124</v>
      </c>
      <c r="H107" s="499" t="s">
        <v>198</v>
      </c>
      <c r="I107" s="499" t="s">
        <v>199</v>
      </c>
      <c r="J107" s="499" t="s">
        <v>36</v>
      </c>
      <c r="K107" s="500" t="s">
        <v>200</v>
      </c>
      <c r="L107" s="499" t="s">
        <v>201</v>
      </c>
      <c r="M107" s="499"/>
      <c r="N107" s="501" t="s">
        <v>202</v>
      </c>
    </row>
    <row r="108" spans="1:21">
      <c r="B108" s="502"/>
      <c r="C108" s="503">
        <v>0</v>
      </c>
      <c r="D108" s="504">
        <v>0</v>
      </c>
      <c r="E108" s="505">
        <v>0</v>
      </c>
      <c r="F108" s="502">
        <v>0</v>
      </c>
      <c r="G108" s="502">
        <v>0</v>
      </c>
      <c r="H108" s="502">
        <v>10</v>
      </c>
      <c r="I108" s="506">
        <v>20</v>
      </c>
      <c r="J108" s="504">
        <v>0</v>
      </c>
      <c r="K108" s="507">
        <v>0</v>
      </c>
      <c r="L108" s="508">
        <v>0</v>
      </c>
      <c r="M108" s="502"/>
      <c r="N108" s="502">
        <v>0</v>
      </c>
    </row>
    <row r="109" spans="1:21">
      <c r="B109" s="502"/>
      <c r="C109" s="502">
        <v>5</v>
      </c>
      <c r="D109" s="504">
        <v>1</v>
      </c>
      <c r="E109" s="505">
        <v>0.01</v>
      </c>
      <c r="F109" s="502">
        <v>1</v>
      </c>
      <c r="G109" s="502">
        <v>6</v>
      </c>
      <c r="H109" s="502">
        <v>11</v>
      </c>
      <c r="I109" s="506">
        <v>21</v>
      </c>
      <c r="J109" s="504">
        <v>7</v>
      </c>
      <c r="K109" s="518">
        <v>5.0000000000000001E-3</v>
      </c>
      <c r="L109" s="508">
        <v>5</v>
      </c>
      <c r="M109" s="502"/>
      <c r="N109" s="502">
        <v>150</v>
      </c>
    </row>
    <row r="110" spans="1:21">
      <c r="B110" s="502"/>
      <c r="C110" s="503">
        <v>5.0999999999999996</v>
      </c>
      <c r="D110" s="502">
        <v>1.1000000000000001</v>
      </c>
      <c r="E110" s="505">
        <v>1.4999999999999999E-2</v>
      </c>
      <c r="F110" s="502">
        <v>1.1000000000000001</v>
      </c>
      <c r="G110" s="502">
        <v>6.1</v>
      </c>
      <c r="H110" s="502">
        <v>12</v>
      </c>
      <c r="I110" s="506">
        <v>22</v>
      </c>
      <c r="J110" s="504">
        <v>7.1</v>
      </c>
      <c r="K110" s="518">
        <v>0.01</v>
      </c>
      <c r="L110" s="508">
        <v>6</v>
      </c>
      <c r="M110" s="502"/>
      <c r="N110" s="502">
        <v>160</v>
      </c>
    </row>
    <row r="111" spans="1:21">
      <c r="B111" s="502"/>
      <c r="C111" s="502">
        <v>5.2</v>
      </c>
      <c r="D111" s="502">
        <v>1.2</v>
      </c>
      <c r="E111" s="505">
        <v>0.02</v>
      </c>
      <c r="F111" s="502">
        <v>1.2</v>
      </c>
      <c r="G111" s="502">
        <v>6.2</v>
      </c>
      <c r="H111" s="502">
        <v>13</v>
      </c>
      <c r="I111" s="506">
        <v>23</v>
      </c>
      <c r="J111" s="504">
        <v>7.2</v>
      </c>
      <c r="K111" s="518">
        <v>1.4999999999999999E-2</v>
      </c>
      <c r="L111" s="508">
        <v>7</v>
      </c>
      <c r="M111" s="502"/>
      <c r="N111" s="502">
        <v>170</v>
      </c>
    </row>
    <row r="112" spans="1:21">
      <c r="B112" s="502"/>
      <c r="C112" s="503">
        <v>5.3</v>
      </c>
      <c r="D112" s="502">
        <v>1.3</v>
      </c>
      <c r="E112" s="505">
        <v>2.5000000000000001E-2</v>
      </c>
      <c r="F112" s="502">
        <v>1.3</v>
      </c>
      <c r="G112" s="502">
        <v>6.3</v>
      </c>
      <c r="H112" s="502">
        <v>14</v>
      </c>
      <c r="I112" s="506">
        <v>24</v>
      </c>
      <c r="J112" s="504">
        <v>7.3</v>
      </c>
      <c r="K112" s="518">
        <v>0.02</v>
      </c>
      <c r="L112" s="508">
        <v>8</v>
      </c>
      <c r="M112" s="502"/>
      <c r="N112" s="502">
        <v>180</v>
      </c>
    </row>
    <row r="113" spans="2:14">
      <c r="B113" s="502"/>
      <c r="C113" s="502">
        <v>5.4</v>
      </c>
      <c r="D113" s="502">
        <v>1.4</v>
      </c>
      <c r="E113" s="505">
        <v>0.03</v>
      </c>
      <c r="F113" s="502">
        <v>1.4</v>
      </c>
      <c r="G113" s="502">
        <v>6.4</v>
      </c>
      <c r="H113" s="502">
        <v>15</v>
      </c>
      <c r="I113" s="506">
        <v>25</v>
      </c>
      <c r="J113" s="504">
        <v>7.4</v>
      </c>
      <c r="K113" s="518">
        <v>2.5000000000000001E-2</v>
      </c>
      <c r="L113" s="508">
        <v>9</v>
      </c>
      <c r="M113" s="502"/>
      <c r="N113" s="502">
        <v>190</v>
      </c>
    </row>
    <row r="114" spans="2:14">
      <c r="B114" s="502"/>
      <c r="C114" s="503">
        <v>5.5</v>
      </c>
      <c r="D114" s="502">
        <v>1.5</v>
      </c>
      <c r="E114" s="505">
        <v>3.5000000000000003E-2</v>
      </c>
      <c r="F114" s="502">
        <v>1.5</v>
      </c>
      <c r="G114" s="502">
        <v>6.5</v>
      </c>
      <c r="H114" s="502">
        <v>16</v>
      </c>
      <c r="I114" s="506">
        <v>26</v>
      </c>
      <c r="J114" s="504">
        <v>7.5</v>
      </c>
      <c r="K114" s="518">
        <v>0.03</v>
      </c>
      <c r="L114" s="508">
        <v>10</v>
      </c>
      <c r="M114" s="502"/>
      <c r="N114" s="502">
        <v>200</v>
      </c>
    </row>
    <row r="115" spans="2:14">
      <c r="B115" s="502"/>
      <c r="C115" s="502">
        <v>5.6</v>
      </c>
      <c r="D115" s="502">
        <v>1.6</v>
      </c>
      <c r="E115" s="505">
        <v>0.04</v>
      </c>
      <c r="F115" s="502">
        <v>1.6</v>
      </c>
      <c r="G115" s="502">
        <v>6.6</v>
      </c>
      <c r="H115" s="502">
        <v>17</v>
      </c>
      <c r="I115" s="506">
        <v>27</v>
      </c>
      <c r="J115" s="504">
        <v>7.6</v>
      </c>
      <c r="K115" s="518">
        <v>3.5000000000000003E-2</v>
      </c>
      <c r="L115" s="508">
        <v>11</v>
      </c>
      <c r="M115" s="502"/>
      <c r="N115" s="502">
        <v>210</v>
      </c>
    </row>
    <row r="116" spans="2:14">
      <c r="B116" s="502"/>
      <c r="C116" s="503">
        <v>5.7</v>
      </c>
      <c r="D116" s="502">
        <v>1.7</v>
      </c>
      <c r="E116" s="505">
        <v>4.4999999999999998E-2</v>
      </c>
      <c r="F116" s="502">
        <v>1.7</v>
      </c>
      <c r="G116" s="502">
        <v>6.7</v>
      </c>
      <c r="H116" s="502">
        <v>18</v>
      </c>
      <c r="I116" s="506">
        <v>28</v>
      </c>
      <c r="J116" s="504">
        <v>7.7</v>
      </c>
      <c r="K116" s="518">
        <v>0.04</v>
      </c>
      <c r="L116" s="508">
        <v>12</v>
      </c>
      <c r="M116" s="502"/>
      <c r="N116" s="502">
        <v>220</v>
      </c>
    </row>
    <row r="117" spans="2:14">
      <c r="B117" s="502"/>
      <c r="C117" s="502">
        <v>5.8</v>
      </c>
      <c r="D117" s="502">
        <v>1.8</v>
      </c>
      <c r="E117" s="505">
        <v>0.05</v>
      </c>
      <c r="F117" s="502">
        <v>1.8</v>
      </c>
      <c r="G117" s="502">
        <v>6.8</v>
      </c>
      <c r="H117" s="502">
        <v>19</v>
      </c>
      <c r="I117" s="506">
        <v>29</v>
      </c>
      <c r="J117" s="504">
        <v>7.8</v>
      </c>
      <c r="K117" s="518">
        <v>4.4999999999999998E-2</v>
      </c>
      <c r="L117" s="508">
        <v>13</v>
      </c>
      <c r="M117" s="502"/>
      <c r="N117" s="502">
        <v>230</v>
      </c>
    </row>
    <row r="118" spans="2:14">
      <c r="B118" s="502"/>
      <c r="C118" s="503">
        <v>5.9</v>
      </c>
      <c r="D118" s="502">
        <v>1.9</v>
      </c>
      <c r="E118" s="505">
        <v>5.5E-2</v>
      </c>
      <c r="F118" s="502">
        <v>1.9</v>
      </c>
      <c r="G118" s="502">
        <v>6.9</v>
      </c>
      <c r="H118" s="502">
        <v>20</v>
      </c>
      <c r="I118" s="506">
        <v>30</v>
      </c>
      <c r="J118" s="504">
        <v>7.9</v>
      </c>
      <c r="K118" s="518">
        <v>0.05</v>
      </c>
      <c r="L118" s="508">
        <v>14</v>
      </c>
      <c r="M118" s="502"/>
      <c r="N118" s="502">
        <v>240</v>
      </c>
    </row>
    <row r="119" spans="2:14">
      <c r="B119" s="502"/>
      <c r="C119" s="502">
        <v>6</v>
      </c>
      <c r="D119" s="502">
        <v>2</v>
      </c>
      <c r="E119" s="507">
        <v>0.06</v>
      </c>
      <c r="F119" s="502">
        <v>2</v>
      </c>
      <c r="G119" s="502">
        <v>7</v>
      </c>
      <c r="H119" s="502"/>
      <c r="I119" s="506">
        <v>31</v>
      </c>
      <c r="J119" s="504">
        <v>8</v>
      </c>
      <c r="K119" s="518">
        <v>5.5E-2</v>
      </c>
      <c r="L119" s="508">
        <v>15</v>
      </c>
      <c r="M119" s="502"/>
      <c r="N119" s="502">
        <v>250</v>
      </c>
    </row>
    <row r="120" spans="2:14">
      <c r="B120" s="502"/>
      <c r="C120" s="503">
        <v>6.1</v>
      </c>
      <c r="D120" s="502">
        <v>2.1</v>
      </c>
      <c r="E120" s="505">
        <v>6.5000000000000002E-2</v>
      </c>
      <c r="F120" s="502">
        <v>2.1</v>
      </c>
      <c r="G120" s="502">
        <v>7.1</v>
      </c>
      <c r="H120" s="502"/>
      <c r="I120" s="506">
        <v>32</v>
      </c>
      <c r="J120" s="504">
        <v>8.1</v>
      </c>
      <c r="K120" s="518">
        <v>0.06</v>
      </c>
      <c r="L120" s="508">
        <v>16</v>
      </c>
      <c r="M120" s="502"/>
      <c r="N120" s="502">
        <v>260</v>
      </c>
    </row>
    <row r="121" spans="2:14">
      <c r="B121" s="502"/>
      <c r="C121" s="502">
        <v>6.2</v>
      </c>
      <c r="D121" s="502">
        <v>2.2000000000000002</v>
      </c>
      <c r="E121" s="505">
        <v>7.0000000000000007E-2</v>
      </c>
      <c r="F121" s="502">
        <v>2.2000000000000002</v>
      </c>
      <c r="G121" s="502">
        <v>7.2</v>
      </c>
      <c r="H121" s="502"/>
      <c r="I121" s="506">
        <v>33</v>
      </c>
      <c r="J121" s="504">
        <v>8.1999999999999993</v>
      </c>
      <c r="K121" s="518">
        <v>6.5000000000000002E-2</v>
      </c>
      <c r="L121" s="508">
        <v>17</v>
      </c>
      <c r="M121" s="502"/>
      <c r="N121" s="502">
        <v>270</v>
      </c>
    </row>
    <row r="122" spans="2:14">
      <c r="B122" s="502"/>
      <c r="C122" s="503">
        <v>6.3</v>
      </c>
      <c r="D122" s="502">
        <v>2.2999999999999998</v>
      </c>
      <c r="E122" s="505">
        <v>7.4999999999999997E-2</v>
      </c>
      <c r="F122" s="502">
        <v>2.2999999999999998</v>
      </c>
      <c r="G122" s="502">
        <v>7.3</v>
      </c>
      <c r="H122" s="502"/>
      <c r="I122" s="506">
        <v>34</v>
      </c>
      <c r="J122" s="504">
        <v>8.3000000000000007</v>
      </c>
      <c r="K122" s="518">
        <v>7.0000000000000007E-2</v>
      </c>
      <c r="L122" s="508">
        <v>18</v>
      </c>
      <c r="M122" s="502"/>
      <c r="N122" s="502">
        <v>280</v>
      </c>
    </row>
    <row r="123" spans="2:14">
      <c r="B123" s="502"/>
      <c r="C123" s="502">
        <v>6.4</v>
      </c>
      <c r="D123" s="502">
        <v>2.4</v>
      </c>
      <c r="E123" s="505">
        <v>0.08</v>
      </c>
      <c r="F123" s="502">
        <v>2.4</v>
      </c>
      <c r="G123" s="502">
        <v>7.4</v>
      </c>
      <c r="H123" s="502"/>
      <c r="I123" s="506">
        <v>35</v>
      </c>
      <c r="J123" s="504">
        <v>8.4</v>
      </c>
      <c r="K123" s="518">
        <v>7.4999999999999997E-2</v>
      </c>
      <c r="L123" s="508">
        <v>19</v>
      </c>
      <c r="M123" s="502"/>
      <c r="N123" s="502">
        <v>290</v>
      </c>
    </row>
    <row r="124" spans="2:14">
      <c r="B124" s="502"/>
      <c r="C124" s="503">
        <v>6.4999999999999902</v>
      </c>
      <c r="D124" s="502">
        <v>2.5</v>
      </c>
      <c r="E124" s="507">
        <v>8.5000000000000006E-2</v>
      </c>
      <c r="F124" s="502">
        <v>2.5</v>
      </c>
      <c r="G124" s="502">
        <v>7.4999999999999902</v>
      </c>
      <c r="H124" s="502"/>
      <c r="I124" s="506">
        <v>36</v>
      </c>
      <c r="J124" s="504">
        <v>8.4999999999999893</v>
      </c>
      <c r="K124" s="518">
        <v>0.08</v>
      </c>
      <c r="L124" s="508">
        <v>20</v>
      </c>
      <c r="M124" s="502"/>
      <c r="N124" s="502">
        <v>300</v>
      </c>
    </row>
    <row r="125" spans="2:14">
      <c r="B125" s="502"/>
      <c r="C125" s="502">
        <v>6.5999999999999899</v>
      </c>
      <c r="D125" s="502">
        <v>2.6</v>
      </c>
      <c r="E125" s="505">
        <v>0.09</v>
      </c>
      <c r="F125" s="502">
        <v>2.6</v>
      </c>
      <c r="G125" s="502">
        <v>7.5999999999999899</v>
      </c>
      <c r="H125" s="502"/>
      <c r="I125" s="506">
        <v>37</v>
      </c>
      <c r="J125" s="504">
        <v>8.5999999999999908</v>
      </c>
      <c r="K125" s="518">
        <v>8.5000000000000006E-2</v>
      </c>
      <c r="L125" s="508">
        <v>21</v>
      </c>
      <c r="M125" s="502"/>
      <c r="N125" s="502">
        <v>310</v>
      </c>
    </row>
    <row r="126" spans="2:14">
      <c r="B126" s="502"/>
      <c r="C126" s="503">
        <v>6.6999999999999904</v>
      </c>
      <c r="D126" s="502">
        <v>2.7</v>
      </c>
      <c r="E126" s="505">
        <v>9.5000000000000001E-2</v>
      </c>
      <c r="F126" s="502">
        <v>2.7</v>
      </c>
      <c r="G126" s="502">
        <v>7.6999999999999904</v>
      </c>
      <c r="H126" s="502"/>
      <c r="I126" s="506">
        <v>38</v>
      </c>
      <c r="J126" s="504">
        <v>8.6999999999999904</v>
      </c>
      <c r="K126" s="518">
        <v>0.09</v>
      </c>
      <c r="L126" s="508">
        <v>22</v>
      </c>
      <c r="M126" s="502"/>
      <c r="N126" s="502">
        <v>320</v>
      </c>
    </row>
    <row r="127" spans="2:14">
      <c r="B127" s="502"/>
      <c r="C127" s="502">
        <v>6.7999999999999901</v>
      </c>
      <c r="D127" s="502">
        <v>2.8</v>
      </c>
      <c r="E127" s="505">
        <v>0.1</v>
      </c>
      <c r="F127" s="502">
        <v>2.8</v>
      </c>
      <c r="G127" s="502">
        <v>7.7999999999999901</v>
      </c>
      <c r="H127" s="502"/>
      <c r="I127" s="506">
        <v>39</v>
      </c>
      <c r="J127" s="504">
        <v>8.7999999999999901</v>
      </c>
      <c r="K127" s="518">
        <v>9.5000000000000001E-2</v>
      </c>
      <c r="L127" s="508">
        <v>23</v>
      </c>
      <c r="M127" s="502"/>
      <c r="N127" s="502">
        <v>330</v>
      </c>
    </row>
    <row r="128" spans="2:14">
      <c r="B128" s="502"/>
      <c r="C128" s="503">
        <v>6.8999999999999897</v>
      </c>
      <c r="D128" s="502">
        <v>2.9</v>
      </c>
      <c r="E128" s="502"/>
      <c r="F128" s="502">
        <v>2.9</v>
      </c>
      <c r="G128" s="502">
        <v>7.8999999999999897</v>
      </c>
      <c r="H128" s="502"/>
      <c r="I128" s="506">
        <v>40</v>
      </c>
      <c r="J128" s="504">
        <v>8.8999999999999897</v>
      </c>
      <c r="K128" s="518">
        <v>0.1</v>
      </c>
      <c r="L128" s="508">
        <v>24</v>
      </c>
      <c r="M128" s="502"/>
      <c r="N128" s="502">
        <v>340</v>
      </c>
    </row>
    <row r="129" spans="2:14">
      <c r="B129" s="502"/>
      <c r="C129" s="502">
        <v>6.9999999999999902</v>
      </c>
      <c r="D129" s="502">
        <v>3</v>
      </c>
      <c r="E129" s="502"/>
      <c r="F129" s="502">
        <v>3</v>
      </c>
      <c r="G129" s="502">
        <v>7.9999999999999902</v>
      </c>
      <c r="H129" s="502"/>
      <c r="I129" s="506">
        <v>41</v>
      </c>
      <c r="J129" s="504">
        <v>8.9999999999999893</v>
      </c>
      <c r="K129" s="518">
        <v>0.105</v>
      </c>
      <c r="L129" s="508">
        <v>25</v>
      </c>
      <c r="M129" s="502"/>
      <c r="N129" s="502">
        <v>350</v>
      </c>
    </row>
    <row r="130" spans="2:14">
      <c r="B130" s="502"/>
      <c r="C130" s="503">
        <v>7.0999999999999899</v>
      </c>
      <c r="D130" s="502">
        <v>3.1</v>
      </c>
      <c r="E130" s="502"/>
      <c r="F130" s="502">
        <v>3.1</v>
      </c>
      <c r="G130" s="502">
        <v>8.0999999999999908</v>
      </c>
      <c r="H130" s="502"/>
      <c r="I130" s="506">
        <v>42</v>
      </c>
      <c r="J130" s="504">
        <v>9.0999999999999908</v>
      </c>
      <c r="K130" s="518">
        <v>0.11</v>
      </c>
      <c r="L130" s="508">
        <v>26</v>
      </c>
      <c r="M130" s="502"/>
      <c r="N130" s="502">
        <v>360</v>
      </c>
    </row>
    <row r="131" spans="2:14">
      <c r="B131" s="502"/>
      <c r="C131" s="502">
        <v>7.1999999999999904</v>
      </c>
      <c r="D131" s="502">
        <v>3.2</v>
      </c>
      <c r="E131" s="502"/>
      <c r="F131" s="502">
        <v>3.2</v>
      </c>
      <c r="G131" s="502">
        <v>8.1999999999999904</v>
      </c>
      <c r="H131" s="502"/>
      <c r="I131" s="506">
        <v>43</v>
      </c>
      <c r="J131" s="504">
        <v>9.1999999999999904</v>
      </c>
      <c r="K131" s="518">
        <v>0.115</v>
      </c>
      <c r="L131" s="508">
        <v>27</v>
      </c>
      <c r="M131" s="502"/>
      <c r="N131" s="502">
        <v>370</v>
      </c>
    </row>
    <row r="132" spans="2:14">
      <c r="B132" s="502"/>
      <c r="C132" s="503">
        <v>7.2999999999999901</v>
      </c>
      <c r="D132" s="502">
        <v>3.3</v>
      </c>
      <c r="E132" s="502"/>
      <c r="F132" s="502">
        <v>3.3</v>
      </c>
      <c r="G132" s="502">
        <v>8.2999999999999901</v>
      </c>
      <c r="H132" s="502"/>
      <c r="I132" s="506">
        <v>44</v>
      </c>
      <c r="J132" s="504">
        <v>9.2999999999999901</v>
      </c>
      <c r="K132" s="518">
        <v>0.12</v>
      </c>
      <c r="L132" s="508">
        <v>28</v>
      </c>
      <c r="M132" s="502"/>
      <c r="N132" s="502">
        <v>380</v>
      </c>
    </row>
    <row r="133" spans="2:14">
      <c r="B133" s="502"/>
      <c r="C133" s="502">
        <v>7.3999999999999897</v>
      </c>
      <c r="D133" s="502">
        <v>3.4</v>
      </c>
      <c r="E133" s="502"/>
      <c r="F133" s="502">
        <v>3.4</v>
      </c>
      <c r="G133" s="502">
        <v>8.3999999999999897</v>
      </c>
      <c r="H133" s="502"/>
      <c r="I133" s="506">
        <v>45</v>
      </c>
      <c r="J133" s="504">
        <v>9.3999999999999897</v>
      </c>
      <c r="K133" s="518">
        <v>0.125</v>
      </c>
      <c r="L133" s="508">
        <v>29</v>
      </c>
      <c r="M133" s="502"/>
      <c r="N133" s="502">
        <v>390</v>
      </c>
    </row>
    <row r="134" spans="2:14">
      <c r="B134" s="502"/>
      <c r="C134" s="503">
        <v>7.4999999999999902</v>
      </c>
      <c r="D134" s="502">
        <v>3.5</v>
      </c>
      <c r="E134" s="502"/>
      <c r="F134" s="502">
        <v>3.5</v>
      </c>
      <c r="G134" s="502">
        <v>8.4999999999999893</v>
      </c>
      <c r="H134" s="502"/>
      <c r="I134" s="506">
        <v>46</v>
      </c>
      <c r="J134" s="504">
        <v>9.4999999999999893</v>
      </c>
      <c r="K134" s="518">
        <v>0.13</v>
      </c>
      <c r="L134" s="508">
        <v>30</v>
      </c>
      <c r="M134" s="502"/>
      <c r="N134" s="502">
        <v>400</v>
      </c>
    </row>
    <row r="135" spans="2:14">
      <c r="B135" s="502"/>
      <c r="C135" s="502">
        <v>7.5999999999999899</v>
      </c>
      <c r="D135" s="502"/>
      <c r="E135" s="502"/>
      <c r="F135" s="502">
        <v>3.6</v>
      </c>
      <c r="G135" s="502">
        <v>8.5999999999999908</v>
      </c>
      <c r="H135" s="502"/>
      <c r="I135" s="506">
        <v>47</v>
      </c>
      <c r="J135" s="504">
        <v>9.5999999999999908</v>
      </c>
      <c r="K135" s="518">
        <v>0.13500000000000001</v>
      </c>
      <c r="L135" s="508">
        <v>31</v>
      </c>
      <c r="M135" s="502"/>
      <c r="N135" s="502">
        <v>410</v>
      </c>
    </row>
    <row r="136" spans="2:14">
      <c r="B136" s="502"/>
      <c r="C136" s="503">
        <v>7.6999999999999904</v>
      </c>
      <c r="D136" s="502"/>
      <c r="E136" s="502"/>
      <c r="F136" s="502">
        <v>3.7</v>
      </c>
      <c r="G136" s="502">
        <v>8.6999999999999904</v>
      </c>
      <c r="H136" s="502"/>
      <c r="I136" s="506">
        <v>48</v>
      </c>
      <c r="J136" s="504">
        <v>9.6999999999999904</v>
      </c>
      <c r="K136" s="518">
        <v>0.14000000000000001</v>
      </c>
      <c r="L136" s="508">
        <v>32</v>
      </c>
      <c r="M136" s="502"/>
      <c r="N136" s="502">
        <v>420</v>
      </c>
    </row>
    <row r="137" spans="2:14">
      <c r="B137" s="502"/>
      <c r="C137" s="502">
        <v>7.7999999999999901</v>
      </c>
      <c r="D137" s="502"/>
      <c r="E137" s="502"/>
      <c r="F137" s="502">
        <v>3.8</v>
      </c>
      <c r="G137" s="502">
        <v>8.7999999999999901</v>
      </c>
      <c r="H137" s="502"/>
      <c r="I137" s="506">
        <v>49</v>
      </c>
      <c r="J137" s="504">
        <v>9.7999999999999901</v>
      </c>
      <c r="K137" s="518">
        <v>0.14499999999999999</v>
      </c>
      <c r="L137" s="508">
        <v>33</v>
      </c>
      <c r="M137" s="502"/>
      <c r="N137" s="502">
        <v>430</v>
      </c>
    </row>
    <row r="138" spans="2:14">
      <c r="B138" s="502"/>
      <c r="C138" s="503">
        <v>7.8999999999999897</v>
      </c>
      <c r="D138" s="502"/>
      <c r="E138" s="502"/>
      <c r="F138" s="502">
        <v>3.9</v>
      </c>
      <c r="G138" s="502">
        <v>8.8999999999999897</v>
      </c>
      <c r="H138" s="502"/>
      <c r="I138" s="506">
        <v>50</v>
      </c>
      <c r="J138" s="504">
        <v>9.8999999999999897</v>
      </c>
      <c r="K138" s="518">
        <v>0.15</v>
      </c>
      <c r="L138" s="508">
        <v>34</v>
      </c>
      <c r="M138" s="502"/>
      <c r="N138" s="502">
        <v>440</v>
      </c>
    </row>
    <row r="139" spans="2:14">
      <c r="B139" s="502"/>
      <c r="C139" s="502">
        <v>7.9999999999999902</v>
      </c>
      <c r="D139" s="502"/>
      <c r="E139" s="502"/>
      <c r="F139" s="502">
        <v>4</v>
      </c>
      <c r="G139" s="502">
        <v>8.9999999999999893</v>
      </c>
      <c r="H139" s="502"/>
      <c r="I139" s="506">
        <v>51</v>
      </c>
      <c r="J139" s="504">
        <v>9.9999999999999893</v>
      </c>
      <c r="K139" s="518">
        <v>0.155</v>
      </c>
      <c r="L139" s="508">
        <v>35</v>
      </c>
      <c r="M139" s="502"/>
      <c r="N139" s="502">
        <v>450</v>
      </c>
    </row>
    <row r="140" spans="2:14">
      <c r="B140" s="502"/>
      <c r="C140" s="503">
        <v>8.0999999999999908</v>
      </c>
      <c r="D140" s="502"/>
      <c r="E140" s="502"/>
      <c r="F140" s="502">
        <v>4.0999999999999996</v>
      </c>
      <c r="G140" s="502">
        <v>9.0999999999999908</v>
      </c>
      <c r="H140" s="502"/>
      <c r="I140" s="506">
        <v>52</v>
      </c>
      <c r="J140" s="504">
        <v>10.1</v>
      </c>
      <c r="K140" s="518">
        <v>0.16</v>
      </c>
      <c r="L140" s="508">
        <v>36</v>
      </c>
      <c r="M140" s="502"/>
      <c r="N140" s="502">
        <v>460</v>
      </c>
    </row>
    <row r="141" spans="2:14">
      <c r="B141" s="502"/>
      <c r="C141" s="502">
        <v>8.1999999999999904</v>
      </c>
      <c r="D141" s="502"/>
      <c r="E141" s="502"/>
      <c r="F141" s="502">
        <v>4.2</v>
      </c>
      <c r="G141" s="502">
        <v>9.1999999999999904</v>
      </c>
      <c r="H141" s="502"/>
      <c r="I141" s="506">
        <v>53</v>
      </c>
      <c r="J141" s="504">
        <v>10.199999999999999</v>
      </c>
      <c r="K141" s="518">
        <v>0.16500000000000001</v>
      </c>
      <c r="L141" s="508">
        <v>37</v>
      </c>
      <c r="M141" s="502"/>
      <c r="N141" s="502">
        <v>470</v>
      </c>
    </row>
    <row r="142" spans="2:14">
      <c r="B142" s="502"/>
      <c r="C142" s="503">
        <v>8.2999999999999901</v>
      </c>
      <c r="D142" s="502"/>
      <c r="E142" s="502"/>
      <c r="F142" s="502">
        <v>4.3</v>
      </c>
      <c r="G142" s="502">
        <v>9.2999999999999901</v>
      </c>
      <c r="H142" s="502"/>
      <c r="I142" s="506">
        <v>54</v>
      </c>
      <c r="J142" s="504">
        <v>10.3</v>
      </c>
      <c r="K142" s="518">
        <v>0.17</v>
      </c>
      <c r="L142" s="508">
        <v>38</v>
      </c>
      <c r="M142" s="502"/>
      <c r="N142" s="502">
        <v>480</v>
      </c>
    </row>
    <row r="143" spans="2:14">
      <c r="B143" s="502"/>
      <c r="C143" s="502">
        <v>8.3999999999999897</v>
      </c>
      <c r="D143" s="502"/>
      <c r="E143" s="502"/>
      <c r="F143" s="502">
        <v>4.4000000000000004</v>
      </c>
      <c r="G143" s="502">
        <v>9.3999999999999897</v>
      </c>
      <c r="H143" s="502"/>
      <c r="I143" s="506">
        <v>55</v>
      </c>
      <c r="J143" s="504">
        <v>10.4</v>
      </c>
      <c r="K143" s="518">
        <v>0.17499999999999999</v>
      </c>
      <c r="L143" s="508">
        <v>39</v>
      </c>
      <c r="M143" s="502"/>
      <c r="N143" s="502">
        <v>490</v>
      </c>
    </row>
    <row r="144" spans="2:14">
      <c r="B144" s="502"/>
      <c r="C144" s="503">
        <v>8.4999999999999893</v>
      </c>
      <c r="D144" s="502"/>
      <c r="E144" s="502"/>
      <c r="F144" s="502">
        <v>4.5</v>
      </c>
      <c r="G144" s="502">
        <v>9.4999999999999893</v>
      </c>
      <c r="H144" s="502"/>
      <c r="I144" s="506">
        <v>56</v>
      </c>
      <c r="J144" s="504">
        <v>10.5</v>
      </c>
      <c r="K144" s="518">
        <v>0.18</v>
      </c>
      <c r="L144" s="508">
        <v>40</v>
      </c>
      <c r="M144" s="502"/>
      <c r="N144" s="502">
        <v>500</v>
      </c>
    </row>
    <row r="145" spans="2:14">
      <c r="B145" s="502"/>
      <c r="C145" s="502">
        <v>8.5999999999999908</v>
      </c>
      <c r="D145" s="502"/>
      <c r="E145" s="502"/>
      <c r="F145" s="502">
        <v>4.5999999999999996</v>
      </c>
      <c r="G145" s="502">
        <v>9.5999999999999908</v>
      </c>
      <c r="H145" s="502"/>
      <c r="I145" s="506">
        <v>57</v>
      </c>
      <c r="J145" s="504">
        <v>10.6</v>
      </c>
      <c r="K145" s="518">
        <v>0.185</v>
      </c>
      <c r="L145" s="508">
        <v>41</v>
      </c>
      <c r="M145" s="502"/>
      <c r="N145" s="502"/>
    </row>
    <row r="146" spans="2:14">
      <c r="B146" s="502"/>
      <c r="C146" s="503">
        <v>8.6999999999999904</v>
      </c>
      <c r="D146" s="502"/>
      <c r="E146" s="502"/>
      <c r="F146" s="502">
        <v>4.7</v>
      </c>
      <c r="G146" s="502">
        <v>9.6999999999999904</v>
      </c>
      <c r="H146" s="502"/>
      <c r="I146" s="506">
        <v>58</v>
      </c>
      <c r="J146" s="504">
        <v>10.7</v>
      </c>
      <c r="K146" s="518">
        <v>0.19</v>
      </c>
      <c r="L146" s="508">
        <v>42</v>
      </c>
      <c r="M146" s="502"/>
      <c r="N146" s="502"/>
    </row>
    <row r="147" spans="2:14">
      <c r="B147" s="502"/>
      <c r="C147" s="502">
        <v>8.7999999999999901</v>
      </c>
      <c r="D147" s="502"/>
      <c r="E147" s="502"/>
      <c r="F147" s="502">
        <v>4.7999999999999901</v>
      </c>
      <c r="G147" s="502">
        <v>9.7999999999999901</v>
      </c>
      <c r="H147" s="502"/>
      <c r="I147" s="506">
        <v>59</v>
      </c>
      <c r="J147" s="504">
        <v>10.8</v>
      </c>
      <c r="K147" s="518">
        <v>0.19500000000000001</v>
      </c>
      <c r="L147" s="508">
        <v>43</v>
      </c>
      <c r="M147" s="502"/>
      <c r="N147" s="502"/>
    </row>
    <row r="148" spans="2:14">
      <c r="B148" s="502"/>
      <c r="C148" s="503">
        <v>8.8999999999999897</v>
      </c>
      <c r="D148" s="502"/>
      <c r="E148" s="502"/>
      <c r="F148" s="502">
        <v>4.8999999999999897</v>
      </c>
      <c r="G148" s="502">
        <v>9.8999999999999897</v>
      </c>
      <c r="H148" s="502"/>
      <c r="I148" s="506">
        <v>60</v>
      </c>
      <c r="J148" s="504">
        <v>10.9</v>
      </c>
      <c r="K148" s="518">
        <v>0.2</v>
      </c>
      <c r="L148" s="508">
        <v>44</v>
      </c>
      <c r="M148" s="502"/>
      <c r="N148" s="502"/>
    </row>
    <row r="149" spans="2:14">
      <c r="B149" s="502"/>
      <c r="C149" s="502">
        <v>8.9999999999999893</v>
      </c>
      <c r="D149" s="502"/>
      <c r="E149" s="502"/>
      <c r="F149" s="502">
        <v>5</v>
      </c>
      <c r="G149" s="502">
        <v>9.9999999999999893</v>
      </c>
      <c r="H149" s="502"/>
      <c r="I149" s="506">
        <v>61</v>
      </c>
      <c r="J149" s="504">
        <v>11</v>
      </c>
      <c r="K149" s="518">
        <v>0.20499999999999999</v>
      </c>
      <c r="L149" s="508">
        <v>45</v>
      </c>
      <c r="M149" s="502"/>
      <c r="N149" s="502"/>
    </row>
    <row r="150" spans="2:14">
      <c r="B150" s="502"/>
      <c r="C150" s="503">
        <v>9.0999999999999908</v>
      </c>
      <c r="D150" s="502"/>
      <c r="E150" s="502"/>
      <c r="F150" s="502">
        <v>5.0999999999999899</v>
      </c>
      <c r="G150" s="502"/>
      <c r="H150" s="502"/>
      <c r="I150" s="506">
        <v>62</v>
      </c>
      <c r="J150" s="504">
        <v>11.1</v>
      </c>
      <c r="K150" s="518">
        <v>0.21</v>
      </c>
      <c r="L150" s="508">
        <v>46</v>
      </c>
      <c r="M150" s="502"/>
      <c r="N150" s="502"/>
    </row>
    <row r="151" spans="2:14">
      <c r="B151" s="502"/>
      <c r="C151" s="502">
        <v>9.1999999999999904</v>
      </c>
      <c r="D151" s="502"/>
      <c r="E151" s="502"/>
      <c r="F151" s="502">
        <v>5.1999999999999904</v>
      </c>
      <c r="G151" s="502"/>
      <c r="H151" s="502"/>
      <c r="I151" s="506">
        <v>63</v>
      </c>
      <c r="J151" s="504">
        <v>11.2</v>
      </c>
      <c r="K151" s="518">
        <v>0.215</v>
      </c>
      <c r="L151" s="508">
        <v>47</v>
      </c>
      <c r="M151" s="502"/>
      <c r="N151" s="502"/>
    </row>
    <row r="152" spans="2:14">
      <c r="B152" s="502"/>
      <c r="C152" s="503">
        <v>9.2999999999999794</v>
      </c>
      <c r="D152" s="502"/>
      <c r="E152" s="502"/>
      <c r="F152" s="502">
        <v>5.2999999999999901</v>
      </c>
      <c r="G152" s="502"/>
      <c r="H152" s="502"/>
      <c r="I152" s="506">
        <v>64</v>
      </c>
      <c r="J152" s="504">
        <v>11.3</v>
      </c>
      <c r="K152" s="518">
        <v>0.22</v>
      </c>
      <c r="L152" s="508">
        <v>48</v>
      </c>
      <c r="M152" s="502"/>
      <c r="N152" s="502"/>
    </row>
    <row r="153" spans="2:14">
      <c r="B153" s="502"/>
      <c r="C153" s="502">
        <v>9.3999999999999808</v>
      </c>
      <c r="D153" s="502"/>
      <c r="E153" s="502"/>
      <c r="F153" s="502">
        <v>5.3999999999999897</v>
      </c>
      <c r="G153" s="502"/>
      <c r="H153" s="502"/>
      <c r="I153" s="506">
        <v>65</v>
      </c>
      <c r="J153" s="504">
        <v>11.4</v>
      </c>
      <c r="K153" s="518">
        <v>0.22500000000000001</v>
      </c>
      <c r="L153" s="508">
        <v>49</v>
      </c>
      <c r="M153" s="502"/>
      <c r="N153" s="502"/>
    </row>
    <row r="154" spans="2:14">
      <c r="B154" s="502"/>
      <c r="C154" s="503">
        <v>9.4999999999999805</v>
      </c>
      <c r="D154" s="502"/>
      <c r="E154" s="502"/>
      <c r="F154" s="502">
        <v>5.4999999999999902</v>
      </c>
      <c r="G154" s="502"/>
      <c r="H154" s="502"/>
      <c r="I154" s="506">
        <v>66</v>
      </c>
      <c r="J154" s="504">
        <v>11.5</v>
      </c>
      <c r="K154" s="518">
        <v>0.23</v>
      </c>
      <c r="L154" s="508">
        <v>50</v>
      </c>
      <c r="M154" s="502"/>
      <c r="N154" s="502"/>
    </row>
    <row r="155" spans="2:14">
      <c r="B155" s="502"/>
      <c r="C155" s="502">
        <v>9.5999999999999801</v>
      </c>
      <c r="D155" s="502"/>
      <c r="E155" s="502"/>
      <c r="F155" s="502">
        <v>5.5999999999999899</v>
      </c>
      <c r="G155" s="502"/>
      <c r="H155" s="502"/>
      <c r="I155" s="506">
        <v>67</v>
      </c>
      <c r="J155" s="504">
        <v>11.6</v>
      </c>
      <c r="K155" s="518">
        <v>0.23499999999999999</v>
      </c>
      <c r="L155" s="508">
        <v>51</v>
      </c>
      <c r="M155" s="502"/>
      <c r="N155" s="502"/>
    </row>
    <row r="156" spans="2:14">
      <c r="B156" s="502"/>
      <c r="C156" s="503">
        <v>9.6999999999999797</v>
      </c>
      <c r="D156" s="502"/>
      <c r="E156" s="502"/>
      <c r="F156" s="502">
        <v>5.6999999999999904</v>
      </c>
      <c r="G156" s="502"/>
      <c r="H156" s="502"/>
      <c r="I156" s="506">
        <v>68</v>
      </c>
      <c r="J156" s="504">
        <v>11.7</v>
      </c>
      <c r="K156" s="518">
        <v>0.24</v>
      </c>
      <c r="L156" s="508">
        <v>52</v>
      </c>
      <c r="M156" s="502"/>
      <c r="N156" s="502"/>
    </row>
    <row r="157" spans="2:14">
      <c r="B157" s="502"/>
      <c r="C157" s="502">
        <v>9.7999999999999794</v>
      </c>
      <c r="D157" s="502"/>
      <c r="E157" s="502"/>
      <c r="F157" s="502">
        <v>5.7999999999999901</v>
      </c>
      <c r="G157" s="502"/>
      <c r="H157" s="502"/>
      <c r="I157" s="506">
        <v>69</v>
      </c>
      <c r="J157" s="504">
        <v>11.8</v>
      </c>
      <c r="K157" s="518">
        <v>0.245</v>
      </c>
      <c r="L157" s="508">
        <v>53</v>
      </c>
      <c r="M157" s="502"/>
      <c r="N157" s="502"/>
    </row>
    <row r="158" spans="2:14">
      <c r="B158" s="502"/>
      <c r="C158" s="503">
        <v>9.8999999999999808</v>
      </c>
      <c r="D158" s="502"/>
      <c r="E158" s="502"/>
      <c r="F158" s="502">
        <v>5.8999999999999897</v>
      </c>
      <c r="G158" s="502"/>
      <c r="H158" s="502"/>
      <c r="I158" s="506">
        <v>70</v>
      </c>
      <c r="J158" s="504">
        <v>11.9</v>
      </c>
      <c r="K158" s="518">
        <v>0.25</v>
      </c>
      <c r="L158" s="508">
        <v>54</v>
      </c>
      <c r="M158" s="502"/>
      <c r="N158" s="502"/>
    </row>
    <row r="159" spans="2:14">
      <c r="B159" s="502"/>
      <c r="C159" s="502">
        <v>9.9999999999999805</v>
      </c>
      <c r="D159" s="502"/>
      <c r="E159" s="502"/>
      <c r="F159" s="502">
        <v>5.9999999999999902</v>
      </c>
      <c r="G159" s="502"/>
      <c r="H159" s="502"/>
      <c r="I159" s="506">
        <v>71</v>
      </c>
      <c r="J159" s="504">
        <v>12</v>
      </c>
      <c r="K159" s="518">
        <v>0.255</v>
      </c>
      <c r="L159" s="508">
        <v>55</v>
      </c>
      <c r="M159" s="502"/>
      <c r="N159" s="502"/>
    </row>
    <row r="160" spans="2:14">
      <c r="B160" s="502"/>
      <c r="C160" s="503">
        <v>10.1</v>
      </c>
      <c r="D160" s="502"/>
      <c r="E160" s="502"/>
      <c r="F160" s="502">
        <v>6.0999999999999899</v>
      </c>
      <c r="G160" s="502"/>
      <c r="H160" s="502"/>
      <c r="I160" s="506">
        <v>72</v>
      </c>
      <c r="J160" s="504">
        <v>12.1</v>
      </c>
      <c r="K160" s="518">
        <v>0.26</v>
      </c>
      <c r="L160" s="508">
        <v>56</v>
      </c>
      <c r="M160" s="502"/>
      <c r="N160" s="502"/>
    </row>
    <row r="161" spans="2:14">
      <c r="B161" s="502"/>
      <c r="C161" s="502">
        <v>10.199999999999999</v>
      </c>
      <c r="D161" s="502"/>
      <c r="E161" s="502"/>
      <c r="F161" s="502">
        <v>6.1999999999999904</v>
      </c>
      <c r="G161" s="502"/>
      <c r="H161" s="502"/>
      <c r="I161" s="506">
        <v>73</v>
      </c>
      <c r="J161" s="504">
        <v>12.2</v>
      </c>
      <c r="K161" s="518">
        <v>0.26500000000000001</v>
      </c>
      <c r="L161" s="508">
        <v>57</v>
      </c>
      <c r="M161" s="502"/>
      <c r="N161" s="502"/>
    </row>
    <row r="162" spans="2:14">
      <c r="B162" s="502"/>
      <c r="C162" s="503">
        <v>10.3</v>
      </c>
      <c r="D162" s="502"/>
      <c r="E162" s="502"/>
      <c r="F162" s="502">
        <v>6.2999999999999901</v>
      </c>
      <c r="G162" s="502"/>
      <c r="H162" s="502"/>
      <c r="I162" s="506">
        <v>74</v>
      </c>
      <c r="J162" s="504">
        <v>12.3</v>
      </c>
      <c r="K162" s="518">
        <v>0.27</v>
      </c>
      <c r="L162" s="508">
        <v>58</v>
      </c>
      <c r="M162" s="502"/>
      <c r="N162" s="502"/>
    </row>
    <row r="163" spans="2:14">
      <c r="B163" s="502"/>
      <c r="C163" s="502">
        <v>10.4</v>
      </c>
      <c r="D163" s="502"/>
      <c r="E163" s="502"/>
      <c r="F163" s="502">
        <v>6.3999999999999897</v>
      </c>
      <c r="G163" s="502"/>
      <c r="H163" s="502"/>
      <c r="I163" s="506">
        <v>75</v>
      </c>
      <c r="J163" s="504">
        <v>12.4</v>
      </c>
      <c r="K163" s="518">
        <v>0.27500000000000002</v>
      </c>
      <c r="L163" s="508">
        <v>59</v>
      </c>
      <c r="M163" s="502"/>
      <c r="N163" s="502"/>
    </row>
    <row r="164" spans="2:14">
      <c r="B164" s="502"/>
      <c r="C164" s="503">
        <v>10.5</v>
      </c>
      <c r="D164" s="502"/>
      <c r="E164" s="502"/>
      <c r="F164" s="502">
        <v>6.4999999999999902</v>
      </c>
      <c r="G164" s="502"/>
      <c r="H164" s="502"/>
      <c r="I164" s="506">
        <v>76</v>
      </c>
      <c r="J164" s="504">
        <v>12.5</v>
      </c>
      <c r="K164" s="518">
        <v>0.28000000000000003</v>
      </c>
      <c r="L164" s="508">
        <v>60</v>
      </c>
      <c r="M164" s="502"/>
      <c r="N164" s="502"/>
    </row>
    <row r="165" spans="2:14">
      <c r="B165" s="502"/>
      <c r="C165" s="502">
        <v>10.6</v>
      </c>
      <c r="D165" s="502"/>
      <c r="E165" s="502"/>
      <c r="F165" s="502">
        <v>6.5999999999999899</v>
      </c>
      <c r="G165" s="502"/>
      <c r="H165" s="502"/>
      <c r="I165" s="506">
        <v>77</v>
      </c>
      <c r="J165" s="504">
        <v>12.6</v>
      </c>
      <c r="K165" s="518">
        <v>0.28499999999999998</v>
      </c>
      <c r="L165" s="508">
        <v>61</v>
      </c>
      <c r="M165" s="502"/>
      <c r="N165" s="502"/>
    </row>
    <row r="166" spans="2:14">
      <c r="B166" s="502"/>
      <c r="C166" s="503">
        <v>10.7</v>
      </c>
      <c r="D166" s="502"/>
      <c r="E166" s="502"/>
      <c r="F166" s="502">
        <v>6.6999999999999904</v>
      </c>
      <c r="G166" s="502"/>
      <c r="H166" s="502"/>
      <c r="I166" s="506">
        <v>78</v>
      </c>
      <c r="J166" s="504">
        <v>12.7</v>
      </c>
      <c r="K166" s="518">
        <v>0.28999999999999998</v>
      </c>
      <c r="L166" s="508">
        <v>62</v>
      </c>
      <c r="M166" s="502"/>
      <c r="N166" s="502"/>
    </row>
    <row r="167" spans="2:14">
      <c r="B167" s="502"/>
      <c r="C167" s="502">
        <v>10.8</v>
      </c>
      <c r="D167" s="502"/>
      <c r="E167" s="502"/>
      <c r="F167" s="502">
        <v>6.7999999999999901</v>
      </c>
      <c r="G167" s="502"/>
      <c r="H167" s="502"/>
      <c r="I167" s="506">
        <v>79</v>
      </c>
      <c r="J167" s="504">
        <v>12.8</v>
      </c>
      <c r="K167" s="518">
        <v>0.29499999999999998</v>
      </c>
      <c r="L167" s="508">
        <v>63</v>
      </c>
      <c r="M167" s="502"/>
      <c r="N167" s="502"/>
    </row>
    <row r="168" spans="2:14">
      <c r="B168" s="502"/>
      <c r="C168" s="503">
        <v>10.9</v>
      </c>
      <c r="D168" s="502"/>
      <c r="E168" s="502"/>
      <c r="F168" s="502">
        <v>6.8999999999999897</v>
      </c>
      <c r="G168" s="502"/>
      <c r="H168" s="502"/>
      <c r="I168" s="506">
        <v>80</v>
      </c>
      <c r="J168" s="504">
        <v>12.9</v>
      </c>
      <c r="K168" s="518">
        <v>0.3</v>
      </c>
      <c r="L168" s="508">
        <v>64</v>
      </c>
      <c r="M168" s="502"/>
      <c r="N168" s="502"/>
    </row>
    <row r="169" spans="2:14">
      <c r="B169" s="502"/>
      <c r="C169" s="502">
        <v>11</v>
      </c>
      <c r="D169" s="502"/>
      <c r="E169" s="502"/>
      <c r="F169" s="502">
        <v>6.9999999999999902</v>
      </c>
      <c r="G169" s="502"/>
      <c r="H169" s="502"/>
      <c r="I169" s="506">
        <v>81</v>
      </c>
      <c r="J169" s="504">
        <v>13</v>
      </c>
      <c r="K169" s="518">
        <v>0.30499999999999999</v>
      </c>
      <c r="L169" s="508">
        <v>65</v>
      </c>
      <c r="M169" s="502"/>
      <c r="N169" s="502"/>
    </row>
    <row r="170" spans="2:14">
      <c r="B170" s="502"/>
      <c r="C170" s="503">
        <v>11.1</v>
      </c>
      <c r="D170" s="502"/>
      <c r="E170" s="502"/>
      <c r="F170" s="502">
        <v>7.0999999999999899</v>
      </c>
      <c r="G170" s="502"/>
      <c r="H170" s="502"/>
      <c r="I170" s="506">
        <v>82</v>
      </c>
      <c r="J170" s="504">
        <v>13.1</v>
      </c>
      <c r="K170" s="518">
        <v>0.31</v>
      </c>
      <c r="L170" s="508">
        <v>66</v>
      </c>
      <c r="M170" s="502"/>
      <c r="N170" s="502"/>
    </row>
    <row r="171" spans="2:14">
      <c r="B171" s="502"/>
      <c r="C171" s="502">
        <v>11.2</v>
      </c>
      <c r="D171" s="502"/>
      <c r="E171" s="502"/>
      <c r="F171" s="502">
        <v>7.1999999999999904</v>
      </c>
      <c r="G171" s="502"/>
      <c r="H171" s="502"/>
      <c r="I171" s="506">
        <v>83</v>
      </c>
      <c r="J171" s="504">
        <v>13.2</v>
      </c>
      <c r="K171" s="518">
        <v>0.315</v>
      </c>
      <c r="L171" s="508">
        <v>67</v>
      </c>
      <c r="M171" s="502"/>
      <c r="N171" s="502"/>
    </row>
    <row r="172" spans="2:14">
      <c r="B172" s="502"/>
      <c r="C172" s="503">
        <v>11.3</v>
      </c>
      <c r="D172" s="502"/>
      <c r="E172" s="502"/>
      <c r="F172" s="502">
        <v>7.2999999999999901</v>
      </c>
      <c r="G172" s="502"/>
      <c r="H172" s="502"/>
      <c r="I172" s="506">
        <v>84</v>
      </c>
      <c r="J172" s="504">
        <v>13.3</v>
      </c>
      <c r="K172" s="518">
        <v>0.32</v>
      </c>
      <c r="L172" s="508">
        <v>68</v>
      </c>
      <c r="M172" s="502"/>
      <c r="N172" s="502"/>
    </row>
    <row r="173" spans="2:14">
      <c r="B173" s="502"/>
      <c r="C173" s="502">
        <v>11.4</v>
      </c>
      <c r="D173" s="502"/>
      <c r="E173" s="502"/>
      <c r="F173" s="502">
        <v>7.3999999999999897</v>
      </c>
      <c r="G173" s="502"/>
      <c r="H173" s="502"/>
      <c r="I173" s="506">
        <v>85</v>
      </c>
      <c r="J173" s="504">
        <v>13.4</v>
      </c>
      <c r="K173" s="518">
        <v>0.32500000000000001</v>
      </c>
      <c r="L173" s="508">
        <v>69</v>
      </c>
      <c r="M173" s="502"/>
      <c r="N173" s="502"/>
    </row>
    <row r="174" spans="2:14">
      <c r="B174" s="502"/>
      <c r="C174" s="503">
        <v>11.5</v>
      </c>
      <c r="D174" s="502"/>
      <c r="E174" s="502"/>
      <c r="F174" s="502">
        <v>7.4999999999999902</v>
      </c>
      <c r="G174" s="502"/>
      <c r="H174" s="502"/>
      <c r="I174" s="506">
        <v>86</v>
      </c>
      <c r="J174" s="504">
        <v>13.5</v>
      </c>
      <c r="K174" s="518">
        <v>0.33</v>
      </c>
      <c r="L174" s="508">
        <v>70</v>
      </c>
      <c r="M174" s="502"/>
      <c r="N174" s="502"/>
    </row>
    <row r="175" spans="2:14">
      <c r="B175" s="502"/>
      <c r="C175" s="502">
        <v>11.6</v>
      </c>
      <c r="D175" s="502"/>
      <c r="E175" s="502"/>
      <c r="F175" s="502">
        <v>7.5999999999999899</v>
      </c>
      <c r="G175" s="502"/>
      <c r="H175" s="502"/>
      <c r="I175" s="506">
        <v>87</v>
      </c>
      <c r="J175" s="504">
        <v>13.6</v>
      </c>
      <c r="K175" s="518">
        <v>0.33500000000000002</v>
      </c>
      <c r="L175" s="508">
        <v>71</v>
      </c>
      <c r="M175" s="502"/>
      <c r="N175" s="502"/>
    </row>
    <row r="176" spans="2:14">
      <c r="B176" s="502"/>
      <c r="C176" s="503">
        <v>11.7</v>
      </c>
      <c r="D176" s="502"/>
      <c r="E176" s="502"/>
      <c r="F176" s="502">
        <v>7.6999999999999904</v>
      </c>
      <c r="G176" s="502"/>
      <c r="H176" s="502"/>
      <c r="I176" s="506">
        <v>88</v>
      </c>
      <c r="J176" s="504">
        <v>13.7</v>
      </c>
      <c r="K176" s="518">
        <v>0.34</v>
      </c>
      <c r="L176" s="508">
        <v>72</v>
      </c>
      <c r="M176" s="502"/>
      <c r="N176" s="502"/>
    </row>
    <row r="177" spans="2:14">
      <c r="B177" s="502"/>
      <c r="C177" s="502">
        <v>11.8</v>
      </c>
      <c r="D177" s="502"/>
      <c r="E177" s="502"/>
      <c r="F177" s="502">
        <v>7.7999999999999901</v>
      </c>
      <c r="G177" s="502"/>
      <c r="H177" s="502"/>
      <c r="I177" s="506">
        <v>89</v>
      </c>
      <c r="J177" s="504">
        <v>13.8</v>
      </c>
      <c r="K177" s="518">
        <v>0.34499999999999997</v>
      </c>
      <c r="L177" s="508">
        <v>73</v>
      </c>
      <c r="M177" s="502"/>
      <c r="N177" s="502"/>
    </row>
    <row r="178" spans="2:14">
      <c r="B178" s="502"/>
      <c r="C178" s="503">
        <v>11.9</v>
      </c>
      <c r="D178" s="502"/>
      <c r="E178" s="502"/>
      <c r="F178" s="502">
        <v>7.8999999999999897</v>
      </c>
      <c r="G178" s="502"/>
      <c r="H178" s="502"/>
      <c r="I178" s="506">
        <v>90</v>
      </c>
      <c r="J178" s="504">
        <v>13.9</v>
      </c>
      <c r="K178" s="518">
        <v>0.35</v>
      </c>
      <c r="L178" s="508">
        <v>74</v>
      </c>
      <c r="M178" s="502"/>
      <c r="N178" s="502"/>
    </row>
    <row r="179" spans="2:14">
      <c r="B179" s="502"/>
      <c r="C179" s="502">
        <v>12</v>
      </c>
      <c r="D179" s="502"/>
      <c r="E179" s="502"/>
      <c r="F179" s="502">
        <v>7.9999999999999902</v>
      </c>
      <c r="G179" s="502"/>
      <c r="H179" s="502"/>
      <c r="I179" s="506">
        <v>91</v>
      </c>
      <c r="J179" s="504">
        <v>14</v>
      </c>
      <c r="K179" s="518">
        <v>0.35499999999999998</v>
      </c>
      <c r="L179" s="508">
        <v>75</v>
      </c>
      <c r="M179" s="502"/>
      <c r="N179" s="502"/>
    </row>
    <row r="180" spans="2:14">
      <c r="B180" s="502"/>
      <c r="C180" s="503">
        <v>12.1</v>
      </c>
      <c r="D180" s="502"/>
      <c r="E180" s="502"/>
      <c r="F180" s="502">
        <v>8.0999999999999908</v>
      </c>
      <c r="G180" s="502"/>
      <c r="H180" s="502"/>
      <c r="I180" s="506">
        <v>92</v>
      </c>
      <c r="J180" s="504">
        <v>14.1</v>
      </c>
      <c r="K180" s="518">
        <v>0.36</v>
      </c>
      <c r="L180" s="508">
        <v>76</v>
      </c>
      <c r="M180" s="502"/>
      <c r="N180" s="502"/>
    </row>
    <row r="181" spans="2:14">
      <c r="B181" s="502"/>
      <c r="C181" s="502">
        <v>12.2</v>
      </c>
      <c r="D181" s="502"/>
      <c r="E181" s="502"/>
      <c r="F181" s="502">
        <v>8.1999999999999904</v>
      </c>
      <c r="G181" s="502"/>
      <c r="H181" s="502"/>
      <c r="I181" s="506">
        <v>93</v>
      </c>
      <c r="J181" s="504">
        <v>14.2</v>
      </c>
      <c r="K181" s="518">
        <v>0.36499999999999999</v>
      </c>
      <c r="L181" s="508">
        <v>77</v>
      </c>
      <c r="M181" s="502"/>
      <c r="N181" s="502"/>
    </row>
    <row r="182" spans="2:14">
      <c r="B182" s="502"/>
      <c r="C182" s="503">
        <v>12.3</v>
      </c>
      <c r="D182" s="502"/>
      <c r="E182" s="502"/>
      <c r="F182" s="502">
        <v>8.2999999999999901</v>
      </c>
      <c r="G182" s="502"/>
      <c r="H182" s="502"/>
      <c r="I182" s="506">
        <v>94</v>
      </c>
      <c r="J182" s="504">
        <v>14.3</v>
      </c>
      <c r="K182" s="518">
        <v>0.37</v>
      </c>
      <c r="L182" s="508">
        <v>78</v>
      </c>
      <c r="M182" s="502"/>
      <c r="N182" s="502"/>
    </row>
    <row r="183" spans="2:14">
      <c r="B183" s="502"/>
      <c r="C183" s="502">
        <v>12.4</v>
      </c>
      <c r="D183" s="502"/>
      <c r="E183" s="502"/>
      <c r="F183" s="502">
        <v>8.3999999999999897</v>
      </c>
      <c r="G183" s="502"/>
      <c r="H183" s="502"/>
      <c r="I183" s="506">
        <v>95</v>
      </c>
      <c r="J183" s="504">
        <v>14.4</v>
      </c>
      <c r="K183" s="518">
        <v>0.375</v>
      </c>
      <c r="L183" s="508">
        <v>79</v>
      </c>
      <c r="M183" s="502"/>
      <c r="N183" s="502"/>
    </row>
    <row r="184" spans="2:14">
      <c r="B184" s="502"/>
      <c r="C184" s="503">
        <v>12.5</v>
      </c>
      <c r="D184" s="502"/>
      <c r="E184" s="502"/>
      <c r="F184" s="502">
        <v>8.4999999999999893</v>
      </c>
      <c r="G184" s="502"/>
      <c r="H184" s="502"/>
      <c r="I184" s="506">
        <v>96</v>
      </c>
      <c r="J184" s="504">
        <v>14.5</v>
      </c>
      <c r="K184" s="518">
        <v>0.38</v>
      </c>
      <c r="L184" s="508">
        <v>80</v>
      </c>
      <c r="M184" s="502"/>
      <c r="N184" s="502"/>
    </row>
    <row r="185" spans="2:14">
      <c r="B185" s="502"/>
      <c r="C185" s="502">
        <v>12.6</v>
      </c>
      <c r="D185" s="502"/>
      <c r="E185" s="502"/>
      <c r="F185" s="502">
        <v>8.5999999999999908</v>
      </c>
      <c r="G185" s="502"/>
      <c r="H185" s="502"/>
      <c r="I185" s="506">
        <v>97</v>
      </c>
      <c r="J185" s="504">
        <v>14.6</v>
      </c>
      <c r="K185" s="518">
        <v>0.38500000000000001</v>
      </c>
      <c r="L185" s="508">
        <v>81</v>
      </c>
      <c r="M185" s="502"/>
      <c r="N185" s="502"/>
    </row>
    <row r="186" spans="2:14">
      <c r="B186" s="502"/>
      <c r="C186" s="503">
        <v>12.7</v>
      </c>
      <c r="D186" s="502"/>
      <c r="E186" s="502"/>
      <c r="F186" s="502">
        <v>8.6999999999999904</v>
      </c>
      <c r="G186" s="502"/>
      <c r="H186" s="502"/>
      <c r="I186" s="506">
        <v>98</v>
      </c>
      <c r="J186" s="504">
        <v>14.7</v>
      </c>
      <c r="K186" s="518">
        <v>0.39</v>
      </c>
      <c r="L186" s="508">
        <v>82</v>
      </c>
      <c r="M186" s="502"/>
      <c r="N186" s="502"/>
    </row>
    <row r="187" spans="2:14">
      <c r="B187" s="502"/>
      <c r="C187" s="502">
        <v>12.8</v>
      </c>
      <c r="D187" s="502"/>
      <c r="E187" s="502"/>
      <c r="F187" s="502">
        <v>8.7999999999999901</v>
      </c>
      <c r="G187" s="502"/>
      <c r="H187" s="502"/>
      <c r="I187" s="506">
        <v>99</v>
      </c>
      <c r="J187" s="504">
        <v>14.8</v>
      </c>
      <c r="K187" s="518">
        <v>0.39500000000000002</v>
      </c>
      <c r="L187" s="508">
        <v>83</v>
      </c>
      <c r="M187" s="502"/>
      <c r="N187" s="502"/>
    </row>
    <row r="188" spans="2:14">
      <c r="B188" s="502"/>
      <c r="C188" s="503">
        <v>12.9</v>
      </c>
      <c r="D188" s="502"/>
      <c r="E188" s="502"/>
      <c r="F188" s="502">
        <v>8.8999999999999897</v>
      </c>
      <c r="G188" s="502"/>
      <c r="H188" s="502"/>
      <c r="I188" s="506">
        <v>100</v>
      </c>
      <c r="J188" s="504">
        <v>14.9</v>
      </c>
      <c r="K188" s="518">
        <v>0.4</v>
      </c>
      <c r="L188" s="508">
        <v>84</v>
      </c>
      <c r="M188" s="502"/>
      <c r="N188" s="502"/>
    </row>
    <row r="189" spans="2:14">
      <c r="B189" s="502"/>
      <c r="C189" s="502">
        <v>13</v>
      </c>
      <c r="D189" s="502"/>
      <c r="E189" s="502"/>
      <c r="F189" s="502">
        <v>8.9999999999999893</v>
      </c>
      <c r="G189" s="502"/>
      <c r="H189" s="502"/>
      <c r="I189" s="502"/>
      <c r="J189" s="504">
        <v>15</v>
      </c>
      <c r="K189" s="518">
        <v>0.40500000000000003</v>
      </c>
      <c r="L189" s="508">
        <v>85</v>
      </c>
      <c r="M189" s="502"/>
      <c r="N189" s="502"/>
    </row>
    <row r="190" spans="2:14">
      <c r="B190" s="502"/>
      <c r="C190" s="503">
        <v>13.1</v>
      </c>
      <c r="D190" s="502"/>
      <c r="E190" s="502"/>
      <c r="F190" s="502">
        <v>9.0999999999999908</v>
      </c>
      <c r="G190" s="502"/>
      <c r="H190" s="502"/>
      <c r="I190" s="502"/>
      <c r="J190" s="504">
        <v>15.1</v>
      </c>
      <c r="K190" s="518">
        <v>0.41</v>
      </c>
      <c r="L190" s="508">
        <v>86</v>
      </c>
      <c r="M190" s="502"/>
      <c r="N190" s="502"/>
    </row>
    <row r="191" spans="2:14">
      <c r="B191" s="502"/>
      <c r="C191" s="502">
        <v>13.2</v>
      </c>
      <c r="D191" s="502"/>
      <c r="E191" s="502"/>
      <c r="F191" s="502">
        <v>9.1999999999999904</v>
      </c>
      <c r="G191" s="502"/>
      <c r="H191" s="502"/>
      <c r="I191" s="502"/>
      <c r="J191" s="504">
        <v>15.2</v>
      </c>
      <c r="K191" s="518">
        <v>0.41499999999999998</v>
      </c>
      <c r="L191" s="508">
        <v>87</v>
      </c>
      <c r="M191" s="502"/>
      <c r="N191" s="502"/>
    </row>
    <row r="192" spans="2:14">
      <c r="B192" s="502"/>
      <c r="C192" s="503">
        <v>13.3</v>
      </c>
      <c r="D192" s="502"/>
      <c r="E192" s="502"/>
      <c r="F192" s="502">
        <v>9.2999999999999901</v>
      </c>
      <c r="G192" s="502"/>
      <c r="H192" s="502"/>
      <c r="I192" s="502"/>
      <c r="J192" s="504">
        <v>15.3</v>
      </c>
      <c r="K192" s="518">
        <v>0.42</v>
      </c>
      <c r="L192" s="508">
        <v>88</v>
      </c>
      <c r="M192" s="502"/>
      <c r="N192" s="502"/>
    </row>
    <row r="193" spans="2:14">
      <c r="B193" s="502"/>
      <c r="C193" s="502">
        <v>13.4</v>
      </c>
      <c r="D193" s="502"/>
      <c r="E193" s="502"/>
      <c r="F193" s="502">
        <v>9.3999999999999897</v>
      </c>
      <c r="G193" s="502"/>
      <c r="H193" s="502"/>
      <c r="I193" s="502"/>
      <c r="J193" s="504">
        <v>15.4</v>
      </c>
      <c r="K193" s="518">
        <v>0.42499999999999999</v>
      </c>
      <c r="L193" s="508">
        <v>89</v>
      </c>
      <c r="M193" s="502"/>
      <c r="N193" s="502"/>
    </row>
    <row r="194" spans="2:14">
      <c r="B194" s="502"/>
      <c r="C194" s="503">
        <v>13.5</v>
      </c>
      <c r="D194" s="502"/>
      <c r="E194" s="502"/>
      <c r="F194" s="502">
        <v>9.4999999999999893</v>
      </c>
      <c r="G194" s="502"/>
      <c r="H194" s="502"/>
      <c r="I194" s="502"/>
      <c r="J194" s="504">
        <v>15.5</v>
      </c>
      <c r="K194" s="518">
        <v>0.43</v>
      </c>
      <c r="L194" s="508">
        <v>90</v>
      </c>
      <c r="M194" s="502"/>
      <c r="N194" s="502"/>
    </row>
    <row r="195" spans="2:14">
      <c r="B195" s="502"/>
      <c r="C195" s="502">
        <v>13.6</v>
      </c>
      <c r="D195" s="502"/>
      <c r="E195" s="502"/>
      <c r="F195" s="502">
        <v>9.5999999999999908</v>
      </c>
      <c r="G195" s="502"/>
      <c r="H195" s="502"/>
      <c r="I195" s="502"/>
      <c r="J195" s="504">
        <v>15.6</v>
      </c>
      <c r="K195" s="518">
        <v>0.435</v>
      </c>
      <c r="L195" s="508">
        <v>91</v>
      </c>
      <c r="M195" s="502"/>
      <c r="N195" s="502"/>
    </row>
    <row r="196" spans="2:14">
      <c r="B196" s="502"/>
      <c r="C196" s="503">
        <v>13.7</v>
      </c>
      <c r="D196" s="502"/>
      <c r="E196" s="502"/>
      <c r="F196" s="502">
        <v>9.6999999999999904</v>
      </c>
      <c r="G196" s="502"/>
      <c r="H196" s="502"/>
      <c r="I196" s="502"/>
      <c r="J196" s="504">
        <v>15.7</v>
      </c>
      <c r="K196" s="518">
        <v>0.44</v>
      </c>
      <c r="L196" s="508">
        <v>92</v>
      </c>
      <c r="M196" s="502"/>
      <c r="N196" s="502"/>
    </row>
    <row r="197" spans="2:14">
      <c r="B197" s="502"/>
      <c r="C197" s="502">
        <v>13.8</v>
      </c>
      <c r="D197" s="502"/>
      <c r="E197" s="502"/>
      <c r="F197" s="502">
        <v>9.7999999999999901</v>
      </c>
      <c r="G197" s="502"/>
      <c r="H197" s="502"/>
      <c r="I197" s="502"/>
      <c r="J197" s="504">
        <v>15.8</v>
      </c>
      <c r="K197" s="518">
        <v>0.44500000000000001</v>
      </c>
      <c r="L197" s="508">
        <v>93</v>
      </c>
      <c r="M197" s="502"/>
      <c r="N197" s="502"/>
    </row>
    <row r="198" spans="2:14">
      <c r="B198" s="502"/>
      <c r="C198" s="503">
        <v>13.9</v>
      </c>
      <c r="D198" s="502"/>
      <c r="E198" s="502"/>
      <c r="F198" s="502">
        <v>9.8999999999999897</v>
      </c>
      <c r="G198" s="502"/>
      <c r="H198" s="502"/>
      <c r="I198" s="502"/>
      <c r="J198" s="504">
        <v>15.9</v>
      </c>
      <c r="K198" s="518">
        <v>0.45</v>
      </c>
      <c r="L198" s="508">
        <v>94</v>
      </c>
      <c r="M198" s="502"/>
      <c r="N198" s="502"/>
    </row>
    <row r="199" spans="2:14">
      <c r="B199" s="502"/>
      <c r="C199" s="502">
        <v>14</v>
      </c>
      <c r="D199" s="502"/>
      <c r="E199" s="502"/>
      <c r="F199" s="502">
        <v>9.9999999999999893</v>
      </c>
      <c r="G199" s="502"/>
      <c r="H199" s="502"/>
      <c r="I199" s="502"/>
      <c r="J199" s="504">
        <v>16</v>
      </c>
      <c r="K199" s="518">
        <v>0.45500000000000002</v>
      </c>
      <c r="L199" s="508">
        <v>95</v>
      </c>
      <c r="M199" s="502"/>
      <c r="N199" s="502"/>
    </row>
    <row r="200" spans="2:14">
      <c r="B200" s="502"/>
      <c r="C200" s="503">
        <v>14.1</v>
      </c>
      <c r="D200" s="502"/>
      <c r="E200" s="502"/>
      <c r="F200" s="502"/>
      <c r="G200" s="502"/>
      <c r="H200" s="502"/>
      <c r="I200" s="502"/>
      <c r="J200" s="502"/>
      <c r="K200" s="518">
        <v>0.46</v>
      </c>
      <c r="L200" s="508">
        <v>96</v>
      </c>
      <c r="M200" s="502"/>
      <c r="N200" s="502"/>
    </row>
    <row r="201" spans="2:14">
      <c r="B201" s="502"/>
      <c r="C201" s="502">
        <v>14.2</v>
      </c>
      <c r="D201" s="502"/>
      <c r="E201" s="502"/>
      <c r="F201" s="502"/>
      <c r="G201" s="502"/>
      <c r="H201" s="502"/>
      <c r="I201" s="502"/>
      <c r="J201" s="502"/>
      <c r="K201" s="518">
        <v>0.46500000000000002</v>
      </c>
      <c r="L201" s="508">
        <v>97</v>
      </c>
      <c r="M201" s="502"/>
      <c r="N201" s="502"/>
    </row>
    <row r="202" spans="2:14">
      <c r="B202" s="502"/>
      <c r="C202" s="503">
        <v>14.3</v>
      </c>
      <c r="D202" s="502"/>
      <c r="E202" s="502"/>
      <c r="F202" s="502"/>
      <c r="G202" s="502"/>
      <c r="H202" s="502"/>
      <c r="I202" s="502"/>
      <c r="J202" s="502"/>
      <c r="K202" s="518">
        <v>0.47</v>
      </c>
      <c r="L202" s="508">
        <v>98</v>
      </c>
      <c r="M202" s="502"/>
      <c r="N202" s="502"/>
    </row>
    <row r="203" spans="2:14">
      <c r="B203" s="502"/>
      <c r="C203" s="502">
        <v>14.4</v>
      </c>
      <c r="D203" s="502"/>
      <c r="E203" s="502"/>
      <c r="F203" s="502"/>
      <c r="G203" s="502"/>
      <c r="H203" s="502"/>
      <c r="I203" s="502"/>
      <c r="J203" s="502"/>
      <c r="K203" s="518">
        <v>0.47499999999999998</v>
      </c>
      <c r="L203" s="508">
        <v>99</v>
      </c>
      <c r="M203" s="502"/>
      <c r="N203" s="502"/>
    </row>
    <row r="204" spans="2:14">
      <c r="B204" s="502"/>
      <c r="C204" s="503">
        <v>14.5</v>
      </c>
      <c r="D204" s="502"/>
      <c r="E204" s="502"/>
      <c r="F204" s="502"/>
      <c r="G204" s="502"/>
      <c r="H204" s="502"/>
      <c r="I204" s="502"/>
      <c r="J204" s="502"/>
      <c r="K204" s="518">
        <v>0.48</v>
      </c>
      <c r="L204" s="508">
        <v>100</v>
      </c>
      <c r="M204" s="502"/>
      <c r="N204" s="502"/>
    </row>
    <row r="205" spans="2:14">
      <c r="B205" s="502"/>
      <c r="C205" s="502">
        <v>14.6</v>
      </c>
      <c r="D205" s="502"/>
      <c r="E205" s="502"/>
      <c r="F205" s="502"/>
      <c r="G205" s="502"/>
      <c r="H205" s="502"/>
      <c r="I205" s="502"/>
      <c r="J205" s="502"/>
      <c r="K205" s="518">
        <v>0.48499999999999999</v>
      </c>
      <c r="L205" s="508">
        <v>101</v>
      </c>
      <c r="M205" s="502"/>
      <c r="N205" s="502"/>
    </row>
    <row r="206" spans="2:14">
      <c r="B206" s="502"/>
      <c r="C206" s="503">
        <v>14.7</v>
      </c>
      <c r="D206" s="502"/>
      <c r="E206" s="502"/>
      <c r="F206" s="502"/>
      <c r="G206" s="502"/>
      <c r="H206" s="502"/>
      <c r="I206" s="502"/>
      <c r="J206" s="502"/>
      <c r="K206" s="518">
        <v>0.49</v>
      </c>
      <c r="L206" s="508">
        <v>102</v>
      </c>
      <c r="M206" s="502"/>
      <c r="N206" s="502"/>
    </row>
    <row r="207" spans="2:14">
      <c r="B207" s="502"/>
      <c r="C207" s="502">
        <v>14.8</v>
      </c>
      <c r="D207" s="502"/>
      <c r="E207" s="502"/>
      <c r="F207" s="502"/>
      <c r="G207" s="502"/>
      <c r="H207" s="502"/>
      <c r="I207" s="502"/>
      <c r="J207" s="502"/>
      <c r="K207" s="518">
        <v>0.495</v>
      </c>
      <c r="L207" s="508">
        <v>103</v>
      </c>
      <c r="M207" s="502"/>
      <c r="N207" s="502"/>
    </row>
    <row r="208" spans="2:14">
      <c r="B208" s="502"/>
      <c r="C208" s="503">
        <v>14.9</v>
      </c>
      <c r="D208" s="502"/>
      <c r="E208" s="502"/>
      <c r="F208" s="502"/>
      <c r="G208" s="502"/>
      <c r="H208" s="502"/>
      <c r="I208" s="502"/>
      <c r="J208" s="502"/>
      <c r="K208" s="518">
        <v>0.5</v>
      </c>
      <c r="L208" s="508">
        <v>104</v>
      </c>
      <c r="M208" s="502"/>
      <c r="N208" s="502"/>
    </row>
    <row r="209" spans="2:14">
      <c r="B209" s="502"/>
      <c r="C209" s="502">
        <v>15</v>
      </c>
      <c r="D209" s="502"/>
      <c r="E209" s="502"/>
      <c r="F209" s="502"/>
      <c r="G209" s="502"/>
      <c r="H209" s="502"/>
      <c r="I209" s="502"/>
      <c r="J209" s="502"/>
      <c r="K209" s="518">
        <v>0.505</v>
      </c>
      <c r="L209" s="508">
        <v>105</v>
      </c>
      <c r="M209" s="502"/>
      <c r="N209" s="502"/>
    </row>
    <row r="210" spans="2:14">
      <c r="B210" s="502"/>
      <c r="C210" s="502"/>
      <c r="D210" s="502"/>
      <c r="E210" s="502"/>
      <c r="F210" s="502"/>
      <c r="G210" s="502"/>
      <c r="H210" s="502"/>
      <c r="I210" s="502"/>
      <c r="J210" s="502"/>
      <c r="K210" s="518">
        <v>0.51</v>
      </c>
      <c r="L210" s="508">
        <v>106</v>
      </c>
      <c r="M210" s="502"/>
      <c r="N210" s="502"/>
    </row>
    <row r="211" spans="2:14">
      <c r="B211" s="502"/>
      <c r="C211" s="502"/>
      <c r="D211" s="502"/>
      <c r="E211" s="502"/>
      <c r="F211" s="502"/>
      <c r="G211" s="502"/>
      <c r="H211" s="502"/>
      <c r="I211" s="502"/>
      <c r="J211" s="502"/>
      <c r="K211" s="518">
        <v>0.51500000000000001</v>
      </c>
      <c r="L211" s="508">
        <v>107</v>
      </c>
      <c r="M211" s="502"/>
      <c r="N211" s="502"/>
    </row>
    <row r="212" spans="2:14">
      <c r="B212" s="502"/>
      <c r="C212" s="502"/>
      <c r="D212" s="502"/>
      <c r="E212" s="502"/>
      <c r="F212" s="502"/>
      <c r="G212" s="502"/>
      <c r="H212" s="502"/>
      <c r="I212" s="502"/>
      <c r="J212" s="502"/>
      <c r="K212" s="518">
        <v>0.52</v>
      </c>
      <c r="L212" s="508">
        <v>108</v>
      </c>
      <c r="M212" s="502"/>
      <c r="N212" s="502"/>
    </row>
    <row r="213" spans="2:14">
      <c r="B213" s="502"/>
      <c r="C213" s="502"/>
      <c r="D213" s="502"/>
      <c r="E213" s="502"/>
      <c r="F213" s="502"/>
      <c r="G213" s="502"/>
      <c r="H213" s="502"/>
      <c r="I213" s="502"/>
      <c r="J213" s="502"/>
      <c r="K213" s="518">
        <v>0.52500000000000002</v>
      </c>
      <c r="L213" s="508">
        <v>109</v>
      </c>
      <c r="M213" s="502"/>
      <c r="N213" s="502"/>
    </row>
    <row r="214" spans="2:14">
      <c r="B214" s="502"/>
      <c r="C214" s="502"/>
      <c r="D214" s="502"/>
      <c r="E214" s="502"/>
      <c r="F214" s="502"/>
      <c r="G214" s="502"/>
      <c r="H214" s="502"/>
      <c r="I214" s="502"/>
      <c r="J214" s="502"/>
      <c r="K214" s="518">
        <v>0.53</v>
      </c>
      <c r="L214" s="508">
        <v>110</v>
      </c>
      <c r="M214" s="502"/>
      <c r="N214" s="502"/>
    </row>
    <row r="215" spans="2:14">
      <c r="B215" s="502"/>
      <c r="C215" s="502"/>
      <c r="D215" s="502"/>
      <c r="E215" s="502"/>
      <c r="F215" s="502"/>
      <c r="G215" s="502"/>
      <c r="H215" s="502"/>
      <c r="I215" s="502"/>
      <c r="J215" s="502"/>
      <c r="K215" s="518">
        <v>0.53500000000000003</v>
      </c>
      <c r="L215" s="508">
        <v>111</v>
      </c>
      <c r="M215" s="502"/>
      <c r="N215" s="502"/>
    </row>
    <row r="216" spans="2:14">
      <c r="B216" s="502"/>
      <c r="C216" s="502"/>
      <c r="D216" s="502"/>
      <c r="E216" s="502"/>
      <c r="F216" s="502"/>
      <c r="G216" s="502"/>
      <c r="H216" s="502"/>
      <c r="I216" s="502"/>
      <c r="J216" s="502"/>
      <c r="K216" s="518">
        <v>0.54</v>
      </c>
      <c r="L216" s="508">
        <v>112</v>
      </c>
      <c r="M216" s="502"/>
      <c r="N216" s="502"/>
    </row>
    <row r="217" spans="2:14">
      <c r="B217" s="502"/>
      <c r="C217" s="502"/>
      <c r="D217" s="502"/>
      <c r="E217" s="502"/>
      <c r="F217" s="502"/>
      <c r="G217" s="502"/>
      <c r="H217" s="502"/>
      <c r="I217" s="502"/>
      <c r="J217" s="502"/>
      <c r="K217" s="518">
        <v>0.54500000000000004</v>
      </c>
      <c r="L217" s="508">
        <v>113</v>
      </c>
      <c r="M217" s="502"/>
      <c r="N217" s="502"/>
    </row>
    <row r="218" spans="2:14">
      <c r="B218" s="502"/>
      <c r="C218" s="502"/>
      <c r="D218" s="502"/>
      <c r="E218" s="502"/>
      <c r="F218" s="502"/>
      <c r="G218" s="502"/>
      <c r="H218" s="502"/>
      <c r="I218" s="502"/>
      <c r="J218" s="502"/>
      <c r="K218" s="518">
        <v>0.55000000000000004</v>
      </c>
      <c r="L218" s="508">
        <v>114</v>
      </c>
      <c r="M218" s="502"/>
      <c r="N218" s="502"/>
    </row>
    <row r="219" spans="2:14">
      <c r="B219" s="502"/>
      <c r="C219" s="502"/>
      <c r="D219" s="502"/>
      <c r="E219" s="502"/>
      <c r="F219" s="502"/>
      <c r="G219" s="502"/>
      <c r="H219" s="502"/>
      <c r="I219" s="502"/>
      <c r="J219" s="502"/>
      <c r="K219" s="518">
        <v>0.55500000000000005</v>
      </c>
      <c r="L219" s="508">
        <v>115</v>
      </c>
      <c r="M219" s="502"/>
      <c r="N219" s="502"/>
    </row>
    <row r="220" spans="2:14">
      <c r="B220" s="502"/>
      <c r="C220" s="502"/>
      <c r="D220" s="502"/>
      <c r="E220" s="502"/>
      <c r="F220" s="502"/>
      <c r="G220" s="502"/>
      <c r="H220" s="502"/>
      <c r="I220" s="502"/>
      <c r="J220" s="502"/>
      <c r="K220" s="518">
        <v>0.56000000000000005</v>
      </c>
      <c r="L220" s="508">
        <v>116</v>
      </c>
      <c r="M220" s="502"/>
      <c r="N220" s="502"/>
    </row>
    <row r="221" spans="2:14">
      <c r="B221" s="502"/>
      <c r="C221" s="502"/>
      <c r="D221" s="502"/>
      <c r="E221" s="502"/>
      <c r="F221" s="502"/>
      <c r="G221" s="502"/>
      <c r="H221" s="502"/>
      <c r="I221" s="502"/>
      <c r="J221" s="502"/>
      <c r="K221" s="518">
        <v>0.56499999999999995</v>
      </c>
      <c r="L221" s="508">
        <v>117</v>
      </c>
      <c r="M221" s="502"/>
      <c r="N221" s="502"/>
    </row>
    <row r="222" spans="2:14">
      <c r="B222" s="502"/>
      <c r="C222" s="502"/>
      <c r="D222" s="502"/>
      <c r="E222" s="502"/>
      <c r="F222" s="502"/>
      <c r="G222" s="502"/>
      <c r="H222" s="502"/>
      <c r="I222" s="502"/>
      <c r="J222" s="502"/>
      <c r="K222" s="518">
        <v>0.56999999999999995</v>
      </c>
      <c r="L222" s="508">
        <v>118</v>
      </c>
      <c r="M222" s="502"/>
      <c r="N222" s="502"/>
    </row>
    <row r="223" spans="2:14">
      <c r="B223" s="502"/>
      <c r="C223" s="502"/>
      <c r="D223" s="502"/>
      <c r="E223" s="502"/>
      <c r="F223" s="502"/>
      <c r="G223" s="502"/>
      <c r="H223" s="502"/>
      <c r="I223" s="502"/>
      <c r="J223" s="502"/>
      <c r="K223" s="518">
        <v>0.57499999999999996</v>
      </c>
      <c r="L223" s="508">
        <v>119</v>
      </c>
      <c r="M223" s="502"/>
      <c r="N223" s="502"/>
    </row>
    <row r="224" spans="2:14">
      <c r="B224" s="502"/>
      <c r="C224" s="502"/>
      <c r="D224" s="502"/>
      <c r="E224" s="502"/>
      <c r="F224" s="502"/>
      <c r="G224" s="502"/>
      <c r="H224" s="502"/>
      <c r="I224" s="502"/>
      <c r="J224" s="502"/>
      <c r="K224" s="518">
        <v>0.57999999999999996</v>
      </c>
      <c r="L224" s="508">
        <v>120</v>
      </c>
      <c r="M224" s="502"/>
      <c r="N224" s="502"/>
    </row>
    <row r="225" spans="2:14">
      <c r="B225" s="502"/>
      <c r="C225" s="502"/>
      <c r="D225" s="502"/>
      <c r="E225" s="502"/>
      <c r="F225" s="502"/>
      <c r="G225" s="502"/>
      <c r="H225" s="502"/>
      <c r="I225" s="502"/>
      <c r="J225" s="502"/>
      <c r="K225" s="518">
        <v>0.58499999999999996</v>
      </c>
      <c r="L225" s="508">
        <v>121</v>
      </c>
      <c r="M225" s="502"/>
      <c r="N225" s="502"/>
    </row>
    <row r="226" spans="2:14">
      <c r="B226" s="502"/>
      <c r="C226" s="502"/>
      <c r="D226" s="502"/>
      <c r="E226" s="502"/>
      <c r="F226" s="502"/>
      <c r="G226" s="502"/>
      <c r="H226" s="502"/>
      <c r="I226" s="502"/>
      <c r="J226" s="502"/>
      <c r="K226" s="518">
        <v>0.59</v>
      </c>
      <c r="L226" s="508">
        <v>122</v>
      </c>
      <c r="M226" s="502"/>
      <c r="N226" s="502"/>
    </row>
    <row r="227" spans="2:14">
      <c r="B227" s="502"/>
      <c r="C227" s="502"/>
      <c r="D227" s="502"/>
      <c r="E227" s="502"/>
      <c r="F227" s="502"/>
      <c r="G227" s="502"/>
      <c r="H227" s="502"/>
      <c r="I227" s="502"/>
      <c r="J227" s="502"/>
      <c r="K227" s="518">
        <v>0.59499999999999997</v>
      </c>
      <c r="L227" s="508">
        <v>123</v>
      </c>
      <c r="M227" s="502"/>
      <c r="N227" s="502"/>
    </row>
    <row r="228" spans="2:14">
      <c r="B228" s="502"/>
      <c r="C228" s="502"/>
      <c r="D228" s="502"/>
      <c r="E228" s="502"/>
      <c r="F228" s="502"/>
      <c r="G228" s="502"/>
      <c r="H228" s="502"/>
      <c r="I228" s="502"/>
      <c r="J228" s="502"/>
      <c r="K228" s="518">
        <v>0.6</v>
      </c>
      <c r="L228" s="508">
        <v>124</v>
      </c>
      <c r="M228" s="502"/>
      <c r="N228" s="502"/>
    </row>
    <row r="229" spans="2:14">
      <c r="B229" s="502"/>
      <c r="C229" s="502"/>
      <c r="D229" s="502"/>
      <c r="E229" s="502"/>
      <c r="F229" s="502"/>
      <c r="G229" s="502"/>
      <c r="H229" s="502"/>
      <c r="I229" s="502"/>
      <c r="J229" s="502"/>
      <c r="K229" s="518">
        <v>0.60499999999999998</v>
      </c>
      <c r="L229" s="508">
        <v>125</v>
      </c>
      <c r="M229" s="502"/>
      <c r="N229" s="502"/>
    </row>
    <row r="230" spans="2:14">
      <c r="B230" s="502"/>
      <c r="C230" s="502"/>
      <c r="D230" s="502"/>
      <c r="E230" s="502"/>
      <c r="F230" s="502"/>
      <c r="G230" s="502"/>
      <c r="H230" s="502"/>
      <c r="I230" s="502"/>
      <c r="J230" s="502"/>
      <c r="K230" s="518">
        <v>0.61</v>
      </c>
      <c r="L230" s="508">
        <v>126</v>
      </c>
      <c r="M230" s="502"/>
      <c r="N230" s="502"/>
    </row>
    <row r="231" spans="2:14">
      <c r="B231" s="502"/>
      <c r="C231" s="502"/>
      <c r="D231" s="502"/>
      <c r="E231" s="502"/>
      <c r="F231" s="502"/>
      <c r="G231" s="502"/>
      <c r="H231" s="502"/>
      <c r="I231" s="502"/>
      <c r="J231" s="502"/>
      <c r="K231" s="518">
        <v>0.61499999999999999</v>
      </c>
      <c r="L231" s="508">
        <v>127</v>
      </c>
      <c r="M231" s="502"/>
      <c r="N231" s="502"/>
    </row>
    <row r="232" spans="2:14">
      <c r="B232" s="502"/>
      <c r="C232" s="502"/>
      <c r="D232" s="502"/>
      <c r="E232" s="502"/>
      <c r="F232" s="502"/>
      <c r="G232" s="502"/>
      <c r="H232" s="502"/>
      <c r="I232" s="502"/>
      <c r="J232" s="502"/>
      <c r="K232" s="518">
        <v>0.62</v>
      </c>
      <c r="L232" s="508">
        <v>128</v>
      </c>
      <c r="M232" s="502"/>
      <c r="N232" s="502"/>
    </row>
    <row r="233" spans="2:14">
      <c r="B233" s="502"/>
      <c r="C233" s="502"/>
      <c r="D233" s="502"/>
      <c r="E233" s="502"/>
      <c r="F233" s="502"/>
      <c r="G233" s="502"/>
      <c r="H233" s="502"/>
      <c r="I233" s="502"/>
      <c r="J233" s="502"/>
      <c r="K233" s="518">
        <v>0.625</v>
      </c>
      <c r="L233" s="508">
        <v>129</v>
      </c>
      <c r="M233" s="502"/>
      <c r="N233" s="502"/>
    </row>
    <row r="234" spans="2:14">
      <c r="B234" s="502"/>
      <c r="C234" s="502"/>
      <c r="D234" s="502"/>
      <c r="E234" s="502"/>
      <c r="F234" s="502"/>
      <c r="G234" s="502"/>
      <c r="H234" s="502"/>
      <c r="I234" s="502"/>
      <c r="J234" s="502"/>
      <c r="K234" s="518">
        <v>0.63</v>
      </c>
      <c r="L234" s="508">
        <v>130</v>
      </c>
      <c r="M234" s="502"/>
      <c r="N234" s="502"/>
    </row>
    <row r="235" spans="2:14">
      <c r="B235" s="502"/>
      <c r="C235" s="502"/>
      <c r="D235" s="502"/>
      <c r="E235" s="502"/>
      <c r="F235" s="502"/>
      <c r="G235" s="502"/>
      <c r="H235" s="502"/>
      <c r="I235" s="502"/>
      <c r="J235" s="502"/>
      <c r="K235" s="518">
        <v>0.63500000000000001</v>
      </c>
      <c r="L235" s="508">
        <v>131</v>
      </c>
      <c r="M235" s="502"/>
      <c r="N235" s="502"/>
    </row>
    <row r="236" spans="2:14">
      <c r="B236" s="502"/>
      <c r="C236" s="502"/>
      <c r="D236" s="502"/>
      <c r="E236" s="502"/>
      <c r="F236" s="502"/>
      <c r="G236" s="502"/>
      <c r="H236" s="502"/>
      <c r="I236" s="502"/>
      <c r="J236" s="502"/>
      <c r="K236" s="518">
        <v>0.64</v>
      </c>
      <c r="L236" s="508">
        <v>132</v>
      </c>
      <c r="M236" s="502"/>
      <c r="N236" s="502"/>
    </row>
    <row r="237" spans="2:14">
      <c r="B237" s="502"/>
      <c r="C237" s="502"/>
      <c r="D237" s="502"/>
      <c r="E237" s="502"/>
      <c r="F237" s="502"/>
      <c r="G237" s="502"/>
      <c r="H237" s="502"/>
      <c r="I237" s="502"/>
      <c r="J237" s="502"/>
      <c r="K237" s="518">
        <v>0.64500000000000002</v>
      </c>
      <c r="L237" s="508">
        <v>133</v>
      </c>
      <c r="M237" s="502"/>
      <c r="N237" s="502"/>
    </row>
    <row r="238" spans="2:14">
      <c r="B238" s="502"/>
      <c r="C238" s="502"/>
      <c r="D238" s="502"/>
      <c r="E238" s="502"/>
      <c r="F238" s="502"/>
      <c r="G238" s="502"/>
      <c r="H238" s="502"/>
      <c r="I238" s="502"/>
      <c r="J238" s="502"/>
      <c r="K238" s="518">
        <v>0.65</v>
      </c>
      <c r="L238" s="508">
        <v>134</v>
      </c>
      <c r="M238" s="502"/>
      <c r="N238" s="502"/>
    </row>
    <row r="239" spans="2:14">
      <c r="B239" s="502"/>
      <c r="C239" s="502"/>
      <c r="D239" s="502"/>
      <c r="E239" s="502"/>
      <c r="F239" s="502"/>
      <c r="G239" s="502"/>
      <c r="H239" s="502"/>
      <c r="I239" s="502"/>
      <c r="J239" s="502"/>
      <c r="K239" s="518">
        <v>0.65500000000000003</v>
      </c>
      <c r="L239" s="508">
        <v>135</v>
      </c>
      <c r="M239" s="502"/>
      <c r="N239" s="502"/>
    </row>
    <row r="240" spans="2:14">
      <c r="B240" s="502"/>
      <c r="C240" s="502"/>
      <c r="D240" s="502"/>
      <c r="E240" s="502"/>
      <c r="F240" s="502"/>
      <c r="G240" s="502"/>
      <c r="H240" s="502"/>
      <c r="I240" s="502"/>
      <c r="J240" s="502"/>
      <c r="K240" s="518">
        <v>0.66</v>
      </c>
      <c r="L240" s="508">
        <v>136</v>
      </c>
      <c r="M240" s="502"/>
      <c r="N240" s="502"/>
    </row>
    <row r="241" spans="2:14">
      <c r="B241" s="502"/>
      <c r="C241" s="502"/>
      <c r="D241" s="502"/>
      <c r="E241" s="502"/>
      <c r="F241" s="502"/>
      <c r="G241" s="502"/>
      <c r="H241" s="502"/>
      <c r="I241" s="502"/>
      <c r="J241" s="502"/>
      <c r="K241" s="518">
        <v>0.66500000000000004</v>
      </c>
      <c r="L241" s="508">
        <v>137</v>
      </c>
      <c r="M241" s="502"/>
      <c r="N241" s="502"/>
    </row>
    <row r="242" spans="2:14">
      <c r="B242" s="502"/>
      <c r="C242" s="502"/>
      <c r="D242" s="502"/>
      <c r="E242" s="502"/>
      <c r="F242" s="502"/>
      <c r="G242" s="502"/>
      <c r="H242" s="502"/>
      <c r="I242" s="502"/>
      <c r="J242" s="502"/>
      <c r="K242" s="518">
        <v>0.67</v>
      </c>
      <c r="L242" s="508">
        <v>138</v>
      </c>
      <c r="M242" s="502"/>
      <c r="N242" s="502"/>
    </row>
    <row r="243" spans="2:14">
      <c r="B243" s="502"/>
      <c r="C243" s="502"/>
      <c r="D243" s="502"/>
      <c r="E243" s="502"/>
      <c r="F243" s="502"/>
      <c r="G243" s="502"/>
      <c r="H243" s="502"/>
      <c r="I243" s="502"/>
      <c r="J243" s="502"/>
      <c r="K243" s="518">
        <v>0.67500000000000004</v>
      </c>
      <c r="L243" s="508">
        <v>139</v>
      </c>
      <c r="M243" s="502"/>
      <c r="N243" s="502"/>
    </row>
    <row r="244" spans="2:14">
      <c r="B244" s="502"/>
      <c r="C244" s="502"/>
      <c r="D244" s="502"/>
      <c r="E244" s="502"/>
      <c r="F244" s="502"/>
      <c r="G244" s="502"/>
      <c r="H244" s="502"/>
      <c r="I244" s="502"/>
      <c r="J244" s="502"/>
      <c r="K244" s="518">
        <v>0.68</v>
      </c>
      <c r="L244" s="508">
        <v>140</v>
      </c>
      <c r="M244" s="502"/>
      <c r="N244" s="502"/>
    </row>
    <row r="245" spans="2:14">
      <c r="B245" s="502"/>
      <c r="C245" s="502"/>
      <c r="D245" s="502"/>
      <c r="E245" s="502"/>
      <c r="F245" s="502"/>
      <c r="G245" s="502"/>
      <c r="H245" s="502"/>
      <c r="I245" s="502"/>
      <c r="J245" s="502"/>
      <c r="K245" s="518">
        <v>0.68500000000000005</v>
      </c>
      <c r="L245" s="508">
        <v>141</v>
      </c>
      <c r="M245" s="502"/>
      <c r="N245" s="502"/>
    </row>
    <row r="246" spans="2:14">
      <c r="B246" s="502"/>
      <c r="C246" s="502"/>
      <c r="D246" s="502"/>
      <c r="E246" s="502"/>
      <c r="F246" s="502"/>
      <c r="G246" s="502"/>
      <c r="H246" s="502"/>
      <c r="I246" s="502"/>
      <c r="J246" s="502"/>
      <c r="K246" s="518">
        <v>0.69</v>
      </c>
      <c r="L246" s="508">
        <v>142</v>
      </c>
      <c r="M246" s="502"/>
      <c r="N246" s="502"/>
    </row>
    <row r="247" spans="2:14">
      <c r="B247" s="502"/>
      <c r="C247" s="502"/>
      <c r="D247" s="502"/>
      <c r="E247" s="502"/>
      <c r="F247" s="502"/>
      <c r="G247" s="502"/>
      <c r="H247" s="502"/>
      <c r="I247" s="502"/>
      <c r="J247" s="502"/>
      <c r="K247" s="518">
        <v>0.69499999999999995</v>
      </c>
      <c r="L247" s="508">
        <v>143</v>
      </c>
      <c r="M247" s="502"/>
      <c r="N247" s="502"/>
    </row>
    <row r="248" spans="2:14">
      <c r="B248" s="502"/>
      <c r="C248" s="502"/>
      <c r="D248" s="502"/>
      <c r="E248" s="502"/>
      <c r="F248" s="502"/>
      <c r="G248" s="502"/>
      <c r="H248" s="502"/>
      <c r="I248" s="502"/>
      <c r="J248" s="502"/>
      <c r="K248" s="518">
        <v>0.7</v>
      </c>
      <c r="L248" s="508">
        <v>144</v>
      </c>
      <c r="M248" s="502"/>
      <c r="N248" s="502"/>
    </row>
    <row r="249" spans="2:14">
      <c r="B249" s="502"/>
      <c r="C249" s="502"/>
      <c r="D249" s="502"/>
      <c r="E249" s="502"/>
      <c r="F249" s="502"/>
      <c r="G249" s="502"/>
      <c r="H249" s="502"/>
      <c r="I249" s="502"/>
      <c r="J249" s="502"/>
      <c r="K249" s="518">
        <v>0.70499999999999996</v>
      </c>
      <c r="L249" s="508">
        <v>145</v>
      </c>
      <c r="M249" s="502"/>
      <c r="N249" s="502"/>
    </row>
    <row r="250" spans="2:14">
      <c r="B250" s="502"/>
      <c r="C250" s="502"/>
      <c r="D250" s="502"/>
      <c r="E250" s="502"/>
      <c r="F250" s="502"/>
      <c r="G250" s="502"/>
      <c r="H250" s="502"/>
      <c r="I250" s="502"/>
      <c r="J250" s="502"/>
      <c r="K250" s="518">
        <v>0.71</v>
      </c>
      <c r="L250" s="508">
        <v>146</v>
      </c>
      <c r="M250" s="502"/>
      <c r="N250" s="502"/>
    </row>
    <row r="251" spans="2:14">
      <c r="B251" s="502"/>
      <c r="C251" s="502"/>
      <c r="D251" s="502"/>
      <c r="E251" s="502"/>
      <c r="F251" s="502"/>
      <c r="G251" s="502"/>
      <c r="H251" s="502"/>
      <c r="I251" s="502"/>
      <c r="J251" s="502"/>
      <c r="K251" s="518">
        <v>0.71499999999999997</v>
      </c>
      <c r="L251" s="508">
        <v>147</v>
      </c>
      <c r="M251" s="502"/>
      <c r="N251" s="502"/>
    </row>
    <row r="252" spans="2:14">
      <c r="B252" s="502"/>
      <c r="C252" s="502"/>
      <c r="D252" s="502"/>
      <c r="E252" s="502"/>
      <c r="F252" s="502"/>
      <c r="G252" s="502"/>
      <c r="H252" s="502"/>
      <c r="I252" s="502"/>
      <c r="J252" s="502"/>
      <c r="K252" s="518">
        <v>0.72</v>
      </c>
      <c r="L252" s="508">
        <v>148</v>
      </c>
      <c r="M252" s="502"/>
      <c r="N252" s="502"/>
    </row>
    <row r="253" spans="2:14">
      <c r="B253" s="502"/>
      <c r="C253" s="502"/>
      <c r="D253" s="502"/>
      <c r="E253" s="502"/>
      <c r="F253" s="502"/>
      <c r="G253" s="502"/>
      <c r="H253" s="502"/>
      <c r="I253" s="502"/>
      <c r="J253" s="502"/>
      <c r="K253" s="518">
        <v>0.72499999999999998</v>
      </c>
      <c r="L253" s="508">
        <v>149</v>
      </c>
      <c r="M253" s="502"/>
      <c r="N253" s="502"/>
    </row>
    <row r="254" spans="2:14">
      <c r="B254" s="502"/>
      <c r="C254" s="502"/>
      <c r="D254" s="502"/>
      <c r="E254" s="502"/>
      <c r="F254" s="502"/>
      <c r="G254" s="502"/>
      <c r="H254" s="502"/>
      <c r="I254" s="502"/>
      <c r="J254" s="502"/>
      <c r="K254" s="518">
        <v>0.73</v>
      </c>
      <c r="L254" s="508">
        <v>150</v>
      </c>
      <c r="M254" s="502"/>
      <c r="N254" s="502"/>
    </row>
    <row r="255" spans="2:14">
      <c r="B255" s="502"/>
      <c r="C255" s="502"/>
      <c r="D255" s="502"/>
      <c r="E255" s="502"/>
      <c r="F255" s="502"/>
      <c r="G255" s="502"/>
      <c r="H255" s="502"/>
      <c r="I255" s="502"/>
      <c r="J255" s="502"/>
      <c r="K255" s="518">
        <v>0.73499999999999999</v>
      </c>
      <c r="L255" s="508">
        <v>151</v>
      </c>
      <c r="M255" s="502"/>
      <c r="N255" s="502"/>
    </row>
    <row r="256" spans="2:14">
      <c r="B256" s="502"/>
      <c r="C256" s="502"/>
      <c r="D256" s="502"/>
      <c r="E256" s="502"/>
      <c r="F256" s="502"/>
      <c r="G256" s="502"/>
      <c r="H256" s="502"/>
      <c r="I256" s="502"/>
      <c r="J256" s="502"/>
      <c r="K256" s="518">
        <v>0.74</v>
      </c>
      <c r="L256" s="508">
        <v>152</v>
      </c>
      <c r="M256" s="502"/>
      <c r="N256" s="502"/>
    </row>
    <row r="257" spans="2:14">
      <c r="B257" s="502"/>
      <c r="C257" s="502"/>
      <c r="D257" s="502"/>
      <c r="E257" s="502"/>
      <c r="F257" s="502"/>
      <c r="G257" s="502"/>
      <c r="H257" s="502"/>
      <c r="I257" s="502"/>
      <c r="J257" s="502"/>
      <c r="K257" s="518">
        <v>0.745</v>
      </c>
      <c r="L257" s="508">
        <v>153</v>
      </c>
      <c r="M257" s="502"/>
      <c r="N257" s="502"/>
    </row>
    <row r="258" spans="2:14">
      <c r="B258" s="502"/>
      <c r="C258" s="502"/>
      <c r="D258" s="502"/>
      <c r="E258" s="502"/>
      <c r="F258" s="502"/>
      <c r="G258" s="502"/>
      <c r="H258" s="502"/>
      <c r="I258" s="502"/>
      <c r="J258" s="502"/>
      <c r="K258" s="518">
        <v>0.75</v>
      </c>
      <c r="L258" s="508">
        <v>154</v>
      </c>
      <c r="M258" s="502"/>
      <c r="N258" s="502"/>
    </row>
    <row r="259" spans="2:14">
      <c r="B259" s="502"/>
      <c r="C259" s="502"/>
      <c r="D259" s="502"/>
      <c r="E259" s="502"/>
      <c r="F259" s="502"/>
      <c r="G259" s="502"/>
      <c r="H259" s="502"/>
      <c r="I259" s="502"/>
      <c r="J259" s="502"/>
      <c r="K259" s="518">
        <v>0.755</v>
      </c>
      <c r="L259" s="508">
        <v>155</v>
      </c>
      <c r="M259" s="502"/>
      <c r="N259" s="502"/>
    </row>
    <row r="260" spans="2:14">
      <c r="B260" s="502"/>
      <c r="C260" s="502"/>
      <c r="D260" s="502"/>
      <c r="E260" s="502"/>
      <c r="F260" s="502"/>
      <c r="G260" s="502"/>
      <c r="H260" s="502"/>
      <c r="I260" s="502"/>
      <c r="J260" s="502"/>
      <c r="K260" s="518">
        <v>0.76</v>
      </c>
      <c r="L260" s="508">
        <v>156</v>
      </c>
      <c r="M260" s="502"/>
      <c r="N260" s="502"/>
    </row>
    <row r="261" spans="2:14">
      <c r="B261" s="502"/>
      <c r="C261" s="502"/>
      <c r="D261" s="502"/>
      <c r="E261" s="502"/>
      <c r="F261" s="502"/>
      <c r="G261" s="502"/>
      <c r="H261" s="502"/>
      <c r="I261" s="502"/>
      <c r="J261" s="502"/>
      <c r="K261" s="518">
        <v>0.76500000000000001</v>
      </c>
      <c r="L261" s="508">
        <v>157</v>
      </c>
      <c r="M261" s="502"/>
      <c r="N261" s="502"/>
    </row>
    <row r="262" spans="2:14">
      <c r="B262" s="502"/>
      <c r="C262" s="502"/>
      <c r="D262" s="502"/>
      <c r="E262" s="502"/>
      <c r="F262" s="502"/>
      <c r="G262" s="502"/>
      <c r="H262" s="502"/>
      <c r="I262" s="502"/>
      <c r="J262" s="502"/>
      <c r="K262" s="518">
        <v>0.77</v>
      </c>
      <c r="L262" s="508">
        <v>158</v>
      </c>
      <c r="M262" s="502"/>
      <c r="N262" s="502"/>
    </row>
    <row r="263" spans="2:14">
      <c r="B263" s="502"/>
      <c r="C263" s="502"/>
      <c r="D263" s="502"/>
      <c r="E263" s="502"/>
      <c r="F263" s="502"/>
      <c r="G263" s="502"/>
      <c r="H263" s="502"/>
      <c r="I263" s="502"/>
      <c r="J263" s="502"/>
      <c r="K263" s="518">
        <v>0.77500000000000002</v>
      </c>
      <c r="L263" s="508">
        <v>159</v>
      </c>
      <c r="M263" s="502"/>
      <c r="N263" s="502"/>
    </row>
    <row r="264" spans="2:14">
      <c r="B264" s="502"/>
      <c r="C264" s="502"/>
      <c r="D264" s="502"/>
      <c r="E264" s="502"/>
      <c r="F264" s="502"/>
      <c r="G264" s="502"/>
      <c r="H264" s="502"/>
      <c r="I264" s="502"/>
      <c r="J264" s="502"/>
      <c r="K264" s="518">
        <v>0.78</v>
      </c>
      <c r="L264" s="508">
        <v>160</v>
      </c>
      <c r="M264" s="502"/>
      <c r="N264" s="502"/>
    </row>
    <row r="265" spans="2:14">
      <c r="B265" s="502"/>
      <c r="C265" s="502"/>
      <c r="D265" s="502"/>
      <c r="E265" s="502"/>
      <c r="F265" s="502"/>
      <c r="G265" s="502"/>
      <c r="H265" s="502"/>
      <c r="I265" s="502"/>
      <c r="J265" s="502"/>
      <c r="K265" s="518">
        <v>0.78500000000000003</v>
      </c>
      <c r="L265" s="508">
        <v>161</v>
      </c>
      <c r="M265" s="502"/>
      <c r="N265" s="502"/>
    </row>
    <row r="266" spans="2:14">
      <c r="B266" s="502"/>
      <c r="C266" s="502"/>
      <c r="D266" s="502"/>
      <c r="E266" s="502"/>
      <c r="F266" s="502"/>
      <c r="G266" s="502"/>
      <c r="H266" s="502"/>
      <c r="I266" s="502"/>
      <c r="J266" s="502"/>
      <c r="K266" s="518">
        <v>0.79</v>
      </c>
      <c r="L266" s="508">
        <v>162</v>
      </c>
      <c r="M266" s="502"/>
      <c r="N266" s="502"/>
    </row>
    <row r="267" spans="2:14">
      <c r="B267" s="502"/>
      <c r="C267" s="502"/>
      <c r="D267" s="502"/>
      <c r="E267" s="502"/>
      <c r="F267" s="502"/>
      <c r="G267" s="502"/>
      <c r="H267" s="502"/>
      <c r="I267" s="502"/>
      <c r="J267" s="502"/>
      <c r="K267" s="518">
        <v>0.79500000000000004</v>
      </c>
      <c r="L267" s="508">
        <v>163</v>
      </c>
      <c r="M267" s="502"/>
      <c r="N267" s="502"/>
    </row>
    <row r="268" spans="2:14">
      <c r="B268" s="502"/>
      <c r="C268" s="502"/>
      <c r="D268" s="502"/>
      <c r="E268" s="502"/>
      <c r="F268" s="502"/>
      <c r="G268" s="502"/>
      <c r="H268" s="502"/>
      <c r="I268" s="502"/>
      <c r="J268" s="502"/>
      <c r="K268" s="518">
        <v>0.8</v>
      </c>
      <c r="L268" s="508">
        <v>164</v>
      </c>
      <c r="M268" s="502"/>
      <c r="N268" s="502"/>
    </row>
    <row r="269" spans="2:14">
      <c r="B269" s="502"/>
      <c r="C269" s="502"/>
      <c r="D269" s="502"/>
      <c r="E269" s="502"/>
      <c r="F269" s="502"/>
      <c r="G269" s="502"/>
      <c r="H269" s="502"/>
      <c r="I269" s="502"/>
      <c r="J269" s="502"/>
      <c r="K269" s="518">
        <v>0.80500000000000005</v>
      </c>
      <c r="L269" s="508">
        <v>165</v>
      </c>
      <c r="M269" s="502"/>
      <c r="N269" s="502"/>
    </row>
    <row r="270" spans="2:14">
      <c r="B270" s="502"/>
      <c r="C270" s="502"/>
      <c r="D270" s="502"/>
      <c r="E270" s="502"/>
      <c r="F270" s="502"/>
      <c r="G270" s="502"/>
      <c r="H270" s="502"/>
      <c r="I270" s="502"/>
      <c r="J270" s="502"/>
      <c r="K270" s="518">
        <v>0.81</v>
      </c>
      <c r="L270" s="508">
        <v>166</v>
      </c>
      <c r="M270" s="502"/>
      <c r="N270" s="502"/>
    </row>
    <row r="271" spans="2:14">
      <c r="B271" s="502"/>
      <c r="C271" s="502"/>
      <c r="D271" s="502"/>
      <c r="E271" s="502"/>
      <c r="F271" s="502"/>
      <c r="G271" s="502"/>
      <c r="H271" s="502"/>
      <c r="I271" s="502"/>
      <c r="J271" s="502"/>
      <c r="K271" s="518">
        <v>0.81499999999999995</v>
      </c>
      <c r="L271" s="508">
        <v>167</v>
      </c>
      <c r="M271" s="502"/>
      <c r="N271" s="502"/>
    </row>
    <row r="272" spans="2:14">
      <c r="B272" s="502"/>
      <c r="C272" s="502"/>
      <c r="D272" s="502"/>
      <c r="E272" s="502"/>
      <c r="F272" s="502"/>
      <c r="G272" s="502"/>
      <c r="H272" s="502"/>
      <c r="I272" s="502"/>
      <c r="J272" s="502"/>
      <c r="K272" s="518">
        <v>0.82</v>
      </c>
      <c r="L272" s="508">
        <v>168</v>
      </c>
      <c r="M272" s="502"/>
      <c r="N272" s="502"/>
    </row>
    <row r="273" spans="2:14">
      <c r="B273" s="502"/>
      <c r="C273" s="502"/>
      <c r="D273" s="502"/>
      <c r="E273" s="502"/>
      <c r="F273" s="502"/>
      <c r="G273" s="502"/>
      <c r="H273" s="502"/>
      <c r="I273" s="502"/>
      <c r="J273" s="502"/>
      <c r="K273" s="518">
        <v>0.82499999999999996</v>
      </c>
      <c r="L273" s="508">
        <v>169</v>
      </c>
      <c r="M273" s="502"/>
      <c r="N273" s="502"/>
    </row>
    <row r="274" spans="2:14">
      <c r="B274" s="502"/>
      <c r="C274" s="502"/>
      <c r="D274" s="502"/>
      <c r="E274" s="502"/>
      <c r="F274" s="502"/>
      <c r="G274" s="502"/>
      <c r="H274" s="502"/>
      <c r="I274" s="502"/>
      <c r="J274" s="502"/>
      <c r="K274" s="518">
        <v>0.83</v>
      </c>
      <c r="L274" s="508">
        <v>170</v>
      </c>
      <c r="M274" s="502"/>
      <c r="N274" s="502"/>
    </row>
    <row r="275" spans="2:14">
      <c r="B275" s="502"/>
      <c r="C275" s="502"/>
      <c r="D275" s="502"/>
      <c r="E275" s="502"/>
      <c r="F275" s="502"/>
      <c r="G275" s="502"/>
      <c r="H275" s="502"/>
      <c r="I275" s="502"/>
      <c r="J275" s="502"/>
      <c r="K275" s="518">
        <v>0.83499999999999996</v>
      </c>
      <c r="L275" s="508">
        <v>171</v>
      </c>
      <c r="M275" s="502"/>
      <c r="N275" s="502"/>
    </row>
    <row r="276" spans="2:14">
      <c r="B276" s="502"/>
      <c r="C276" s="502"/>
      <c r="D276" s="502"/>
      <c r="E276" s="502"/>
      <c r="F276" s="502"/>
      <c r="G276" s="502"/>
      <c r="H276" s="502"/>
      <c r="I276" s="502"/>
      <c r="J276" s="502"/>
      <c r="K276" s="518">
        <v>0.84</v>
      </c>
      <c r="L276" s="508">
        <v>172</v>
      </c>
      <c r="M276" s="502"/>
      <c r="N276" s="502"/>
    </row>
    <row r="277" spans="2:14">
      <c r="B277" s="502"/>
      <c r="C277" s="502"/>
      <c r="D277" s="502"/>
      <c r="E277" s="502"/>
      <c r="F277" s="502"/>
      <c r="G277" s="502"/>
      <c r="H277" s="502"/>
      <c r="I277" s="502"/>
      <c r="J277" s="502"/>
      <c r="K277" s="518">
        <v>0.84499999999999997</v>
      </c>
      <c r="L277" s="508">
        <v>173</v>
      </c>
      <c r="M277" s="502"/>
      <c r="N277" s="502"/>
    </row>
    <row r="278" spans="2:14">
      <c r="B278" s="502"/>
      <c r="C278" s="502"/>
      <c r="D278" s="502"/>
      <c r="E278" s="502"/>
      <c r="F278" s="502"/>
      <c r="G278" s="502"/>
      <c r="H278" s="502"/>
      <c r="I278" s="502"/>
      <c r="J278" s="502"/>
      <c r="K278" s="518">
        <v>0.85</v>
      </c>
      <c r="L278" s="508">
        <v>174</v>
      </c>
      <c r="M278" s="502"/>
      <c r="N278" s="502"/>
    </row>
    <row r="279" spans="2:14">
      <c r="B279" s="502"/>
      <c r="C279" s="502"/>
      <c r="D279" s="502"/>
      <c r="E279" s="502"/>
      <c r="F279" s="502"/>
      <c r="G279" s="502"/>
      <c r="H279" s="502"/>
      <c r="I279" s="502"/>
      <c r="J279" s="502"/>
      <c r="K279" s="518">
        <v>0.85499999999999998</v>
      </c>
      <c r="L279" s="508">
        <v>175</v>
      </c>
      <c r="M279" s="502"/>
      <c r="N279" s="502"/>
    </row>
    <row r="280" spans="2:14">
      <c r="B280" s="502"/>
      <c r="C280" s="502"/>
      <c r="D280" s="502"/>
      <c r="E280" s="502"/>
      <c r="F280" s="502"/>
      <c r="G280" s="502"/>
      <c r="H280" s="502"/>
      <c r="I280" s="502"/>
      <c r="J280" s="502"/>
      <c r="K280" s="518">
        <v>0.86</v>
      </c>
      <c r="L280" s="508">
        <v>176</v>
      </c>
      <c r="M280" s="502"/>
      <c r="N280" s="502"/>
    </row>
    <row r="281" spans="2:14">
      <c r="B281" s="502"/>
      <c r="C281" s="502"/>
      <c r="D281" s="502"/>
      <c r="E281" s="502"/>
      <c r="F281" s="502"/>
      <c r="G281" s="502"/>
      <c r="H281" s="502"/>
      <c r="I281" s="502"/>
      <c r="J281" s="502"/>
      <c r="K281" s="518">
        <v>0.86499999999999999</v>
      </c>
      <c r="L281" s="508">
        <v>177</v>
      </c>
      <c r="M281" s="502"/>
      <c r="N281" s="502"/>
    </row>
    <row r="282" spans="2:14">
      <c r="B282" s="502"/>
      <c r="C282" s="502"/>
      <c r="D282" s="502"/>
      <c r="E282" s="502"/>
      <c r="F282" s="502"/>
      <c r="G282" s="502"/>
      <c r="H282" s="502"/>
      <c r="I282" s="502"/>
      <c r="J282" s="502"/>
      <c r="K282" s="518">
        <v>0.87</v>
      </c>
      <c r="L282" s="508">
        <v>178</v>
      </c>
      <c r="M282" s="502"/>
      <c r="N282" s="502"/>
    </row>
    <row r="283" spans="2:14">
      <c r="B283" s="502"/>
      <c r="C283" s="502"/>
      <c r="D283" s="502"/>
      <c r="E283" s="502"/>
      <c r="F283" s="502"/>
      <c r="G283" s="502"/>
      <c r="H283" s="502"/>
      <c r="I283" s="502"/>
      <c r="J283" s="502"/>
      <c r="K283" s="518">
        <v>0.875</v>
      </c>
      <c r="L283" s="508">
        <v>179</v>
      </c>
      <c r="M283" s="502"/>
      <c r="N283" s="502"/>
    </row>
    <row r="284" spans="2:14">
      <c r="B284" s="502"/>
      <c r="C284" s="502"/>
      <c r="D284" s="502"/>
      <c r="E284" s="502"/>
      <c r="F284" s="502"/>
      <c r="G284" s="502"/>
      <c r="H284" s="502"/>
      <c r="I284" s="502"/>
      <c r="J284" s="502"/>
      <c r="K284" s="518">
        <v>0.88</v>
      </c>
      <c r="L284" s="508">
        <v>180</v>
      </c>
      <c r="M284" s="502"/>
      <c r="N284" s="502"/>
    </row>
    <row r="285" spans="2:14">
      <c r="B285" s="502"/>
      <c r="C285" s="502"/>
      <c r="D285" s="502"/>
      <c r="E285" s="502"/>
      <c r="F285" s="502"/>
      <c r="G285" s="502"/>
      <c r="H285" s="502"/>
      <c r="I285" s="502"/>
      <c r="J285" s="502"/>
      <c r="K285" s="518">
        <v>0.88500000000000001</v>
      </c>
      <c r="L285" s="508">
        <v>181</v>
      </c>
      <c r="M285" s="502"/>
      <c r="N285" s="502"/>
    </row>
    <row r="286" spans="2:14">
      <c r="B286" s="502"/>
      <c r="C286" s="502"/>
      <c r="D286" s="502"/>
      <c r="E286" s="502"/>
      <c r="F286" s="502"/>
      <c r="G286" s="502"/>
      <c r="H286" s="502"/>
      <c r="I286" s="502"/>
      <c r="J286" s="502"/>
      <c r="K286" s="518">
        <v>0.89</v>
      </c>
      <c r="L286" s="508">
        <v>182</v>
      </c>
      <c r="M286" s="502"/>
      <c r="N286" s="502"/>
    </row>
    <row r="287" spans="2:14">
      <c r="B287" s="502"/>
      <c r="C287" s="502"/>
      <c r="D287" s="502"/>
      <c r="E287" s="502"/>
      <c r="F287" s="502"/>
      <c r="G287" s="502"/>
      <c r="H287" s="502"/>
      <c r="I287" s="502"/>
      <c r="J287" s="502"/>
      <c r="K287" s="518">
        <v>0.89500000000000002</v>
      </c>
      <c r="L287" s="508">
        <v>183</v>
      </c>
      <c r="M287" s="502"/>
      <c r="N287" s="502"/>
    </row>
    <row r="288" spans="2:14">
      <c r="B288" s="502"/>
      <c r="C288" s="502"/>
      <c r="D288" s="502"/>
      <c r="E288" s="502"/>
      <c r="F288" s="502"/>
      <c r="G288" s="502"/>
      <c r="H288" s="502"/>
      <c r="I288" s="502"/>
      <c r="J288" s="502"/>
      <c r="K288" s="518">
        <v>0.9</v>
      </c>
      <c r="L288" s="508">
        <v>184</v>
      </c>
      <c r="M288" s="502"/>
      <c r="N288" s="502"/>
    </row>
    <row r="289" spans="2:14">
      <c r="B289" s="502"/>
      <c r="C289" s="502"/>
      <c r="D289" s="502"/>
      <c r="E289" s="502"/>
      <c r="F289" s="502"/>
      <c r="G289" s="502"/>
      <c r="H289" s="502"/>
      <c r="I289" s="502"/>
      <c r="J289" s="502"/>
      <c r="K289" s="518">
        <v>0.90500000000000003</v>
      </c>
      <c r="L289" s="508">
        <v>185</v>
      </c>
      <c r="M289" s="502"/>
      <c r="N289" s="502"/>
    </row>
    <row r="290" spans="2:14">
      <c r="B290" s="502"/>
      <c r="C290" s="502"/>
      <c r="D290" s="502"/>
      <c r="E290" s="502"/>
      <c r="F290" s="502"/>
      <c r="G290" s="502"/>
      <c r="H290" s="502"/>
      <c r="I290" s="502"/>
      <c r="J290" s="502"/>
      <c r="K290" s="518">
        <v>0.91</v>
      </c>
      <c r="L290" s="508">
        <v>186</v>
      </c>
      <c r="M290" s="502"/>
      <c r="N290" s="502"/>
    </row>
    <row r="291" spans="2:14">
      <c r="B291" s="502"/>
      <c r="C291" s="502"/>
      <c r="D291" s="502"/>
      <c r="E291" s="502"/>
      <c r="F291" s="502"/>
      <c r="G291" s="502"/>
      <c r="H291" s="502"/>
      <c r="I291" s="502"/>
      <c r="J291" s="502"/>
      <c r="K291" s="518">
        <v>0.91500000000000004</v>
      </c>
      <c r="L291" s="508">
        <v>187</v>
      </c>
      <c r="M291" s="502"/>
      <c r="N291" s="502"/>
    </row>
    <row r="292" spans="2:14">
      <c r="B292" s="502"/>
      <c r="C292" s="502"/>
      <c r="D292" s="502"/>
      <c r="E292" s="502"/>
      <c r="F292" s="502"/>
      <c r="G292" s="502"/>
      <c r="H292" s="502"/>
      <c r="I292" s="502"/>
      <c r="J292" s="502"/>
      <c r="K292" s="518">
        <v>0.92</v>
      </c>
      <c r="L292" s="508">
        <v>188</v>
      </c>
      <c r="M292" s="502"/>
      <c r="N292" s="502"/>
    </row>
    <row r="293" spans="2:14">
      <c r="B293" s="502"/>
      <c r="C293" s="502"/>
      <c r="D293" s="502"/>
      <c r="E293" s="502"/>
      <c r="F293" s="502"/>
      <c r="G293" s="502"/>
      <c r="H293" s="502"/>
      <c r="I293" s="502"/>
      <c r="J293" s="502"/>
      <c r="K293" s="518">
        <v>0.92500000000000004</v>
      </c>
      <c r="L293" s="508">
        <v>189</v>
      </c>
      <c r="M293" s="502"/>
      <c r="N293" s="502"/>
    </row>
    <row r="294" spans="2:14">
      <c r="B294" s="502"/>
      <c r="C294" s="502"/>
      <c r="D294" s="502"/>
      <c r="E294" s="502"/>
      <c r="F294" s="502"/>
      <c r="G294" s="502"/>
      <c r="H294" s="502"/>
      <c r="I294" s="502"/>
      <c r="J294" s="502"/>
      <c r="K294" s="518">
        <v>0.93</v>
      </c>
      <c r="L294" s="508">
        <v>190</v>
      </c>
      <c r="M294" s="502"/>
      <c r="N294" s="502"/>
    </row>
    <row r="295" spans="2:14">
      <c r="B295" s="502"/>
      <c r="C295" s="502"/>
      <c r="D295" s="502"/>
      <c r="E295" s="502"/>
      <c r="F295" s="502"/>
      <c r="G295" s="502"/>
      <c r="H295" s="502"/>
      <c r="I295" s="502"/>
      <c r="J295" s="502"/>
      <c r="K295" s="518">
        <v>0.93500000000000005</v>
      </c>
      <c r="L295" s="508">
        <v>191</v>
      </c>
      <c r="M295" s="502"/>
      <c r="N295" s="502"/>
    </row>
    <row r="296" spans="2:14">
      <c r="B296" s="502"/>
      <c r="C296" s="502"/>
      <c r="D296" s="502"/>
      <c r="E296" s="502"/>
      <c r="F296" s="502"/>
      <c r="G296" s="502"/>
      <c r="H296" s="502"/>
      <c r="I296" s="502"/>
      <c r="J296" s="502"/>
      <c r="K296" s="518">
        <v>0.94</v>
      </c>
      <c r="L296" s="508">
        <v>192</v>
      </c>
      <c r="M296" s="502"/>
      <c r="N296" s="502"/>
    </row>
    <row r="297" spans="2:14">
      <c r="B297" s="502"/>
      <c r="C297" s="502"/>
      <c r="D297" s="502"/>
      <c r="E297" s="502"/>
      <c r="F297" s="502"/>
      <c r="G297" s="502"/>
      <c r="H297" s="502"/>
      <c r="I297" s="502"/>
      <c r="J297" s="502"/>
      <c r="K297" s="518">
        <v>0.94499999999999995</v>
      </c>
      <c r="L297" s="508">
        <v>193</v>
      </c>
      <c r="M297" s="502"/>
      <c r="N297" s="502"/>
    </row>
    <row r="298" spans="2:14">
      <c r="B298" s="502"/>
      <c r="C298" s="502"/>
      <c r="D298" s="502"/>
      <c r="E298" s="502"/>
      <c r="F298" s="502"/>
      <c r="G298" s="502"/>
      <c r="H298" s="502"/>
      <c r="I298" s="502"/>
      <c r="J298" s="502"/>
      <c r="K298" s="518">
        <v>0.95</v>
      </c>
      <c r="L298" s="508">
        <v>194</v>
      </c>
      <c r="M298" s="502"/>
      <c r="N298" s="502"/>
    </row>
    <row r="299" spans="2:14">
      <c r="B299" s="502"/>
      <c r="C299" s="502"/>
      <c r="D299" s="502"/>
      <c r="E299" s="502"/>
      <c r="F299" s="502"/>
      <c r="G299" s="502"/>
      <c r="H299" s="502"/>
      <c r="I299" s="502"/>
      <c r="J299" s="502"/>
      <c r="K299" s="518">
        <v>0.95499999999999996</v>
      </c>
      <c r="L299" s="508">
        <v>195</v>
      </c>
      <c r="M299" s="502"/>
      <c r="N299" s="502"/>
    </row>
    <row r="300" spans="2:14">
      <c r="B300" s="502"/>
      <c r="C300" s="502"/>
      <c r="D300" s="502"/>
      <c r="E300" s="502"/>
      <c r="F300" s="502"/>
      <c r="G300" s="502"/>
      <c r="H300" s="502"/>
      <c r="I300" s="502"/>
      <c r="J300" s="502"/>
      <c r="K300" s="518">
        <v>0.96</v>
      </c>
      <c r="L300" s="508">
        <v>196</v>
      </c>
      <c r="M300" s="502"/>
      <c r="N300" s="502"/>
    </row>
    <row r="301" spans="2:14">
      <c r="B301" s="502"/>
      <c r="C301" s="502"/>
      <c r="D301" s="502"/>
      <c r="E301" s="502"/>
      <c r="F301" s="502"/>
      <c r="G301" s="502"/>
      <c r="H301" s="502"/>
      <c r="I301" s="502"/>
      <c r="J301" s="502"/>
      <c r="K301" s="518">
        <v>0.96499999999999997</v>
      </c>
      <c r="L301" s="508">
        <v>197</v>
      </c>
      <c r="M301" s="502"/>
      <c r="N301" s="502"/>
    </row>
    <row r="302" spans="2:14">
      <c r="B302" s="502"/>
      <c r="C302" s="502"/>
      <c r="D302" s="502"/>
      <c r="E302" s="502"/>
      <c r="F302" s="502"/>
      <c r="G302" s="502"/>
      <c r="H302" s="502"/>
      <c r="I302" s="502"/>
      <c r="J302" s="502"/>
      <c r="K302" s="518">
        <v>0.97</v>
      </c>
      <c r="L302" s="508">
        <v>198</v>
      </c>
      <c r="M302" s="502"/>
      <c r="N302" s="502"/>
    </row>
    <row r="303" spans="2:14">
      <c r="B303" s="502"/>
      <c r="C303" s="502"/>
      <c r="D303" s="502"/>
      <c r="E303" s="502"/>
      <c r="F303" s="502"/>
      <c r="G303" s="502"/>
      <c r="H303" s="502"/>
      <c r="I303" s="502"/>
      <c r="J303" s="502"/>
      <c r="K303" s="518">
        <v>0.97499999999999998</v>
      </c>
      <c r="L303" s="508">
        <v>199</v>
      </c>
      <c r="M303" s="502"/>
      <c r="N303" s="502"/>
    </row>
    <row r="304" spans="2:14">
      <c r="B304" s="502"/>
      <c r="C304" s="502"/>
      <c r="D304" s="502"/>
      <c r="E304" s="502"/>
      <c r="F304" s="502"/>
      <c r="G304" s="502"/>
      <c r="H304" s="502"/>
      <c r="I304" s="502"/>
      <c r="J304" s="502"/>
      <c r="K304" s="518">
        <v>0.98</v>
      </c>
      <c r="L304" s="508">
        <v>200</v>
      </c>
      <c r="M304" s="502"/>
      <c r="N304" s="502"/>
    </row>
    <row r="305" spans="2:14">
      <c r="B305" s="502"/>
      <c r="C305" s="502"/>
      <c r="D305" s="502"/>
      <c r="E305" s="502"/>
      <c r="F305" s="502"/>
      <c r="G305" s="502"/>
      <c r="H305" s="502"/>
      <c r="I305" s="502"/>
      <c r="J305" s="502"/>
      <c r="K305" s="518">
        <v>0.98499999999999999</v>
      </c>
      <c r="L305" s="508">
        <v>201</v>
      </c>
      <c r="M305" s="502"/>
      <c r="N305" s="502"/>
    </row>
    <row r="306" spans="2:14">
      <c r="B306" s="502"/>
      <c r="C306" s="502"/>
      <c r="D306" s="502"/>
      <c r="E306" s="502"/>
      <c r="F306" s="502"/>
      <c r="G306" s="502"/>
      <c r="H306" s="502"/>
      <c r="I306" s="502"/>
      <c r="J306" s="502"/>
      <c r="K306" s="518">
        <v>0.99</v>
      </c>
      <c r="L306" s="508">
        <v>202</v>
      </c>
      <c r="M306" s="502"/>
      <c r="N306" s="502"/>
    </row>
    <row r="307" spans="2:14">
      <c r="B307" s="502"/>
      <c r="C307" s="502"/>
      <c r="D307" s="502"/>
      <c r="E307" s="502"/>
      <c r="F307" s="502"/>
      <c r="G307" s="502"/>
      <c r="H307" s="502"/>
      <c r="I307" s="502"/>
      <c r="J307" s="502"/>
      <c r="K307" s="518">
        <v>0.995</v>
      </c>
      <c r="L307" s="508">
        <v>203</v>
      </c>
      <c r="M307" s="502"/>
      <c r="N307" s="502"/>
    </row>
    <row r="308" spans="2:14">
      <c r="B308" s="502"/>
      <c r="C308" s="502"/>
      <c r="D308" s="502"/>
      <c r="E308" s="502"/>
      <c r="F308" s="502"/>
      <c r="G308" s="502"/>
      <c r="H308" s="502"/>
      <c r="I308" s="502"/>
      <c r="J308" s="502"/>
      <c r="K308" s="518">
        <v>1</v>
      </c>
      <c r="L308" s="508">
        <v>204</v>
      </c>
      <c r="M308" s="502"/>
      <c r="N308" s="502"/>
    </row>
    <row r="309" spans="2:14">
      <c r="B309" s="502"/>
      <c r="C309" s="502"/>
      <c r="D309" s="502"/>
      <c r="E309" s="502"/>
      <c r="F309" s="502"/>
      <c r="G309" s="502"/>
      <c r="H309" s="502"/>
      <c r="I309" s="502"/>
      <c r="J309" s="502"/>
      <c r="K309" s="502"/>
      <c r="L309" s="508">
        <v>205</v>
      </c>
      <c r="M309" s="502"/>
      <c r="N309" s="502"/>
    </row>
    <row r="310" spans="2:14">
      <c r="B310" s="502"/>
      <c r="C310" s="502"/>
      <c r="D310" s="502"/>
      <c r="E310" s="502"/>
      <c r="F310" s="502"/>
      <c r="G310" s="502"/>
      <c r="H310" s="502"/>
      <c r="I310" s="502"/>
      <c r="J310" s="502"/>
      <c r="K310" s="502"/>
      <c r="L310" s="508">
        <v>206</v>
      </c>
      <c r="M310" s="502"/>
      <c r="N310" s="502"/>
    </row>
    <row r="311" spans="2:14">
      <c r="B311" s="502"/>
      <c r="C311" s="502"/>
      <c r="D311" s="502"/>
      <c r="E311" s="502"/>
      <c r="F311" s="502"/>
      <c r="G311" s="502"/>
      <c r="H311" s="502"/>
      <c r="I311" s="502"/>
      <c r="J311" s="502"/>
      <c r="K311" s="502"/>
      <c r="L311" s="508">
        <v>207</v>
      </c>
      <c r="M311" s="502"/>
      <c r="N311" s="502"/>
    </row>
    <row r="312" spans="2:14">
      <c r="B312" s="502"/>
      <c r="C312" s="502"/>
      <c r="D312" s="502"/>
      <c r="E312" s="502"/>
      <c r="F312" s="502"/>
      <c r="G312" s="502"/>
      <c r="H312" s="502"/>
      <c r="I312" s="502"/>
      <c r="J312" s="502"/>
      <c r="K312" s="502"/>
      <c r="L312" s="508">
        <v>208</v>
      </c>
      <c r="M312" s="502"/>
      <c r="N312" s="502"/>
    </row>
    <row r="313" spans="2:14">
      <c r="B313" s="502"/>
      <c r="C313" s="502"/>
      <c r="D313" s="502"/>
      <c r="E313" s="502"/>
      <c r="F313" s="502"/>
      <c r="G313" s="502"/>
      <c r="H313" s="502"/>
      <c r="I313" s="502"/>
      <c r="J313" s="502"/>
      <c r="K313" s="502"/>
      <c r="L313" s="508">
        <v>209</v>
      </c>
      <c r="M313" s="502"/>
      <c r="N313" s="502"/>
    </row>
    <row r="314" spans="2:14">
      <c r="B314" s="502"/>
      <c r="C314" s="502"/>
      <c r="D314" s="502"/>
      <c r="E314" s="502"/>
      <c r="F314" s="502"/>
      <c r="G314" s="502"/>
      <c r="H314" s="502"/>
      <c r="I314" s="502"/>
      <c r="J314" s="502"/>
      <c r="K314" s="502"/>
      <c r="L314" s="508">
        <v>210</v>
      </c>
      <c r="M314" s="502"/>
      <c r="N314" s="502"/>
    </row>
    <row r="315" spans="2:14">
      <c r="B315" s="502"/>
      <c r="C315" s="502"/>
      <c r="D315" s="502"/>
      <c r="E315" s="502"/>
      <c r="F315" s="502"/>
      <c r="G315" s="502"/>
      <c r="H315" s="502"/>
      <c r="I315" s="502"/>
      <c r="J315" s="502"/>
      <c r="K315" s="502"/>
      <c r="L315" s="508">
        <v>211</v>
      </c>
      <c r="M315" s="502"/>
      <c r="N315" s="502"/>
    </row>
    <row r="316" spans="2:14">
      <c r="B316" s="502"/>
      <c r="C316" s="502"/>
      <c r="D316" s="502"/>
      <c r="E316" s="502"/>
      <c r="F316" s="502"/>
      <c r="G316" s="502"/>
      <c r="H316" s="502"/>
      <c r="I316" s="502"/>
      <c r="J316" s="502"/>
      <c r="K316" s="502"/>
      <c r="L316" s="508">
        <v>212</v>
      </c>
      <c r="M316" s="502"/>
      <c r="N316" s="502"/>
    </row>
    <row r="317" spans="2:14">
      <c r="B317" s="502"/>
      <c r="C317" s="502"/>
      <c r="D317" s="502"/>
      <c r="E317" s="502"/>
      <c r="F317" s="502"/>
      <c r="G317" s="502"/>
      <c r="H317" s="502"/>
      <c r="I317" s="502"/>
      <c r="J317" s="502"/>
      <c r="K317" s="502"/>
      <c r="L317" s="508">
        <v>213</v>
      </c>
      <c r="M317" s="502"/>
      <c r="N317" s="502"/>
    </row>
    <row r="318" spans="2:14">
      <c r="B318" s="502"/>
      <c r="C318" s="502"/>
      <c r="D318" s="502"/>
      <c r="E318" s="502"/>
      <c r="F318" s="502"/>
      <c r="G318" s="502"/>
      <c r="H318" s="502"/>
      <c r="I318" s="502"/>
      <c r="J318" s="502"/>
      <c r="K318" s="502"/>
      <c r="L318" s="508">
        <v>214</v>
      </c>
      <c r="M318" s="502"/>
      <c r="N318" s="502"/>
    </row>
    <row r="319" spans="2:14">
      <c r="B319" s="502"/>
      <c r="C319" s="502"/>
      <c r="D319" s="502"/>
      <c r="E319" s="502"/>
      <c r="F319" s="502"/>
      <c r="G319" s="502"/>
      <c r="H319" s="502"/>
      <c r="I319" s="502"/>
      <c r="J319" s="502"/>
      <c r="K319" s="502"/>
      <c r="L319" s="508">
        <v>215</v>
      </c>
      <c r="M319" s="502"/>
      <c r="N319" s="502"/>
    </row>
    <row r="320" spans="2:14">
      <c r="B320" s="502"/>
      <c r="C320" s="502"/>
      <c r="D320" s="502"/>
      <c r="E320" s="502"/>
      <c r="F320" s="502"/>
      <c r="G320" s="502"/>
      <c r="H320" s="502"/>
      <c r="I320" s="502"/>
      <c r="J320" s="502"/>
      <c r="K320" s="502"/>
      <c r="L320" s="508">
        <v>216</v>
      </c>
      <c r="M320" s="502"/>
      <c r="N320" s="502"/>
    </row>
    <row r="321" spans="2:14">
      <c r="B321" s="502"/>
      <c r="C321" s="502"/>
      <c r="D321" s="502"/>
      <c r="E321" s="502"/>
      <c r="F321" s="502"/>
      <c r="G321" s="502"/>
      <c r="H321" s="502"/>
      <c r="I321" s="502"/>
      <c r="J321" s="502"/>
      <c r="K321" s="502"/>
      <c r="L321" s="508">
        <v>217</v>
      </c>
      <c r="M321" s="502"/>
      <c r="N321" s="502"/>
    </row>
    <row r="322" spans="2:14">
      <c r="B322" s="502"/>
      <c r="C322" s="502"/>
      <c r="D322" s="502"/>
      <c r="E322" s="502"/>
      <c r="F322" s="502"/>
      <c r="G322" s="502"/>
      <c r="H322" s="502"/>
      <c r="I322" s="502"/>
      <c r="J322" s="502"/>
      <c r="K322" s="502"/>
      <c r="L322" s="508">
        <v>218</v>
      </c>
      <c r="M322" s="502"/>
      <c r="N322" s="502"/>
    </row>
    <row r="323" spans="2:14">
      <c r="B323" s="502"/>
      <c r="C323" s="502"/>
      <c r="D323" s="502"/>
      <c r="E323" s="502"/>
      <c r="F323" s="502"/>
      <c r="G323" s="502"/>
      <c r="H323" s="502"/>
      <c r="I323" s="502"/>
      <c r="J323" s="502"/>
      <c r="K323" s="502"/>
      <c r="L323" s="508">
        <v>219</v>
      </c>
      <c r="M323" s="502"/>
      <c r="N323" s="502"/>
    </row>
    <row r="324" spans="2:14">
      <c r="B324" s="502"/>
      <c r="C324" s="502"/>
      <c r="D324" s="502"/>
      <c r="E324" s="502"/>
      <c r="F324" s="502"/>
      <c r="G324" s="502"/>
      <c r="H324" s="502"/>
      <c r="I324" s="502"/>
      <c r="J324" s="502"/>
      <c r="K324" s="502"/>
      <c r="L324" s="508">
        <v>220</v>
      </c>
      <c r="M324" s="502"/>
      <c r="N324" s="502"/>
    </row>
    <row r="325" spans="2:14">
      <c r="B325" s="502"/>
      <c r="C325" s="502"/>
      <c r="D325" s="502"/>
      <c r="E325" s="502"/>
      <c r="F325" s="502"/>
      <c r="G325" s="502"/>
      <c r="H325" s="502"/>
      <c r="I325" s="502"/>
      <c r="J325" s="502"/>
      <c r="K325" s="502"/>
      <c r="L325" s="508">
        <v>221</v>
      </c>
      <c r="M325" s="502"/>
      <c r="N325" s="502"/>
    </row>
    <row r="326" spans="2:14">
      <c r="B326" s="502"/>
      <c r="C326" s="502"/>
      <c r="D326" s="502"/>
      <c r="E326" s="502"/>
      <c r="F326" s="502"/>
      <c r="G326" s="502"/>
      <c r="H326" s="502"/>
      <c r="I326" s="502"/>
      <c r="J326" s="502"/>
      <c r="K326" s="502"/>
      <c r="L326" s="508">
        <v>222</v>
      </c>
      <c r="M326" s="502"/>
      <c r="N326" s="502"/>
    </row>
    <row r="327" spans="2:14">
      <c r="B327" s="502"/>
      <c r="C327" s="502"/>
      <c r="D327" s="502"/>
      <c r="E327" s="502"/>
      <c r="F327" s="502"/>
      <c r="G327" s="502"/>
      <c r="H327" s="502"/>
      <c r="I327" s="502"/>
      <c r="J327" s="502"/>
      <c r="K327" s="502"/>
      <c r="L327" s="508">
        <v>223</v>
      </c>
      <c r="M327" s="502"/>
      <c r="N327" s="502"/>
    </row>
    <row r="328" spans="2:14">
      <c r="B328" s="502"/>
      <c r="C328" s="502"/>
      <c r="D328" s="502"/>
      <c r="E328" s="502"/>
      <c r="F328" s="502"/>
      <c r="G328" s="502"/>
      <c r="H328" s="502"/>
      <c r="I328" s="502"/>
      <c r="J328" s="502"/>
      <c r="K328" s="502"/>
      <c r="L328" s="508">
        <v>224</v>
      </c>
      <c r="M328" s="502"/>
      <c r="N328" s="502"/>
    </row>
    <row r="329" spans="2:14">
      <c r="B329" s="502"/>
      <c r="C329" s="502"/>
      <c r="D329" s="502"/>
      <c r="E329" s="502"/>
      <c r="F329" s="502"/>
      <c r="G329" s="502"/>
      <c r="H329" s="502"/>
      <c r="I329" s="502"/>
      <c r="J329" s="502"/>
      <c r="K329" s="502"/>
      <c r="L329" s="508">
        <v>225</v>
      </c>
      <c r="M329" s="502"/>
      <c r="N329" s="502"/>
    </row>
    <row r="330" spans="2:14">
      <c r="B330" s="502"/>
      <c r="C330" s="502"/>
      <c r="D330" s="502"/>
      <c r="E330" s="502"/>
      <c r="F330" s="502"/>
      <c r="G330" s="502"/>
      <c r="H330" s="502"/>
      <c r="I330" s="502"/>
      <c r="J330" s="502"/>
      <c r="K330" s="502"/>
      <c r="L330" s="508">
        <v>226</v>
      </c>
      <c r="M330" s="502"/>
      <c r="N330" s="502"/>
    </row>
    <row r="331" spans="2:14">
      <c r="B331" s="502"/>
      <c r="C331" s="502"/>
      <c r="D331" s="502"/>
      <c r="E331" s="502"/>
      <c r="F331" s="502"/>
      <c r="G331" s="502"/>
      <c r="H331" s="502"/>
      <c r="I331" s="502"/>
      <c r="J331" s="502"/>
      <c r="K331" s="502"/>
      <c r="L331" s="508">
        <v>227</v>
      </c>
      <c r="M331" s="502"/>
      <c r="N331" s="502"/>
    </row>
    <row r="332" spans="2:14">
      <c r="B332" s="502"/>
      <c r="C332" s="502"/>
      <c r="D332" s="502"/>
      <c r="E332" s="502"/>
      <c r="F332" s="502"/>
      <c r="G332" s="502"/>
      <c r="H332" s="502"/>
      <c r="I332" s="502"/>
      <c r="J332" s="502"/>
      <c r="K332" s="502"/>
      <c r="L332" s="508">
        <v>228</v>
      </c>
      <c r="M332" s="502"/>
      <c r="N332" s="502"/>
    </row>
    <row r="333" spans="2:14">
      <c r="B333" s="502"/>
      <c r="C333" s="502"/>
      <c r="D333" s="502"/>
      <c r="E333" s="502"/>
      <c r="F333" s="502"/>
      <c r="G333" s="502"/>
      <c r="H333" s="502"/>
      <c r="I333" s="502"/>
      <c r="J333" s="502"/>
      <c r="K333" s="502"/>
      <c r="L333" s="508">
        <v>229</v>
      </c>
      <c r="M333" s="502"/>
      <c r="N333" s="502"/>
    </row>
    <row r="334" spans="2:14">
      <c r="B334" s="502"/>
      <c r="C334" s="502"/>
      <c r="D334" s="502"/>
      <c r="E334" s="502"/>
      <c r="F334" s="502"/>
      <c r="G334" s="502"/>
      <c r="H334" s="502"/>
      <c r="I334" s="502"/>
      <c r="J334" s="502"/>
      <c r="K334" s="502"/>
      <c r="L334" s="508">
        <v>230</v>
      </c>
      <c r="M334" s="502"/>
      <c r="N334" s="502"/>
    </row>
    <row r="335" spans="2:14">
      <c r="B335" s="502"/>
      <c r="C335" s="502"/>
      <c r="D335" s="502"/>
      <c r="E335" s="502"/>
      <c r="F335" s="502"/>
      <c r="G335" s="502"/>
      <c r="H335" s="502"/>
      <c r="I335" s="502"/>
      <c r="J335" s="502"/>
      <c r="K335" s="502"/>
      <c r="L335" s="508">
        <v>231</v>
      </c>
      <c r="M335" s="502"/>
      <c r="N335" s="502"/>
    </row>
    <row r="336" spans="2:14">
      <c r="B336" s="502"/>
      <c r="C336" s="502"/>
      <c r="D336" s="502"/>
      <c r="E336" s="502"/>
      <c r="F336" s="502"/>
      <c r="G336" s="502"/>
      <c r="H336" s="502"/>
      <c r="I336" s="502"/>
      <c r="J336" s="502"/>
      <c r="K336" s="502"/>
      <c r="L336" s="508">
        <v>232</v>
      </c>
      <c r="M336" s="502"/>
      <c r="N336" s="502"/>
    </row>
    <row r="337" spans="2:14">
      <c r="B337" s="502"/>
      <c r="C337" s="502"/>
      <c r="D337" s="502"/>
      <c r="E337" s="502"/>
      <c r="F337" s="502"/>
      <c r="G337" s="502"/>
      <c r="H337" s="502"/>
      <c r="I337" s="502"/>
      <c r="J337" s="502"/>
      <c r="K337" s="502"/>
      <c r="L337" s="508">
        <v>233</v>
      </c>
      <c r="M337" s="502"/>
      <c r="N337" s="502"/>
    </row>
    <row r="338" spans="2:14">
      <c r="B338" s="502"/>
      <c r="C338" s="502"/>
      <c r="D338" s="502"/>
      <c r="E338" s="502"/>
      <c r="F338" s="502"/>
      <c r="G338" s="502"/>
      <c r="H338" s="502"/>
      <c r="I338" s="502"/>
      <c r="J338" s="502"/>
      <c r="K338" s="502"/>
      <c r="L338" s="508">
        <v>234</v>
      </c>
      <c r="M338" s="502"/>
      <c r="N338" s="502"/>
    </row>
    <row r="339" spans="2:14">
      <c r="B339" s="502"/>
      <c r="C339" s="502"/>
      <c r="D339" s="502"/>
      <c r="E339" s="502"/>
      <c r="F339" s="502"/>
      <c r="G339" s="502"/>
      <c r="H339" s="502"/>
      <c r="I339" s="502"/>
      <c r="J339" s="502"/>
      <c r="K339" s="502"/>
      <c r="L339" s="508">
        <v>235</v>
      </c>
      <c r="M339" s="502"/>
      <c r="N339" s="502"/>
    </row>
    <row r="340" spans="2:14">
      <c r="B340" s="502"/>
      <c r="C340" s="502"/>
      <c r="D340" s="502"/>
      <c r="E340" s="502"/>
      <c r="F340" s="502"/>
      <c r="G340" s="502"/>
      <c r="H340" s="502"/>
      <c r="I340" s="502"/>
      <c r="J340" s="502"/>
      <c r="K340" s="502"/>
      <c r="L340" s="508">
        <v>236</v>
      </c>
      <c r="M340" s="502"/>
      <c r="N340" s="502"/>
    </row>
    <row r="341" spans="2:14">
      <c r="B341" s="502"/>
      <c r="C341" s="502"/>
      <c r="D341" s="502"/>
      <c r="E341" s="502"/>
      <c r="F341" s="502"/>
      <c r="G341" s="502"/>
      <c r="H341" s="502"/>
      <c r="I341" s="502"/>
      <c r="J341" s="502"/>
      <c r="K341" s="502"/>
      <c r="L341" s="508">
        <v>237</v>
      </c>
      <c r="M341" s="502"/>
      <c r="N341" s="502"/>
    </row>
    <row r="342" spans="2:14">
      <c r="B342" s="502"/>
      <c r="C342" s="502"/>
      <c r="D342" s="502"/>
      <c r="E342" s="502"/>
      <c r="F342" s="502"/>
      <c r="G342" s="502"/>
      <c r="H342" s="502"/>
      <c r="I342" s="502"/>
      <c r="J342" s="502"/>
      <c r="K342" s="502"/>
      <c r="L342" s="508">
        <v>238</v>
      </c>
      <c r="M342" s="502"/>
      <c r="N342" s="502"/>
    </row>
    <row r="343" spans="2:14">
      <c r="B343" s="502"/>
      <c r="C343" s="502"/>
      <c r="D343" s="502"/>
      <c r="E343" s="502"/>
      <c r="F343" s="502"/>
      <c r="G343" s="502"/>
      <c r="H343" s="502"/>
      <c r="I343" s="502"/>
      <c r="J343" s="502"/>
      <c r="K343" s="502"/>
      <c r="L343" s="508">
        <v>239</v>
      </c>
      <c r="M343" s="502"/>
      <c r="N343" s="502"/>
    </row>
    <row r="344" spans="2:14">
      <c r="B344" s="502"/>
      <c r="C344" s="502"/>
      <c r="D344" s="502"/>
      <c r="E344" s="502"/>
      <c r="F344" s="502"/>
      <c r="G344" s="502"/>
      <c r="H344" s="502"/>
      <c r="I344" s="502"/>
      <c r="J344" s="502"/>
      <c r="K344" s="502"/>
      <c r="L344" s="508">
        <v>240</v>
      </c>
      <c r="M344" s="502"/>
      <c r="N344" s="502"/>
    </row>
    <row r="345" spans="2:14">
      <c r="B345" s="502"/>
      <c r="C345" s="502"/>
      <c r="D345" s="502"/>
      <c r="E345" s="502"/>
      <c r="F345" s="502"/>
      <c r="G345" s="502"/>
      <c r="H345" s="502"/>
      <c r="I345" s="502"/>
      <c r="J345" s="502"/>
      <c r="K345" s="502"/>
      <c r="L345" s="508">
        <v>241</v>
      </c>
      <c r="M345" s="502"/>
      <c r="N345" s="502"/>
    </row>
    <row r="346" spans="2:14">
      <c r="B346" s="502"/>
      <c r="C346" s="502"/>
      <c r="D346" s="502"/>
      <c r="E346" s="502"/>
      <c r="F346" s="502"/>
      <c r="G346" s="502"/>
      <c r="H346" s="502"/>
      <c r="I346" s="502"/>
      <c r="J346" s="502"/>
      <c r="K346" s="502"/>
      <c r="L346" s="508">
        <v>242</v>
      </c>
      <c r="M346" s="502"/>
      <c r="N346" s="502"/>
    </row>
    <row r="347" spans="2:14">
      <c r="B347" s="502"/>
      <c r="C347" s="502"/>
      <c r="D347" s="502"/>
      <c r="E347" s="502"/>
      <c r="F347" s="502"/>
      <c r="G347" s="502"/>
      <c r="H347" s="502"/>
      <c r="I347" s="502"/>
      <c r="J347" s="502"/>
      <c r="K347" s="502"/>
      <c r="L347" s="508">
        <v>243</v>
      </c>
      <c r="M347" s="502"/>
      <c r="N347" s="502"/>
    </row>
    <row r="348" spans="2:14">
      <c r="B348" s="502"/>
      <c r="C348" s="502"/>
      <c r="D348" s="502"/>
      <c r="E348" s="502"/>
      <c r="F348" s="502"/>
      <c r="G348" s="502"/>
      <c r="H348" s="502"/>
      <c r="I348" s="502"/>
      <c r="J348" s="502"/>
      <c r="K348" s="502"/>
      <c r="L348" s="508">
        <v>244</v>
      </c>
      <c r="M348" s="502"/>
      <c r="N348" s="502"/>
    </row>
    <row r="349" spans="2:14">
      <c r="B349" s="502"/>
      <c r="C349" s="502"/>
      <c r="D349" s="502"/>
      <c r="E349" s="502"/>
      <c r="F349" s="502"/>
      <c r="G349" s="502"/>
      <c r="H349" s="502"/>
      <c r="I349" s="502"/>
      <c r="J349" s="502"/>
      <c r="K349" s="502"/>
      <c r="L349" s="508">
        <v>245</v>
      </c>
      <c r="M349" s="502"/>
      <c r="N349" s="502"/>
    </row>
    <row r="350" spans="2:14">
      <c r="B350" s="502"/>
      <c r="C350" s="502"/>
      <c r="D350" s="502"/>
      <c r="E350" s="502"/>
      <c r="F350" s="502"/>
      <c r="G350" s="502"/>
      <c r="H350" s="502"/>
      <c r="I350" s="502"/>
      <c r="J350" s="502"/>
      <c r="K350" s="502"/>
      <c r="L350" s="508">
        <v>246</v>
      </c>
      <c r="M350" s="502"/>
      <c r="N350" s="502"/>
    </row>
    <row r="351" spans="2:14">
      <c r="B351" s="502"/>
      <c r="C351" s="502"/>
      <c r="D351" s="502"/>
      <c r="E351" s="502"/>
      <c r="F351" s="502"/>
      <c r="G351" s="502"/>
      <c r="H351" s="502"/>
      <c r="I351" s="502"/>
      <c r="J351" s="502"/>
      <c r="K351" s="502"/>
      <c r="L351" s="508">
        <v>247</v>
      </c>
      <c r="M351" s="502"/>
      <c r="N351" s="502"/>
    </row>
    <row r="352" spans="2:14">
      <c r="B352" s="502"/>
      <c r="C352" s="502"/>
      <c r="D352" s="502"/>
      <c r="E352" s="502"/>
      <c r="F352" s="502"/>
      <c r="G352" s="502"/>
      <c r="H352" s="502"/>
      <c r="I352" s="502"/>
      <c r="J352" s="502"/>
      <c r="K352" s="502"/>
      <c r="L352" s="508">
        <v>248</v>
      </c>
      <c r="M352" s="502"/>
      <c r="N352" s="502"/>
    </row>
    <row r="353" spans="2:14">
      <c r="B353" s="502"/>
      <c r="C353" s="502"/>
      <c r="D353" s="502"/>
      <c r="E353" s="502"/>
      <c r="F353" s="502"/>
      <c r="G353" s="502"/>
      <c r="H353" s="502"/>
      <c r="I353" s="502"/>
      <c r="J353" s="502"/>
      <c r="K353" s="502"/>
      <c r="L353" s="508">
        <v>249</v>
      </c>
      <c r="M353" s="502"/>
      <c r="N353" s="502"/>
    </row>
    <row r="354" spans="2:14">
      <c r="B354" s="502"/>
      <c r="C354" s="502"/>
      <c r="D354" s="502"/>
      <c r="E354" s="502"/>
      <c r="F354" s="502"/>
      <c r="G354" s="502"/>
      <c r="H354" s="502"/>
      <c r="I354" s="502"/>
      <c r="J354" s="502"/>
      <c r="K354" s="502"/>
      <c r="L354" s="508">
        <v>250</v>
      </c>
      <c r="M354" s="502"/>
      <c r="N354" s="502"/>
    </row>
    <row r="355" spans="2:14">
      <c r="B355" s="502"/>
      <c r="C355" s="502"/>
      <c r="D355" s="502"/>
      <c r="E355" s="502"/>
      <c r="F355" s="502"/>
      <c r="G355" s="502"/>
      <c r="H355" s="502"/>
      <c r="I355" s="502"/>
      <c r="J355" s="502"/>
      <c r="K355" s="502"/>
      <c r="L355" s="508">
        <v>251</v>
      </c>
      <c r="M355" s="502"/>
      <c r="N355" s="502"/>
    </row>
    <row r="356" spans="2:14">
      <c r="B356" s="502"/>
      <c r="C356" s="502"/>
      <c r="D356" s="502"/>
      <c r="E356" s="502"/>
      <c r="F356" s="502"/>
      <c r="G356" s="502"/>
      <c r="H356" s="502"/>
      <c r="I356" s="502"/>
      <c r="J356" s="502"/>
      <c r="K356" s="502"/>
      <c r="L356" s="508">
        <v>252</v>
      </c>
      <c r="M356" s="502"/>
      <c r="N356" s="502"/>
    </row>
    <row r="357" spans="2:14">
      <c r="B357" s="502"/>
      <c r="C357" s="502"/>
      <c r="D357" s="502"/>
      <c r="E357" s="502"/>
      <c r="F357" s="502"/>
      <c r="G357" s="502"/>
      <c r="H357" s="502"/>
      <c r="I357" s="502"/>
      <c r="J357" s="502"/>
      <c r="K357" s="502"/>
      <c r="L357" s="508">
        <v>253</v>
      </c>
      <c r="M357" s="502"/>
      <c r="N357" s="502"/>
    </row>
    <row r="358" spans="2:14">
      <c r="B358" s="502"/>
      <c r="C358" s="502"/>
      <c r="D358" s="502"/>
      <c r="E358" s="502"/>
      <c r="F358" s="502"/>
      <c r="G358" s="502"/>
      <c r="H358" s="502"/>
      <c r="I358" s="502"/>
      <c r="J358" s="502"/>
      <c r="K358" s="502"/>
      <c r="L358" s="508">
        <v>254</v>
      </c>
      <c r="M358" s="502"/>
      <c r="N358" s="502"/>
    </row>
    <row r="359" spans="2:14">
      <c r="B359" s="502"/>
      <c r="C359" s="502"/>
      <c r="D359" s="502"/>
      <c r="E359" s="502"/>
      <c r="F359" s="502"/>
      <c r="G359" s="502"/>
      <c r="H359" s="502"/>
      <c r="I359" s="502"/>
      <c r="J359" s="502"/>
      <c r="K359" s="502"/>
      <c r="L359" s="508">
        <v>255</v>
      </c>
      <c r="M359" s="502"/>
      <c r="N359" s="502"/>
    </row>
    <row r="360" spans="2:14">
      <c r="B360" s="502"/>
      <c r="C360" s="502"/>
      <c r="D360" s="502"/>
      <c r="E360" s="502"/>
      <c r="F360" s="502"/>
      <c r="G360" s="502"/>
      <c r="H360" s="502"/>
      <c r="I360" s="502"/>
      <c r="J360" s="502"/>
      <c r="K360" s="502"/>
      <c r="L360" s="508">
        <v>256</v>
      </c>
      <c r="M360" s="502"/>
      <c r="N360" s="502"/>
    </row>
    <row r="361" spans="2:14">
      <c r="B361" s="502"/>
      <c r="C361" s="502"/>
      <c r="D361" s="502"/>
      <c r="E361" s="502"/>
      <c r="F361" s="502"/>
      <c r="G361" s="502"/>
      <c r="H361" s="502"/>
      <c r="I361" s="502"/>
      <c r="J361" s="502"/>
      <c r="K361" s="502"/>
      <c r="L361" s="508">
        <v>257</v>
      </c>
      <c r="M361" s="502"/>
      <c r="N361" s="502"/>
    </row>
    <row r="362" spans="2:14">
      <c r="B362" s="502"/>
      <c r="C362" s="502"/>
      <c r="D362" s="502"/>
      <c r="E362" s="502"/>
      <c r="F362" s="502"/>
      <c r="G362" s="502"/>
      <c r="H362" s="502"/>
      <c r="I362" s="502"/>
      <c r="J362" s="502"/>
      <c r="K362" s="502"/>
      <c r="L362" s="508">
        <v>258</v>
      </c>
      <c r="M362" s="502"/>
      <c r="N362" s="502"/>
    </row>
    <row r="363" spans="2:14">
      <c r="B363" s="502"/>
      <c r="C363" s="502"/>
      <c r="D363" s="502"/>
      <c r="E363" s="502"/>
      <c r="F363" s="502"/>
      <c r="G363" s="502"/>
      <c r="H363" s="502"/>
      <c r="I363" s="502"/>
      <c r="J363" s="502"/>
      <c r="K363" s="502"/>
      <c r="L363" s="508">
        <v>259</v>
      </c>
      <c r="M363" s="502"/>
      <c r="N363" s="502"/>
    </row>
    <row r="364" spans="2:14">
      <c r="B364" s="502"/>
      <c r="C364" s="502"/>
      <c r="D364" s="502"/>
      <c r="E364" s="502"/>
      <c r="F364" s="502"/>
      <c r="G364" s="502"/>
      <c r="H364" s="502"/>
      <c r="I364" s="502"/>
      <c r="J364" s="502"/>
      <c r="K364" s="502"/>
      <c r="L364" s="508">
        <v>260</v>
      </c>
      <c r="M364" s="502"/>
      <c r="N364" s="502"/>
    </row>
    <row r="365" spans="2:14">
      <c r="B365" s="502"/>
      <c r="C365" s="502"/>
      <c r="D365" s="502"/>
      <c r="E365" s="502"/>
      <c r="F365" s="502"/>
      <c r="G365" s="502"/>
      <c r="H365" s="502"/>
      <c r="I365" s="502"/>
      <c r="J365" s="502"/>
      <c r="K365" s="502"/>
      <c r="L365" s="508">
        <v>261</v>
      </c>
      <c r="M365" s="502"/>
      <c r="N365" s="502"/>
    </row>
    <row r="366" spans="2:14">
      <c r="B366" s="502"/>
      <c r="C366" s="502"/>
      <c r="D366" s="502"/>
      <c r="E366" s="502"/>
      <c r="F366" s="502"/>
      <c r="G366" s="502"/>
      <c r="H366" s="502"/>
      <c r="I366" s="502"/>
      <c r="J366" s="502"/>
      <c r="K366" s="502"/>
      <c r="L366" s="508">
        <v>262</v>
      </c>
      <c r="M366" s="502"/>
      <c r="N366" s="502"/>
    </row>
    <row r="367" spans="2:14">
      <c r="B367" s="502"/>
      <c r="C367" s="502"/>
      <c r="D367" s="502"/>
      <c r="E367" s="502"/>
      <c r="F367" s="502"/>
      <c r="G367" s="502"/>
      <c r="H367" s="502"/>
      <c r="I367" s="502"/>
      <c r="J367" s="502"/>
      <c r="K367" s="502"/>
      <c r="L367" s="508">
        <v>263</v>
      </c>
      <c r="M367" s="502"/>
      <c r="N367" s="502"/>
    </row>
    <row r="368" spans="2:14">
      <c r="B368" s="502"/>
      <c r="C368" s="502"/>
      <c r="D368" s="502"/>
      <c r="E368" s="502"/>
      <c r="F368" s="502"/>
      <c r="G368" s="502"/>
      <c r="H368" s="502"/>
      <c r="I368" s="502"/>
      <c r="J368" s="502"/>
      <c r="K368" s="502"/>
      <c r="L368" s="508">
        <v>264</v>
      </c>
      <c r="M368" s="502"/>
      <c r="N368" s="502"/>
    </row>
    <row r="369" spans="2:14">
      <c r="B369" s="502"/>
      <c r="C369" s="502"/>
      <c r="D369" s="502"/>
      <c r="E369" s="502"/>
      <c r="F369" s="502"/>
      <c r="G369" s="502"/>
      <c r="H369" s="502"/>
      <c r="I369" s="502"/>
      <c r="J369" s="502"/>
      <c r="K369" s="502"/>
      <c r="L369" s="508">
        <v>265</v>
      </c>
      <c r="M369" s="502"/>
      <c r="N369" s="502"/>
    </row>
    <row r="370" spans="2:14">
      <c r="B370" s="502"/>
      <c r="C370" s="502"/>
      <c r="D370" s="502"/>
      <c r="E370" s="502"/>
      <c r="F370" s="502"/>
      <c r="G370" s="502"/>
      <c r="H370" s="502"/>
      <c r="I370" s="502"/>
      <c r="J370" s="502"/>
      <c r="K370" s="502"/>
      <c r="L370" s="508">
        <v>266</v>
      </c>
      <c r="M370" s="502"/>
      <c r="N370" s="502"/>
    </row>
    <row r="371" spans="2:14">
      <c r="B371" s="502"/>
      <c r="C371" s="502"/>
      <c r="D371" s="502"/>
      <c r="E371" s="502"/>
      <c r="F371" s="502"/>
      <c r="G371" s="502"/>
      <c r="H371" s="502"/>
      <c r="I371" s="502"/>
      <c r="J371" s="502"/>
      <c r="K371" s="502"/>
      <c r="L371" s="508">
        <v>267</v>
      </c>
      <c r="M371" s="502"/>
      <c r="N371" s="502"/>
    </row>
    <row r="372" spans="2:14">
      <c r="B372" s="502"/>
      <c r="C372" s="502"/>
      <c r="D372" s="502"/>
      <c r="E372" s="502"/>
      <c r="F372" s="502"/>
      <c r="G372" s="502"/>
      <c r="H372" s="502"/>
      <c r="I372" s="502"/>
      <c r="J372" s="502"/>
      <c r="K372" s="502"/>
      <c r="L372" s="508">
        <v>268</v>
      </c>
      <c r="M372" s="502"/>
      <c r="N372" s="502"/>
    </row>
    <row r="373" spans="2:14">
      <c r="B373" s="502"/>
      <c r="C373" s="502"/>
      <c r="D373" s="502"/>
      <c r="E373" s="502"/>
      <c r="F373" s="502"/>
      <c r="G373" s="502"/>
      <c r="H373" s="502"/>
      <c r="I373" s="502"/>
      <c r="J373" s="502"/>
      <c r="K373" s="502"/>
      <c r="L373" s="508">
        <v>269</v>
      </c>
      <c r="M373" s="502"/>
      <c r="N373" s="502"/>
    </row>
    <row r="374" spans="2:14">
      <c r="B374" s="502"/>
      <c r="C374" s="502"/>
      <c r="D374" s="502"/>
      <c r="E374" s="502"/>
      <c r="F374" s="502"/>
      <c r="G374" s="502"/>
      <c r="H374" s="502"/>
      <c r="I374" s="502"/>
      <c r="J374" s="502"/>
      <c r="K374" s="502"/>
      <c r="L374" s="508">
        <v>270</v>
      </c>
      <c r="M374" s="502"/>
      <c r="N374" s="502"/>
    </row>
    <row r="375" spans="2:14">
      <c r="B375" s="502"/>
      <c r="C375" s="502"/>
      <c r="D375" s="502"/>
      <c r="E375" s="502"/>
      <c r="F375" s="502"/>
      <c r="G375" s="502"/>
      <c r="H375" s="502"/>
      <c r="I375" s="502"/>
      <c r="J375" s="502"/>
      <c r="K375" s="502"/>
      <c r="L375" s="508">
        <v>271</v>
      </c>
      <c r="M375" s="502"/>
      <c r="N375" s="502"/>
    </row>
    <row r="376" spans="2:14">
      <c r="B376" s="502"/>
      <c r="C376" s="502"/>
      <c r="D376" s="502"/>
      <c r="E376" s="502"/>
      <c r="F376" s="502"/>
      <c r="G376" s="502"/>
      <c r="H376" s="502"/>
      <c r="I376" s="502"/>
      <c r="J376" s="502"/>
      <c r="K376" s="502"/>
      <c r="L376" s="508">
        <v>272</v>
      </c>
      <c r="M376" s="502"/>
      <c r="N376" s="502"/>
    </row>
    <row r="377" spans="2:14">
      <c r="B377" s="502"/>
      <c r="C377" s="502"/>
      <c r="D377" s="502"/>
      <c r="E377" s="502"/>
      <c r="F377" s="502"/>
      <c r="G377" s="502"/>
      <c r="H377" s="502"/>
      <c r="I377" s="502"/>
      <c r="J377" s="502"/>
      <c r="K377" s="502"/>
      <c r="L377" s="508">
        <v>273</v>
      </c>
      <c r="M377" s="502"/>
      <c r="N377" s="502"/>
    </row>
    <row r="378" spans="2:14">
      <c r="B378" s="502"/>
      <c r="C378" s="502"/>
      <c r="D378" s="502"/>
      <c r="E378" s="502"/>
      <c r="F378" s="502"/>
      <c r="G378" s="502"/>
      <c r="H378" s="502"/>
      <c r="I378" s="502"/>
      <c r="J378" s="502"/>
      <c r="K378" s="502"/>
      <c r="L378" s="508">
        <v>274</v>
      </c>
      <c r="M378" s="502"/>
      <c r="N378" s="502"/>
    </row>
    <row r="379" spans="2:14">
      <c r="B379" s="502"/>
      <c r="C379" s="502"/>
      <c r="D379" s="502"/>
      <c r="E379" s="502"/>
      <c r="F379" s="502"/>
      <c r="G379" s="502"/>
      <c r="H379" s="502"/>
      <c r="I379" s="502"/>
      <c r="J379" s="502"/>
      <c r="K379" s="502"/>
      <c r="L379" s="508">
        <v>275</v>
      </c>
      <c r="M379" s="502"/>
      <c r="N379" s="502"/>
    </row>
    <row r="380" spans="2:14">
      <c r="B380" s="502"/>
      <c r="C380" s="502"/>
      <c r="D380" s="502"/>
      <c r="E380" s="502"/>
      <c r="F380" s="502"/>
      <c r="G380" s="502"/>
      <c r="H380" s="502"/>
      <c r="I380" s="502"/>
      <c r="J380" s="502"/>
      <c r="K380" s="502"/>
      <c r="L380" s="508">
        <v>276</v>
      </c>
      <c r="M380" s="502"/>
      <c r="N380" s="502"/>
    </row>
    <row r="381" spans="2:14">
      <c r="B381" s="502"/>
      <c r="C381" s="502"/>
      <c r="D381" s="502"/>
      <c r="E381" s="502"/>
      <c r="F381" s="502"/>
      <c r="G381" s="502"/>
      <c r="H381" s="502"/>
      <c r="I381" s="502"/>
      <c r="J381" s="502"/>
      <c r="K381" s="502"/>
      <c r="L381" s="508">
        <v>277</v>
      </c>
      <c r="M381" s="502"/>
      <c r="N381" s="502"/>
    </row>
    <row r="382" spans="2:14">
      <c r="B382" s="502"/>
      <c r="C382" s="502"/>
      <c r="D382" s="502"/>
      <c r="E382" s="502"/>
      <c r="F382" s="502"/>
      <c r="G382" s="502"/>
      <c r="H382" s="502"/>
      <c r="I382" s="502"/>
      <c r="J382" s="502"/>
      <c r="K382" s="502"/>
      <c r="L382" s="508">
        <v>278</v>
      </c>
      <c r="M382" s="502"/>
      <c r="N382" s="502"/>
    </row>
    <row r="383" spans="2:14">
      <c r="B383" s="502"/>
      <c r="C383" s="502"/>
      <c r="D383" s="502"/>
      <c r="E383" s="502"/>
      <c r="F383" s="502"/>
      <c r="G383" s="502"/>
      <c r="H383" s="502"/>
      <c r="I383" s="502"/>
      <c r="J383" s="502"/>
      <c r="K383" s="502"/>
      <c r="L383" s="508">
        <v>279</v>
      </c>
      <c r="M383" s="502"/>
      <c r="N383" s="502"/>
    </row>
    <row r="384" spans="2:14">
      <c r="B384" s="502"/>
      <c r="C384" s="502"/>
      <c r="D384" s="502"/>
      <c r="E384" s="502"/>
      <c r="F384" s="502"/>
      <c r="G384" s="502"/>
      <c r="H384" s="502"/>
      <c r="I384" s="502"/>
      <c r="J384" s="502"/>
      <c r="K384" s="502"/>
      <c r="L384" s="508">
        <v>280</v>
      </c>
      <c r="M384" s="502"/>
      <c r="N384" s="502"/>
    </row>
    <row r="385" spans="2:14">
      <c r="B385" s="502"/>
      <c r="C385" s="502"/>
      <c r="D385" s="502"/>
      <c r="E385" s="502"/>
      <c r="F385" s="502"/>
      <c r="G385" s="502"/>
      <c r="H385" s="502"/>
      <c r="I385" s="502"/>
      <c r="J385" s="502"/>
      <c r="K385" s="502"/>
      <c r="L385" s="508">
        <v>281</v>
      </c>
      <c r="M385" s="502"/>
      <c r="N385" s="502"/>
    </row>
    <row r="386" spans="2:14">
      <c r="B386" s="502"/>
      <c r="C386" s="502"/>
      <c r="D386" s="502"/>
      <c r="E386" s="502"/>
      <c r="F386" s="502"/>
      <c r="G386" s="502"/>
      <c r="H386" s="502"/>
      <c r="I386" s="502"/>
      <c r="J386" s="502"/>
      <c r="K386" s="502"/>
      <c r="L386" s="508">
        <v>282</v>
      </c>
      <c r="M386" s="502"/>
      <c r="N386" s="502"/>
    </row>
    <row r="387" spans="2:14">
      <c r="B387" s="502"/>
      <c r="C387" s="502"/>
      <c r="D387" s="502"/>
      <c r="E387" s="502"/>
      <c r="F387" s="502"/>
      <c r="G387" s="502"/>
      <c r="H387" s="502"/>
      <c r="I387" s="502"/>
      <c r="J387" s="502"/>
      <c r="K387" s="502"/>
      <c r="L387" s="508">
        <v>283</v>
      </c>
      <c r="M387" s="502"/>
      <c r="N387" s="502"/>
    </row>
    <row r="388" spans="2:14">
      <c r="B388" s="502"/>
      <c r="C388" s="502"/>
      <c r="D388" s="502"/>
      <c r="E388" s="502"/>
      <c r="F388" s="502"/>
      <c r="G388" s="502"/>
      <c r="H388" s="502"/>
      <c r="I388" s="502"/>
      <c r="J388" s="502"/>
      <c r="K388" s="502"/>
      <c r="L388" s="508">
        <v>284</v>
      </c>
      <c r="M388" s="502"/>
      <c r="N388" s="502"/>
    </row>
    <row r="389" spans="2:14">
      <c r="B389" s="502"/>
      <c r="C389" s="502"/>
      <c r="D389" s="502"/>
      <c r="E389" s="502"/>
      <c r="F389" s="502"/>
      <c r="G389" s="502"/>
      <c r="H389" s="502"/>
      <c r="I389" s="502"/>
      <c r="J389" s="502"/>
      <c r="K389" s="502"/>
      <c r="L389" s="508">
        <v>285</v>
      </c>
      <c r="M389" s="502"/>
      <c r="N389" s="502"/>
    </row>
    <row r="390" spans="2:14">
      <c r="B390" s="502"/>
      <c r="C390" s="502"/>
      <c r="D390" s="502"/>
      <c r="E390" s="502"/>
      <c r="F390" s="502"/>
      <c r="G390" s="502"/>
      <c r="H390" s="502"/>
      <c r="I390" s="502"/>
      <c r="J390" s="502"/>
      <c r="K390" s="502"/>
      <c r="L390" s="508">
        <v>286</v>
      </c>
      <c r="M390" s="502"/>
      <c r="N390" s="502"/>
    </row>
    <row r="391" spans="2:14">
      <c r="B391" s="502"/>
      <c r="C391" s="502"/>
      <c r="D391" s="502"/>
      <c r="E391" s="502"/>
      <c r="F391" s="502"/>
      <c r="G391" s="502"/>
      <c r="H391" s="502"/>
      <c r="I391" s="502"/>
      <c r="J391" s="502"/>
      <c r="K391" s="502"/>
      <c r="L391" s="508">
        <v>287</v>
      </c>
      <c r="M391" s="502"/>
      <c r="N391" s="502"/>
    </row>
    <row r="392" spans="2:14">
      <c r="B392" s="502"/>
      <c r="C392" s="502"/>
      <c r="D392" s="502"/>
      <c r="E392" s="502"/>
      <c r="F392" s="502"/>
      <c r="G392" s="502"/>
      <c r="H392" s="502"/>
      <c r="I392" s="502"/>
      <c r="J392" s="502"/>
      <c r="K392" s="502"/>
      <c r="L392" s="508">
        <v>288</v>
      </c>
      <c r="M392" s="502"/>
      <c r="N392" s="502"/>
    </row>
    <row r="393" spans="2:14">
      <c r="B393" s="502"/>
      <c r="C393" s="502"/>
      <c r="D393" s="502"/>
      <c r="E393" s="502"/>
      <c r="F393" s="502"/>
      <c r="G393" s="502"/>
      <c r="H393" s="502"/>
      <c r="I393" s="502"/>
      <c r="J393" s="502"/>
      <c r="K393" s="502"/>
      <c r="L393" s="508">
        <v>289</v>
      </c>
      <c r="M393" s="502"/>
      <c r="N393" s="502"/>
    </row>
    <row r="394" spans="2:14">
      <c r="B394" s="502"/>
      <c r="C394" s="502"/>
      <c r="D394" s="502"/>
      <c r="E394" s="502"/>
      <c r="F394" s="502"/>
      <c r="G394" s="502"/>
      <c r="H394" s="502"/>
      <c r="I394" s="502"/>
      <c r="J394" s="502"/>
      <c r="K394" s="502"/>
      <c r="L394" s="508">
        <v>290</v>
      </c>
      <c r="M394" s="502"/>
      <c r="N394" s="502"/>
    </row>
    <row r="395" spans="2:14">
      <c r="B395" s="502"/>
      <c r="C395" s="502"/>
      <c r="D395" s="502"/>
      <c r="E395" s="502"/>
      <c r="F395" s="502"/>
      <c r="G395" s="502"/>
      <c r="H395" s="502"/>
      <c r="I395" s="502"/>
      <c r="J395" s="502"/>
      <c r="K395" s="502"/>
      <c r="L395" s="508">
        <v>291</v>
      </c>
      <c r="M395" s="502"/>
      <c r="N395" s="502"/>
    </row>
    <row r="396" spans="2:14">
      <c r="B396" s="502"/>
      <c r="C396" s="502"/>
      <c r="D396" s="502"/>
      <c r="E396" s="502"/>
      <c r="F396" s="502"/>
      <c r="G396" s="502"/>
      <c r="H396" s="502"/>
      <c r="I396" s="502"/>
      <c r="J396" s="502"/>
      <c r="K396" s="502"/>
      <c r="L396" s="508">
        <v>292</v>
      </c>
      <c r="M396" s="502"/>
      <c r="N396" s="502"/>
    </row>
    <row r="397" spans="2:14">
      <c r="B397" s="502"/>
      <c r="C397" s="502"/>
      <c r="D397" s="502"/>
      <c r="E397" s="502"/>
      <c r="F397" s="502"/>
      <c r="G397" s="502"/>
      <c r="H397" s="502"/>
      <c r="I397" s="502"/>
      <c r="J397" s="502"/>
      <c r="K397" s="502"/>
      <c r="L397" s="508">
        <v>293</v>
      </c>
      <c r="M397" s="502"/>
      <c r="N397" s="502"/>
    </row>
    <row r="398" spans="2:14">
      <c r="B398" s="502"/>
      <c r="C398" s="502"/>
      <c r="D398" s="502"/>
      <c r="E398" s="502"/>
      <c r="F398" s="502"/>
      <c r="G398" s="502"/>
      <c r="H398" s="502"/>
      <c r="I398" s="502"/>
      <c r="J398" s="502"/>
      <c r="K398" s="502"/>
      <c r="L398" s="508">
        <v>294</v>
      </c>
      <c r="M398" s="502"/>
      <c r="N398" s="502"/>
    </row>
    <row r="399" spans="2:14">
      <c r="B399" s="502"/>
      <c r="C399" s="502"/>
      <c r="D399" s="502"/>
      <c r="E399" s="502"/>
      <c r="F399" s="502"/>
      <c r="G399" s="502"/>
      <c r="H399" s="502"/>
      <c r="I399" s="502"/>
      <c r="J399" s="502"/>
      <c r="K399" s="502"/>
      <c r="L399" s="508">
        <v>295</v>
      </c>
      <c r="M399" s="502"/>
      <c r="N399" s="502"/>
    </row>
    <row r="400" spans="2:14">
      <c r="B400" s="502"/>
      <c r="C400" s="502"/>
      <c r="D400" s="502"/>
      <c r="E400" s="502"/>
      <c r="F400" s="502"/>
      <c r="G400" s="502"/>
      <c r="H400" s="502"/>
      <c r="I400" s="502"/>
      <c r="J400" s="502"/>
      <c r="K400" s="502"/>
      <c r="L400" s="508">
        <v>296</v>
      </c>
      <c r="M400" s="502"/>
      <c r="N400" s="502"/>
    </row>
    <row r="401" spans="2:14">
      <c r="B401" s="502"/>
      <c r="C401" s="502"/>
      <c r="D401" s="502"/>
      <c r="E401" s="502"/>
      <c r="F401" s="502"/>
      <c r="G401" s="502"/>
      <c r="H401" s="502"/>
      <c r="I401" s="502"/>
      <c r="J401" s="502"/>
      <c r="K401" s="502"/>
      <c r="L401" s="508">
        <v>297</v>
      </c>
      <c r="M401" s="502"/>
      <c r="N401" s="502"/>
    </row>
    <row r="402" spans="2:14">
      <c r="B402" s="502"/>
      <c r="C402" s="502"/>
      <c r="D402" s="502"/>
      <c r="E402" s="502"/>
      <c r="F402" s="502"/>
      <c r="G402" s="502"/>
      <c r="H402" s="502"/>
      <c r="I402" s="502"/>
      <c r="J402" s="502"/>
      <c r="K402" s="502"/>
      <c r="L402" s="508">
        <v>298</v>
      </c>
      <c r="M402" s="502"/>
      <c r="N402" s="502"/>
    </row>
    <row r="403" spans="2:14">
      <c r="B403" s="502"/>
      <c r="C403" s="502"/>
      <c r="D403" s="502"/>
      <c r="E403" s="502"/>
      <c r="F403" s="502"/>
      <c r="G403" s="502"/>
      <c r="H403" s="502"/>
      <c r="I403" s="502"/>
      <c r="J403" s="502"/>
      <c r="K403" s="502"/>
      <c r="L403" s="508">
        <v>299</v>
      </c>
      <c r="M403" s="502"/>
      <c r="N403" s="502"/>
    </row>
    <row r="404" spans="2:14">
      <c r="B404" s="502"/>
      <c r="C404" s="502"/>
      <c r="D404" s="502"/>
      <c r="E404" s="502"/>
      <c r="F404" s="502"/>
      <c r="G404" s="502"/>
      <c r="H404" s="502"/>
      <c r="I404" s="502"/>
      <c r="J404" s="502"/>
      <c r="K404" s="502"/>
      <c r="L404" s="508">
        <v>300</v>
      </c>
      <c r="M404" s="502"/>
      <c r="N404" s="502"/>
    </row>
    <row r="405" spans="2:14">
      <c r="B405" s="502"/>
      <c r="C405" s="502"/>
      <c r="D405" s="502"/>
      <c r="E405" s="502"/>
      <c r="F405" s="502"/>
      <c r="G405" s="502"/>
      <c r="H405" s="502"/>
      <c r="I405" s="502"/>
      <c r="J405" s="502"/>
      <c r="K405" s="502"/>
      <c r="L405" s="508">
        <v>301</v>
      </c>
      <c r="M405" s="502"/>
      <c r="N405" s="502"/>
    </row>
    <row r="406" spans="2:14">
      <c r="B406" s="502"/>
      <c r="C406" s="502"/>
      <c r="D406" s="502"/>
      <c r="E406" s="502"/>
      <c r="F406" s="502"/>
      <c r="G406" s="502"/>
      <c r="H406" s="502"/>
      <c r="I406" s="502"/>
      <c r="J406" s="502"/>
      <c r="K406" s="502"/>
      <c r="L406" s="508">
        <v>302</v>
      </c>
      <c r="M406" s="502"/>
      <c r="N406" s="502"/>
    </row>
    <row r="407" spans="2:14">
      <c r="B407" s="502"/>
      <c r="C407" s="502"/>
      <c r="D407" s="502"/>
      <c r="E407" s="502"/>
      <c r="F407" s="502"/>
      <c r="G407" s="502"/>
      <c r="H407" s="502"/>
      <c r="I407" s="502"/>
      <c r="J407" s="502"/>
      <c r="K407" s="502"/>
      <c r="L407" s="508">
        <v>303</v>
      </c>
      <c r="M407" s="502"/>
      <c r="N407" s="502"/>
    </row>
    <row r="408" spans="2:14">
      <c r="B408" s="502"/>
      <c r="C408" s="502"/>
      <c r="D408" s="502"/>
      <c r="E408" s="502"/>
      <c r="F408" s="502"/>
      <c r="G408" s="502"/>
      <c r="H408" s="502"/>
      <c r="I408" s="502"/>
      <c r="J408" s="502"/>
      <c r="K408" s="502"/>
      <c r="L408" s="508">
        <v>304</v>
      </c>
      <c r="M408" s="502"/>
      <c r="N408" s="502"/>
    </row>
    <row r="409" spans="2:14">
      <c r="B409" s="502"/>
      <c r="C409" s="502"/>
      <c r="D409" s="502"/>
      <c r="E409" s="502"/>
      <c r="F409" s="502"/>
      <c r="G409" s="502"/>
      <c r="H409" s="502"/>
      <c r="I409" s="502"/>
      <c r="J409" s="502"/>
      <c r="K409" s="502"/>
      <c r="L409" s="508">
        <v>305</v>
      </c>
      <c r="M409" s="502"/>
      <c r="N409" s="502"/>
    </row>
    <row r="410" spans="2:14">
      <c r="B410" s="502"/>
      <c r="C410" s="502"/>
      <c r="D410" s="502"/>
      <c r="E410" s="502"/>
      <c r="F410" s="502"/>
      <c r="G410" s="502"/>
      <c r="H410" s="502"/>
      <c r="I410" s="502"/>
      <c r="J410" s="502"/>
      <c r="K410" s="502"/>
      <c r="L410" s="508">
        <v>306</v>
      </c>
      <c r="M410" s="502"/>
      <c r="N410" s="502"/>
    </row>
    <row r="411" spans="2:14">
      <c r="B411" s="502"/>
      <c r="C411" s="502"/>
      <c r="D411" s="502"/>
      <c r="E411" s="502"/>
      <c r="F411" s="502"/>
      <c r="G411" s="502"/>
      <c r="H411" s="502"/>
      <c r="I411" s="502"/>
      <c r="J411" s="502"/>
      <c r="K411" s="502"/>
      <c r="L411" s="508">
        <v>307</v>
      </c>
      <c r="M411" s="502"/>
      <c r="N411" s="502"/>
    </row>
    <row r="412" spans="2:14">
      <c r="B412" s="502"/>
      <c r="C412" s="502"/>
      <c r="D412" s="502"/>
      <c r="E412" s="502"/>
      <c r="F412" s="502"/>
      <c r="G412" s="502"/>
      <c r="H412" s="502"/>
      <c r="I412" s="502"/>
      <c r="J412" s="502"/>
      <c r="K412" s="502"/>
      <c r="L412" s="508">
        <v>308</v>
      </c>
      <c r="M412" s="502"/>
      <c r="N412" s="502"/>
    </row>
    <row r="413" spans="2:14">
      <c r="B413" s="502"/>
      <c r="C413" s="502"/>
      <c r="D413" s="502"/>
      <c r="E413" s="502"/>
      <c r="F413" s="502"/>
      <c r="G413" s="502"/>
      <c r="H413" s="502"/>
      <c r="I413" s="502"/>
      <c r="J413" s="502"/>
      <c r="K413" s="502"/>
      <c r="L413" s="508">
        <v>309</v>
      </c>
      <c r="M413" s="502"/>
      <c r="N413" s="502"/>
    </row>
    <row r="414" spans="2:14">
      <c r="B414" s="502"/>
      <c r="C414" s="502"/>
      <c r="D414" s="502"/>
      <c r="E414" s="502"/>
      <c r="F414" s="502"/>
      <c r="G414" s="502"/>
      <c r="H414" s="502"/>
      <c r="I414" s="502"/>
      <c r="J414" s="502"/>
      <c r="K414" s="502"/>
      <c r="L414" s="508">
        <v>310</v>
      </c>
      <c r="M414" s="502"/>
      <c r="N414" s="502"/>
    </row>
    <row r="415" spans="2:14">
      <c r="B415" s="502"/>
      <c r="C415" s="502"/>
      <c r="D415" s="502"/>
      <c r="E415" s="502"/>
      <c r="F415" s="502"/>
      <c r="G415" s="502"/>
      <c r="H415" s="502"/>
      <c r="I415" s="502"/>
      <c r="J415" s="502"/>
      <c r="K415" s="502"/>
      <c r="L415" s="508">
        <v>311</v>
      </c>
      <c r="M415" s="502"/>
      <c r="N415" s="502"/>
    </row>
    <row r="416" spans="2:14">
      <c r="B416" s="502"/>
      <c r="C416" s="502"/>
      <c r="D416" s="502"/>
      <c r="E416" s="502"/>
      <c r="F416" s="502"/>
      <c r="G416" s="502"/>
      <c r="H416" s="502"/>
      <c r="I416" s="502"/>
      <c r="J416" s="502"/>
      <c r="K416" s="502"/>
      <c r="L416" s="508">
        <v>312</v>
      </c>
      <c r="M416" s="502"/>
      <c r="N416" s="502"/>
    </row>
    <row r="417" spans="2:14">
      <c r="B417" s="502"/>
      <c r="C417" s="502"/>
      <c r="D417" s="502"/>
      <c r="E417" s="502"/>
      <c r="F417" s="502"/>
      <c r="G417" s="502"/>
      <c r="H417" s="502"/>
      <c r="I417" s="502"/>
      <c r="J417" s="502"/>
      <c r="K417" s="502"/>
      <c r="L417" s="508">
        <v>313</v>
      </c>
      <c r="M417" s="502"/>
      <c r="N417" s="502"/>
    </row>
    <row r="418" spans="2:14">
      <c r="B418" s="502"/>
      <c r="C418" s="502"/>
      <c r="D418" s="502"/>
      <c r="E418" s="502"/>
      <c r="F418" s="502"/>
      <c r="G418" s="502"/>
      <c r="H418" s="502"/>
      <c r="I418" s="502"/>
      <c r="J418" s="502"/>
      <c r="K418" s="502"/>
      <c r="L418" s="508">
        <v>314</v>
      </c>
      <c r="M418" s="502"/>
      <c r="N418" s="502"/>
    </row>
    <row r="419" spans="2:14">
      <c r="B419" s="502"/>
      <c r="C419" s="502"/>
      <c r="D419" s="502"/>
      <c r="E419" s="502"/>
      <c r="F419" s="502"/>
      <c r="G419" s="502"/>
      <c r="H419" s="502"/>
      <c r="I419" s="502"/>
      <c r="J419" s="502"/>
      <c r="K419" s="502"/>
      <c r="L419" s="508">
        <v>315</v>
      </c>
      <c r="M419" s="502"/>
      <c r="N419" s="502"/>
    </row>
    <row r="420" spans="2:14">
      <c r="B420" s="502"/>
      <c r="C420" s="502"/>
      <c r="D420" s="502"/>
      <c r="E420" s="502"/>
      <c r="F420" s="502"/>
      <c r="G420" s="502"/>
      <c r="H420" s="502"/>
      <c r="I420" s="502"/>
      <c r="J420" s="502"/>
      <c r="K420" s="502"/>
      <c r="L420" s="508">
        <v>316</v>
      </c>
      <c r="M420" s="502"/>
      <c r="N420" s="502"/>
    </row>
    <row r="421" spans="2:14">
      <c r="B421" s="502"/>
      <c r="C421" s="502"/>
      <c r="D421" s="502"/>
      <c r="E421" s="502"/>
      <c r="F421" s="502"/>
      <c r="G421" s="502"/>
      <c r="H421" s="502"/>
      <c r="I421" s="502"/>
      <c r="J421" s="502"/>
      <c r="K421" s="502"/>
      <c r="L421" s="508">
        <v>317</v>
      </c>
      <c r="M421" s="502"/>
      <c r="N421" s="502"/>
    </row>
    <row r="422" spans="2:14">
      <c r="B422" s="502"/>
      <c r="C422" s="502"/>
      <c r="D422" s="502"/>
      <c r="E422" s="502"/>
      <c r="F422" s="502"/>
      <c r="G422" s="502"/>
      <c r="H422" s="502"/>
      <c r="I422" s="502"/>
      <c r="J422" s="502"/>
      <c r="K422" s="502"/>
      <c r="L422" s="508">
        <v>318</v>
      </c>
      <c r="M422" s="502"/>
      <c r="N422" s="502"/>
    </row>
    <row r="423" spans="2:14">
      <c r="B423" s="502"/>
      <c r="C423" s="502"/>
      <c r="D423" s="502"/>
      <c r="E423" s="502"/>
      <c r="F423" s="502"/>
      <c r="G423" s="502"/>
      <c r="H423" s="502"/>
      <c r="I423" s="502"/>
      <c r="J423" s="502"/>
      <c r="K423" s="502"/>
      <c r="L423" s="508">
        <v>319</v>
      </c>
      <c r="M423" s="502"/>
      <c r="N423" s="502"/>
    </row>
    <row r="424" spans="2:14">
      <c r="B424" s="502"/>
      <c r="C424" s="502"/>
      <c r="D424" s="502"/>
      <c r="E424" s="502"/>
      <c r="F424" s="502"/>
      <c r="G424" s="502"/>
      <c r="H424" s="502"/>
      <c r="I424" s="502"/>
      <c r="J424" s="502"/>
      <c r="K424" s="502"/>
      <c r="L424" s="508">
        <v>320</v>
      </c>
      <c r="M424" s="502"/>
      <c r="N424" s="502"/>
    </row>
    <row r="425" spans="2:14">
      <c r="B425" s="502"/>
      <c r="C425" s="502"/>
      <c r="D425" s="502"/>
      <c r="E425" s="502"/>
      <c r="F425" s="502"/>
      <c r="G425" s="502"/>
      <c r="H425" s="502"/>
      <c r="I425" s="502"/>
      <c r="J425" s="502"/>
      <c r="K425" s="502"/>
      <c r="L425" s="508">
        <v>321</v>
      </c>
      <c r="M425" s="502"/>
      <c r="N425" s="502"/>
    </row>
    <row r="426" spans="2:14">
      <c r="B426" s="502"/>
      <c r="C426" s="502"/>
      <c r="D426" s="502"/>
      <c r="E426" s="502"/>
      <c r="F426" s="502"/>
      <c r="G426" s="502"/>
      <c r="H426" s="502"/>
      <c r="I426" s="502"/>
      <c r="J426" s="502"/>
      <c r="K426" s="502"/>
      <c r="L426" s="508">
        <v>322</v>
      </c>
      <c r="M426" s="502"/>
      <c r="N426" s="502"/>
    </row>
    <row r="427" spans="2:14">
      <c r="B427" s="502"/>
      <c r="C427" s="502"/>
      <c r="D427" s="502"/>
      <c r="E427" s="502"/>
      <c r="F427" s="502"/>
      <c r="G427" s="502"/>
      <c r="H427" s="502"/>
      <c r="I427" s="502"/>
      <c r="J427" s="502"/>
      <c r="K427" s="502"/>
      <c r="L427" s="508">
        <v>323</v>
      </c>
      <c r="M427" s="502"/>
      <c r="N427" s="502"/>
    </row>
    <row r="428" spans="2:14">
      <c r="B428" s="502"/>
      <c r="C428" s="502"/>
      <c r="D428" s="502"/>
      <c r="E428" s="502"/>
      <c r="F428" s="502"/>
      <c r="G428" s="502"/>
      <c r="H428" s="502"/>
      <c r="I428" s="502"/>
      <c r="J428" s="502"/>
      <c r="K428" s="502"/>
      <c r="L428" s="508">
        <v>324</v>
      </c>
      <c r="M428" s="502"/>
      <c r="N428" s="502"/>
    </row>
    <row r="429" spans="2:14">
      <c r="B429" s="502"/>
      <c r="C429" s="502"/>
      <c r="D429" s="502"/>
      <c r="E429" s="502"/>
      <c r="F429" s="502"/>
      <c r="G429" s="502"/>
      <c r="H429" s="502"/>
      <c r="I429" s="502"/>
      <c r="J429" s="502"/>
      <c r="K429" s="502"/>
      <c r="L429" s="508">
        <v>325</v>
      </c>
      <c r="M429" s="502"/>
      <c r="N429" s="502"/>
    </row>
    <row r="430" spans="2:14">
      <c r="B430" s="502"/>
      <c r="C430" s="502"/>
      <c r="D430" s="502"/>
      <c r="E430" s="502"/>
      <c r="F430" s="502"/>
      <c r="G430" s="502"/>
      <c r="H430" s="502"/>
      <c r="I430" s="502"/>
      <c r="J430" s="502"/>
      <c r="K430" s="502"/>
      <c r="L430" s="508">
        <v>326</v>
      </c>
      <c r="M430" s="502"/>
      <c r="N430" s="502"/>
    </row>
    <row r="431" spans="2:14">
      <c r="B431" s="502"/>
      <c r="C431" s="502"/>
      <c r="D431" s="502"/>
      <c r="E431" s="502"/>
      <c r="F431" s="502"/>
      <c r="G431" s="502"/>
      <c r="H431" s="502"/>
      <c r="I431" s="502"/>
      <c r="J431" s="502"/>
      <c r="K431" s="502"/>
      <c r="L431" s="508">
        <v>327</v>
      </c>
      <c r="M431" s="502"/>
      <c r="N431" s="502"/>
    </row>
    <row r="432" spans="2:14">
      <c r="B432" s="502"/>
      <c r="C432" s="502"/>
      <c r="D432" s="502"/>
      <c r="E432" s="502"/>
      <c r="F432" s="502"/>
      <c r="G432" s="502"/>
      <c r="H432" s="502"/>
      <c r="I432" s="502"/>
      <c r="J432" s="502"/>
      <c r="K432" s="502"/>
      <c r="L432" s="508">
        <v>328</v>
      </c>
      <c r="M432" s="502"/>
      <c r="N432" s="502"/>
    </row>
    <row r="433" spans="2:14">
      <c r="B433" s="502"/>
      <c r="C433" s="502"/>
      <c r="D433" s="502"/>
      <c r="E433" s="502"/>
      <c r="F433" s="502"/>
      <c r="G433" s="502"/>
      <c r="H433" s="502"/>
      <c r="I433" s="502"/>
      <c r="J433" s="502"/>
      <c r="K433" s="502"/>
      <c r="L433" s="508">
        <v>329</v>
      </c>
      <c r="M433" s="502"/>
      <c r="N433" s="502"/>
    </row>
    <row r="434" spans="2:14">
      <c r="B434" s="502"/>
      <c r="C434" s="502"/>
      <c r="D434" s="502"/>
      <c r="E434" s="502"/>
      <c r="F434" s="502"/>
      <c r="G434" s="502"/>
      <c r="H434" s="502"/>
      <c r="I434" s="502"/>
      <c r="J434" s="502"/>
      <c r="K434" s="502"/>
      <c r="L434" s="508">
        <v>330</v>
      </c>
      <c r="M434" s="502"/>
      <c r="N434" s="502"/>
    </row>
    <row r="435" spans="2:14">
      <c r="B435" s="502"/>
      <c r="C435" s="502"/>
      <c r="D435" s="502"/>
      <c r="E435" s="502"/>
      <c r="F435" s="502"/>
      <c r="G435" s="502"/>
      <c r="H435" s="502"/>
      <c r="I435" s="502"/>
      <c r="J435" s="502"/>
      <c r="K435" s="502"/>
      <c r="L435" s="508">
        <v>331</v>
      </c>
      <c r="M435" s="502"/>
      <c r="N435" s="502"/>
    </row>
    <row r="436" spans="2:14">
      <c r="B436" s="502"/>
      <c r="C436" s="502"/>
      <c r="D436" s="502"/>
      <c r="E436" s="502"/>
      <c r="F436" s="502"/>
      <c r="G436" s="502"/>
      <c r="H436" s="502"/>
      <c r="I436" s="502"/>
      <c r="J436" s="502"/>
      <c r="K436" s="502"/>
      <c r="L436" s="508">
        <v>332</v>
      </c>
      <c r="M436" s="502"/>
      <c r="N436" s="502"/>
    </row>
    <row r="437" spans="2:14">
      <c r="B437" s="502"/>
      <c r="C437" s="502"/>
      <c r="D437" s="502"/>
      <c r="E437" s="502"/>
      <c r="F437" s="502"/>
      <c r="G437" s="502"/>
      <c r="H437" s="502"/>
      <c r="I437" s="502"/>
      <c r="J437" s="502"/>
      <c r="K437" s="502"/>
      <c r="L437" s="508">
        <v>333</v>
      </c>
      <c r="M437" s="502"/>
      <c r="N437" s="502"/>
    </row>
    <row r="438" spans="2:14">
      <c r="B438" s="502"/>
      <c r="C438" s="502"/>
      <c r="D438" s="502"/>
      <c r="E438" s="502"/>
      <c r="F438" s="502"/>
      <c r="G438" s="502"/>
      <c r="H438" s="502"/>
      <c r="I438" s="502"/>
      <c r="J438" s="502"/>
      <c r="K438" s="502"/>
      <c r="L438" s="508">
        <v>334</v>
      </c>
      <c r="M438" s="502"/>
      <c r="N438" s="502"/>
    </row>
    <row r="439" spans="2:14">
      <c r="B439" s="502"/>
      <c r="C439" s="502"/>
      <c r="D439" s="502"/>
      <c r="E439" s="502"/>
      <c r="F439" s="502"/>
      <c r="G439" s="502"/>
      <c r="H439" s="502"/>
      <c r="I439" s="502"/>
      <c r="J439" s="502"/>
      <c r="K439" s="502"/>
      <c r="L439" s="508">
        <v>335</v>
      </c>
      <c r="M439" s="502"/>
      <c r="N439" s="502"/>
    </row>
    <row r="440" spans="2:14">
      <c r="B440" s="502"/>
      <c r="C440" s="502"/>
      <c r="D440" s="502"/>
      <c r="E440" s="502"/>
      <c r="F440" s="502"/>
      <c r="G440" s="502"/>
      <c r="H440" s="502"/>
      <c r="I440" s="502"/>
      <c r="J440" s="502"/>
      <c r="K440" s="502"/>
      <c r="L440" s="508">
        <v>336</v>
      </c>
      <c r="M440" s="502"/>
      <c r="N440" s="502"/>
    </row>
    <row r="441" spans="2:14">
      <c r="B441" s="502"/>
      <c r="C441" s="502"/>
      <c r="D441" s="502"/>
      <c r="E441" s="502"/>
      <c r="F441" s="502"/>
      <c r="G441" s="502"/>
      <c r="H441" s="502"/>
      <c r="I441" s="502"/>
      <c r="J441" s="502"/>
      <c r="K441" s="502"/>
      <c r="L441" s="508">
        <v>337</v>
      </c>
      <c r="M441" s="502"/>
      <c r="N441" s="502"/>
    </row>
    <row r="442" spans="2:14">
      <c r="B442" s="502"/>
      <c r="C442" s="502"/>
      <c r="D442" s="502"/>
      <c r="E442" s="502"/>
      <c r="F442" s="502"/>
      <c r="G442" s="502"/>
      <c r="H442" s="502"/>
      <c r="I442" s="502"/>
      <c r="J442" s="502"/>
      <c r="K442" s="502"/>
      <c r="L442" s="508">
        <v>338</v>
      </c>
      <c r="M442" s="502"/>
      <c r="N442" s="502"/>
    </row>
    <row r="443" spans="2:14">
      <c r="B443" s="502"/>
      <c r="C443" s="502"/>
      <c r="D443" s="502"/>
      <c r="E443" s="502"/>
      <c r="F443" s="502"/>
      <c r="G443" s="502"/>
      <c r="H443" s="502"/>
      <c r="I443" s="502"/>
      <c r="J443" s="502"/>
      <c r="K443" s="502"/>
      <c r="L443" s="508">
        <v>339</v>
      </c>
      <c r="M443" s="502"/>
      <c r="N443" s="502"/>
    </row>
    <row r="444" spans="2:14">
      <c r="B444" s="502"/>
      <c r="C444" s="502"/>
      <c r="D444" s="502"/>
      <c r="E444" s="502"/>
      <c r="F444" s="502"/>
      <c r="G444" s="502"/>
      <c r="H444" s="502"/>
      <c r="I444" s="502"/>
      <c r="J444" s="502"/>
      <c r="K444" s="502"/>
      <c r="L444" s="508">
        <v>340</v>
      </c>
      <c r="M444" s="502"/>
      <c r="N444" s="502"/>
    </row>
    <row r="445" spans="2:14">
      <c r="B445" s="502"/>
      <c r="C445" s="502"/>
      <c r="D445" s="502"/>
      <c r="E445" s="502"/>
      <c r="F445" s="502"/>
      <c r="G445" s="502"/>
      <c r="H445" s="502"/>
      <c r="I445" s="502"/>
      <c r="J445" s="502"/>
      <c r="K445" s="502"/>
      <c r="L445" s="508">
        <v>341</v>
      </c>
      <c r="M445" s="502"/>
      <c r="N445" s="502"/>
    </row>
    <row r="446" spans="2:14">
      <c r="B446" s="502"/>
      <c r="C446" s="502"/>
      <c r="D446" s="502"/>
      <c r="E446" s="502"/>
      <c r="F446" s="502"/>
      <c r="G446" s="502"/>
      <c r="H446" s="502"/>
      <c r="I446" s="502"/>
      <c r="J446" s="502"/>
      <c r="K446" s="502"/>
      <c r="L446" s="508">
        <v>342</v>
      </c>
      <c r="M446" s="502"/>
      <c r="N446" s="502"/>
    </row>
    <row r="447" spans="2:14">
      <c r="B447" s="502"/>
      <c r="C447" s="502"/>
      <c r="D447" s="502"/>
      <c r="E447" s="502"/>
      <c r="F447" s="502"/>
      <c r="G447" s="502"/>
      <c r="H447" s="502"/>
      <c r="I447" s="502"/>
      <c r="J447" s="502"/>
      <c r="K447" s="502"/>
      <c r="L447" s="508">
        <v>343</v>
      </c>
      <c r="M447" s="502"/>
      <c r="N447" s="502"/>
    </row>
    <row r="448" spans="2:14">
      <c r="B448" s="502"/>
      <c r="C448" s="502"/>
      <c r="D448" s="502"/>
      <c r="E448" s="502"/>
      <c r="F448" s="502"/>
      <c r="G448" s="502"/>
      <c r="H448" s="502"/>
      <c r="I448" s="502"/>
      <c r="J448" s="502"/>
      <c r="K448" s="502"/>
      <c r="L448" s="508">
        <v>344</v>
      </c>
      <c r="M448" s="502"/>
      <c r="N448" s="502"/>
    </row>
    <row r="449" spans="2:14">
      <c r="B449" s="502"/>
      <c r="C449" s="502"/>
      <c r="D449" s="502"/>
      <c r="E449" s="502"/>
      <c r="F449" s="502"/>
      <c r="G449" s="502"/>
      <c r="H449" s="502"/>
      <c r="I449" s="502"/>
      <c r="J449" s="502"/>
      <c r="K449" s="502"/>
      <c r="L449" s="508">
        <v>345</v>
      </c>
      <c r="M449" s="502"/>
      <c r="N449" s="502"/>
    </row>
    <row r="450" spans="2:14">
      <c r="B450" s="502"/>
      <c r="C450" s="502"/>
      <c r="D450" s="502"/>
      <c r="E450" s="502"/>
      <c r="F450" s="502"/>
      <c r="G450" s="502"/>
      <c r="H450" s="502"/>
      <c r="I450" s="502"/>
      <c r="J450" s="502"/>
      <c r="K450" s="502"/>
      <c r="L450" s="508">
        <v>346</v>
      </c>
      <c r="M450" s="502"/>
      <c r="N450" s="502"/>
    </row>
    <row r="451" spans="2:14">
      <c r="B451" s="502"/>
      <c r="C451" s="502"/>
      <c r="D451" s="502"/>
      <c r="E451" s="502"/>
      <c r="F451" s="502"/>
      <c r="G451" s="502"/>
      <c r="H451" s="502"/>
      <c r="I451" s="502"/>
      <c r="J451" s="502"/>
      <c r="K451" s="502"/>
      <c r="L451" s="508">
        <v>347</v>
      </c>
      <c r="M451" s="502"/>
      <c r="N451" s="502"/>
    </row>
    <row r="452" spans="2:14">
      <c r="B452" s="502"/>
      <c r="C452" s="502"/>
      <c r="D452" s="502"/>
      <c r="E452" s="502"/>
      <c r="F452" s="502"/>
      <c r="G452" s="502"/>
      <c r="H452" s="502"/>
      <c r="I452" s="502"/>
      <c r="J452" s="502"/>
      <c r="K452" s="502"/>
      <c r="L452" s="508">
        <v>348</v>
      </c>
      <c r="M452" s="502"/>
      <c r="N452" s="502"/>
    </row>
    <row r="453" spans="2:14">
      <c r="B453" s="502"/>
      <c r="C453" s="502"/>
      <c r="D453" s="502"/>
      <c r="E453" s="502"/>
      <c r="F453" s="502"/>
      <c r="G453" s="502"/>
      <c r="H453" s="502"/>
      <c r="I453" s="502"/>
      <c r="J453" s="502"/>
      <c r="K453" s="502"/>
      <c r="L453" s="508">
        <v>349</v>
      </c>
      <c r="M453" s="502"/>
      <c r="N453" s="502"/>
    </row>
    <row r="454" spans="2:14">
      <c r="B454" s="502"/>
      <c r="C454" s="502"/>
      <c r="D454" s="502"/>
      <c r="E454" s="502"/>
      <c r="F454" s="502"/>
      <c r="G454" s="502"/>
      <c r="H454" s="502"/>
      <c r="I454" s="502"/>
      <c r="J454" s="502"/>
      <c r="K454" s="502"/>
      <c r="L454" s="508">
        <v>350</v>
      </c>
      <c r="M454" s="502"/>
      <c r="N454" s="502"/>
    </row>
    <row r="455" spans="2:14">
      <c r="B455" s="502"/>
      <c r="C455" s="502"/>
      <c r="D455" s="502"/>
      <c r="E455" s="502"/>
      <c r="F455" s="502"/>
      <c r="G455" s="502"/>
      <c r="H455" s="502"/>
      <c r="I455" s="502"/>
      <c r="J455" s="502"/>
      <c r="K455" s="502"/>
      <c r="L455" s="508">
        <v>351</v>
      </c>
      <c r="M455" s="502"/>
      <c r="N455" s="502"/>
    </row>
    <row r="456" spans="2:14">
      <c r="B456" s="502"/>
      <c r="C456" s="502"/>
      <c r="D456" s="502"/>
      <c r="E456" s="502"/>
      <c r="F456" s="502"/>
      <c r="G456" s="502"/>
      <c r="H456" s="502"/>
      <c r="I456" s="502"/>
      <c r="J456" s="502"/>
      <c r="K456" s="502"/>
      <c r="L456" s="508">
        <v>352</v>
      </c>
      <c r="M456" s="502"/>
      <c r="N456" s="502"/>
    </row>
    <row r="457" spans="2:14">
      <c r="B457" s="502"/>
      <c r="C457" s="502"/>
      <c r="D457" s="502"/>
      <c r="E457" s="502"/>
      <c r="F457" s="502"/>
      <c r="G457" s="502"/>
      <c r="H457" s="502"/>
      <c r="I457" s="502"/>
      <c r="J457" s="502"/>
      <c r="K457" s="502"/>
      <c r="L457" s="508">
        <v>353</v>
      </c>
      <c r="M457" s="502"/>
      <c r="N457" s="502"/>
    </row>
    <row r="458" spans="2:14">
      <c r="B458" s="502"/>
      <c r="C458" s="502"/>
      <c r="D458" s="502"/>
      <c r="E458" s="502"/>
      <c r="F458" s="502"/>
      <c r="G458" s="502"/>
      <c r="H458" s="502"/>
      <c r="I458" s="502"/>
      <c r="J458" s="502"/>
      <c r="K458" s="502"/>
      <c r="L458" s="508">
        <v>354</v>
      </c>
      <c r="M458" s="502"/>
      <c r="N458" s="502"/>
    </row>
    <row r="459" spans="2:14">
      <c r="B459" s="502"/>
      <c r="C459" s="502"/>
      <c r="D459" s="502"/>
      <c r="E459" s="502"/>
      <c r="F459" s="502"/>
      <c r="G459" s="502"/>
      <c r="H459" s="502"/>
      <c r="I459" s="502"/>
      <c r="J459" s="502"/>
      <c r="K459" s="502"/>
      <c r="L459" s="508">
        <v>355</v>
      </c>
      <c r="M459" s="502"/>
      <c r="N459" s="502"/>
    </row>
    <row r="460" spans="2:14">
      <c r="B460" s="502"/>
      <c r="C460" s="502"/>
      <c r="D460" s="502"/>
      <c r="E460" s="502"/>
      <c r="F460" s="502"/>
      <c r="G460" s="502"/>
      <c r="H460" s="502"/>
      <c r="I460" s="502"/>
      <c r="J460" s="502"/>
      <c r="K460" s="502"/>
      <c r="L460" s="508">
        <v>356</v>
      </c>
      <c r="M460" s="502"/>
      <c r="N460" s="502"/>
    </row>
    <row r="461" spans="2:14">
      <c r="B461" s="502"/>
      <c r="C461" s="502"/>
      <c r="D461" s="502"/>
      <c r="E461" s="502"/>
      <c r="F461" s="502"/>
      <c r="G461" s="502"/>
      <c r="H461" s="502"/>
      <c r="I461" s="502"/>
      <c r="J461" s="502"/>
      <c r="K461" s="502"/>
      <c r="L461" s="508">
        <v>357</v>
      </c>
      <c r="M461" s="502"/>
      <c r="N461" s="502"/>
    </row>
    <row r="462" spans="2:14">
      <c r="B462" s="502"/>
      <c r="C462" s="502"/>
      <c r="D462" s="502"/>
      <c r="E462" s="502"/>
      <c r="F462" s="502"/>
      <c r="G462" s="502"/>
      <c r="H462" s="502"/>
      <c r="I462" s="502"/>
      <c r="J462" s="502"/>
      <c r="K462" s="502"/>
      <c r="L462" s="508">
        <v>358</v>
      </c>
      <c r="M462" s="502"/>
      <c r="N462" s="502"/>
    </row>
    <row r="463" spans="2:14">
      <c r="B463" s="502"/>
      <c r="C463" s="502"/>
      <c r="D463" s="502"/>
      <c r="E463" s="502"/>
      <c r="F463" s="502"/>
      <c r="G463" s="502"/>
      <c r="H463" s="502"/>
      <c r="I463" s="502"/>
      <c r="J463" s="502"/>
      <c r="K463" s="502"/>
      <c r="L463" s="508">
        <v>359</v>
      </c>
      <c r="M463" s="502"/>
      <c r="N463" s="502"/>
    </row>
    <row r="464" spans="2:14">
      <c r="B464" s="502"/>
      <c r="C464" s="502"/>
      <c r="D464" s="502"/>
      <c r="E464" s="502"/>
      <c r="F464" s="502"/>
      <c r="G464" s="502"/>
      <c r="H464" s="502"/>
      <c r="I464" s="502"/>
      <c r="J464" s="502"/>
      <c r="K464" s="502"/>
      <c r="L464" s="508">
        <v>360</v>
      </c>
      <c r="M464" s="502"/>
      <c r="N464" s="502"/>
    </row>
    <row r="465" spans="2:14">
      <c r="B465" s="502"/>
      <c r="C465" s="502"/>
      <c r="D465" s="502"/>
      <c r="E465" s="502"/>
      <c r="F465" s="502"/>
      <c r="G465" s="502"/>
      <c r="H465" s="502"/>
      <c r="I465" s="502"/>
      <c r="J465" s="502"/>
      <c r="K465" s="502"/>
      <c r="L465" s="508">
        <v>361</v>
      </c>
      <c r="M465" s="502"/>
      <c r="N465" s="502"/>
    </row>
    <row r="466" spans="2:14">
      <c r="B466" s="502"/>
      <c r="C466" s="502"/>
      <c r="D466" s="502"/>
      <c r="E466" s="502"/>
      <c r="F466" s="502"/>
      <c r="G466" s="502"/>
      <c r="H466" s="502"/>
      <c r="I466" s="502"/>
      <c r="J466" s="502"/>
      <c r="K466" s="502"/>
      <c r="L466" s="508">
        <v>362</v>
      </c>
      <c r="M466" s="502"/>
      <c r="N466" s="502"/>
    </row>
    <row r="467" spans="2:14">
      <c r="B467" s="502"/>
      <c r="C467" s="502"/>
      <c r="D467" s="502"/>
      <c r="E467" s="502"/>
      <c r="F467" s="502"/>
      <c r="G467" s="502"/>
      <c r="H467" s="502"/>
      <c r="I467" s="502"/>
      <c r="J467" s="502"/>
      <c r="K467" s="502"/>
      <c r="L467" s="508">
        <v>363</v>
      </c>
      <c r="M467" s="502"/>
      <c r="N467" s="502"/>
    </row>
    <row r="468" spans="2:14">
      <c r="B468" s="502"/>
      <c r="C468" s="502"/>
      <c r="D468" s="502"/>
      <c r="E468" s="502"/>
      <c r="F468" s="502"/>
      <c r="G468" s="502"/>
      <c r="H468" s="502"/>
      <c r="I468" s="502"/>
      <c r="J468" s="502"/>
      <c r="K468" s="502"/>
      <c r="L468" s="508">
        <v>364</v>
      </c>
      <c r="M468" s="502"/>
      <c r="N468" s="502"/>
    </row>
    <row r="469" spans="2:14">
      <c r="B469" s="502"/>
      <c r="C469" s="502"/>
      <c r="D469" s="502"/>
      <c r="E469" s="502"/>
      <c r="F469" s="502"/>
      <c r="G469" s="502"/>
      <c r="H469" s="502"/>
      <c r="I469" s="502"/>
      <c r="J469" s="502"/>
      <c r="K469" s="502"/>
      <c r="L469" s="508">
        <v>365</v>
      </c>
      <c r="M469" s="502"/>
      <c r="N469" s="502"/>
    </row>
    <row r="470" spans="2:14">
      <c r="B470" s="502"/>
      <c r="C470" s="502"/>
      <c r="D470" s="502"/>
      <c r="E470" s="502"/>
      <c r="F470" s="502"/>
      <c r="G470" s="502"/>
      <c r="H470" s="502"/>
      <c r="I470" s="502"/>
      <c r="J470" s="502"/>
      <c r="K470" s="502"/>
      <c r="L470" s="508">
        <v>366</v>
      </c>
      <c r="M470" s="502"/>
      <c r="N470" s="502"/>
    </row>
    <row r="471" spans="2:14">
      <c r="B471" s="502"/>
      <c r="C471" s="502"/>
      <c r="D471" s="502"/>
      <c r="E471" s="502"/>
      <c r="F471" s="502"/>
      <c r="G471" s="502"/>
      <c r="H471" s="502"/>
      <c r="I471" s="502"/>
      <c r="J471" s="502"/>
      <c r="K471" s="502"/>
      <c r="L471" s="508">
        <v>367</v>
      </c>
      <c r="M471" s="502"/>
      <c r="N471" s="502"/>
    </row>
    <row r="472" spans="2:14">
      <c r="B472" s="502"/>
      <c r="C472" s="502"/>
      <c r="D472" s="502"/>
      <c r="E472" s="502"/>
      <c r="F472" s="502"/>
      <c r="G472" s="502"/>
      <c r="H472" s="502"/>
      <c r="I472" s="502"/>
      <c r="J472" s="502"/>
      <c r="K472" s="502"/>
      <c r="L472" s="508">
        <v>368</v>
      </c>
      <c r="M472" s="502"/>
      <c r="N472" s="502"/>
    </row>
    <row r="473" spans="2:14">
      <c r="B473" s="502"/>
      <c r="C473" s="502"/>
      <c r="D473" s="502"/>
      <c r="E473" s="502"/>
      <c r="F473" s="502"/>
      <c r="G473" s="502"/>
      <c r="H473" s="502"/>
      <c r="I473" s="502"/>
      <c r="J473" s="502"/>
      <c r="K473" s="502"/>
      <c r="L473" s="508">
        <v>369</v>
      </c>
      <c r="M473" s="502"/>
      <c r="N473" s="502"/>
    </row>
    <row r="474" spans="2:14">
      <c r="B474" s="502"/>
      <c r="C474" s="502"/>
      <c r="D474" s="502"/>
      <c r="E474" s="502"/>
      <c r="F474" s="502"/>
      <c r="G474" s="502"/>
      <c r="H474" s="502"/>
      <c r="I474" s="502"/>
      <c r="J474" s="502"/>
      <c r="K474" s="502"/>
      <c r="L474" s="508">
        <v>370</v>
      </c>
      <c r="M474" s="502"/>
      <c r="N474" s="502"/>
    </row>
    <row r="475" spans="2:14">
      <c r="B475" s="502"/>
      <c r="C475" s="502"/>
      <c r="D475" s="502"/>
      <c r="E475" s="502"/>
      <c r="F475" s="502"/>
      <c r="G475" s="502"/>
      <c r="H475" s="502"/>
      <c r="I475" s="502"/>
      <c r="J475" s="502"/>
      <c r="K475" s="502"/>
      <c r="L475" s="508">
        <v>371</v>
      </c>
      <c r="M475" s="502"/>
      <c r="N475" s="502"/>
    </row>
    <row r="476" spans="2:14">
      <c r="B476" s="502"/>
      <c r="C476" s="502"/>
      <c r="D476" s="502"/>
      <c r="E476" s="502"/>
      <c r="F476" s="502"/>
      <c r="G476" s="502"/>
      <c r="H476" s="502"/>
      <c r="I476" s="502"/>
      <c r="J476" s="502"/>
      <c r="K476" s="502"/>
      <c r="L476" s="508">
        <v>372</v>
      </c>
      <c r="M476" s="502"/>
      <c r="N476" s="502"/>
    </row>
    <row r="477" spans="2:14">
      <c r="B477" s="502"/>
      <c r="C477" s="502"/>
      <c r="D477" s="502"/>
      <c r="E477" s="502"/>
      <c r="F477" s="502"/>
      <c r="G477" s="502"/>
      <c r="H477" s="502"/>
      <c r="I477" s="502"/>
      <c r="J477" s="502"/>
      <c r="K477" s="502"/>
      <c r="L477" s="508">
        <v>373</v>
      </c>
      <c r="M477" s="502"/>
      <c r="N477" s="502"/>
    </row>
    <row r="478" spans="2:14">
      <c r="B478" s="502"/>
      <c r="C478" s="502"/>
      <c r="D478" s="502"/>
      <c r="E478" s="502"/>
      <c r="F478" s="502"/>
      <c r="G478" s="502"/>
      <c r="H478" s="502"/>
      <c r="I478" s="502"/>
      <c r="J478" s="502"/>
      <c r="K478" s="502"/>
      <c r="L478" s="508">
        <v>374</v>
      </c>
      <c r="M478" s="502"/>
      <c r="N478" s="502"/>
    </row>
    <row r="479" spans="2:14">
      <c r="B479" s="502"/>
      <c r="C479" s="502"/>
      <c r="D479" s="502"/>
      <c r="E479" s="502"/>
      <c r="F479" s="502"/>
      <c r="G479" s="502"/>
      <c r="H479" s="502"/>
      <c r="I479" s="502"/>
      <c r="J479" s="502"/>
      <c r="K479" s="502"/>
      <c r="L479" s="508">
        <v>375</v>
      </c>
      <c r="M479" s="502"/>
      <c r="N479" s="502"/>
    </row>
    <row r="480" spans="2:14">
      <c r="B480" s="502"/>
      <c r="C480" s="502"/>
      <c r="D480" s="502"/>
      <c r="E480" s="502"/>
      <c r="F480" s="502"/>
      <c r="G480" s="502"/>
      <c r="H480" s="502"/>
      <c r="I480" s="502"/>
      <c r="J480" s="502"/>
      <c r="K480" s="502"/>
      <c r="L480" s="508">
        <v>376</v>
      </c>
      <c r="M480" s="502"/>
      <c r="N480" s="502"/>
    </row>
    <row r="481" spans="2:14">
      <c r="B481" s="502"/>
      <c r="C481" s="502"/>
      <c r="D481" s="502"/>
      <c r="E481" s="502"/>
      <c r="F481" s="502"/>
      <c r="G481" s="502"/>
      <c r="H481" s="502"/>
      <c r="I481" s="502"/>
      <c r="J481" s="502"/>
      <c r="K481" s="502"/>
      <c r="L481" s="508">
        <v>377</v>
      </c>
      <c r="M481" s="502"/>
      <c r="N481" s="502"/>
    </row>
    <row r="482" spans="2:14">
      <c r="B482" s="502"/>
      <c r="C482" s="502"/>
      <c r="D482" s="502"/>
      <c r="E482" s="502"/>
      <c r="F482" s="502"/>
      <c r="G482" s="502"/>
      <c r="H482" s="502"/>
      <c r="I482" s="502"/>
      <c r="J482" s="502"/>
      <c r="K482" s="502"/>
      <c r="L482" s="508">
        <v>378</v>
      </c>
      <c r="M482" s="502"/>
      <c r="N482" s="502"/>
    </row>
    <row r="483" spans="2:14">
      <c r="B483" s="502"/>
      <c r="C483" s="502"/>
      <c r="D483" s="502"/>
      <c r="E483" s="502"/>
      <c r="F483" s="502"/>
      <c r="G483" s="502"/>
      <c r="H483" s="502"/>
      <c r="I483" s="502"/>
      <c r="J483" s="502"/>
      <c r="K483" s="502"/>
      <c r="L483" s="508">
        <v>379</v>
      </c>
      <c r="M483" s="502"/>
      <c r="N483" s="502"/>
    </row>
    <row r="484" spans="2:14">
      <c r="B484" s="502"/>
      <c r="C484" s="502"/>
      <c r="D484" s="502"/>
      <c r="E484" s="502"/>
      <c r="F484" s="502"/>
      <c r="G484" s="502"/>
      <c r="H484" s="502"/>
      <c r="I484" s="502"/>
      <c r="J484" s="502"/>
      <c r="K484" s="502"/>
      <c r="L484" s="508">
        <v>380</v>
      </c>
      <c r="M484" s="502"/>
      <c r="N484" s="502"/>
    </row>
    <row r="485" spans="2:14">
      <c r="B485" s="502"/>
      <c r="C485" s="502"/>
      <c r="D485" s="502"/>
      <c r="E485" s="502"/>
      <c r="F485" s="502"/>
      <c r="G485" s="502"/>
      <c r="H485" s="502"/>
      <c r="I485" s="502"/>
      <c r="J485" s="502"/>
      <c r="K485" s="502"/>
      <c r="L485" s="508">
        <v>381</v>
      </c>
      <c r="M485" s="502"/>
      <c r="N485" s="502"/>
    </row>
    <row r="486" spans="2:14">
      <c r="B486" s="502"/>
      <c r="C486" s="502"/>
      <c r="D486" s="502"/>
      <c r="E486" s="502"/>
      <c r="F486" s="502"/>
      <c r="G486" s="502"/>
      <c r="H486" s="502"/>
      <c r="I486" s="502"/>
      <c r="J486" s="502"/>
      <c r="K486" s="502"/>
      <c r="L486" s="508">
        <v>382</v>
      </c>
      <c r="M486" s="502"/>
      <c r="N486" s="502"/>
    </row>
    <row r="487" spans="2:14">
      <c r="B487" s="502"/>
      <c r="C487" s="502"/>
      <c r="D487" s="502"/>
      <c r="E487" s="502"/>
      <c r="F487" s="502"/>
      <c r="G487" s="502"/>
      <c r="H487" s="502"/>
      <c r="I487" s="502"/>
      <c r="J487" s="502"/>
      <c r="K487" s="502"/>
      <c r="L487" s="508">
        <v>383</v>
      </c>
      <c r="M487" s="502"/>
      <c r="N487" s="502"/>
    </row>
    <row r="488" spans="2:14">
      <c r="B488" s="502"/>
      <c r="C488" s="502"/>
      <c r="D488" s="502"/>
      <c r="E488" s="502"/>
      <c r="F488" s="502"/>
      <c r="G488" s="502"/>
      <c r="H488" s="502"/>
      <c r="I488" s="502"/>
      <c r="J488" s="502"/>
      <c r="K488" s="502"/>
      <c r="L488" s="508">
        <v>384</v>
      </c>
      <c r="M488" s="502"/>
      <c r="N488" s="502"/>
    </row>
    <row r="489" spans="2:14">
      <c r="B489" s="502"/>
      <c r="C489" s="502"/>
      <c r="D489" s="502"/>
      <c r="E489" s="502"/>
      <c r="F489" s="502"/>
      <c r="G489" s="502"/>
      <c r="H489" s="502"/>
      <c r="I489" s="502"/>
      <c r="J489" s="502"/>
      <c r="K489" s="502"/>
      <c r="L489" s="508">
        <v>385</v>
      </c>
      <c r="M489" s="502"/>
      <c r="N489" s="502"/>
    </row>
    <row r="490" spans="2:14">
      <c r="B490" s="502"/>
      <c r="C490" s="502"/>
      <c r="D490" s="502"/>
      <c r="E490" s="502"/>
      <c r="F490" s="502"/>
      <c r="G490" s="502"/>
      <c r="H490" s="502"/>
      <c r="I490" s="502"/>
      <c r="J490" s="502"/>
      <c r="K490" s="502"/>
      <c r="L490" s="508">
        <v>386</v>
      </c>
      <c r="M490" s="502"/>
      <c r="N490" s="502"/>
    </row>
    <row r="491" spans="2:14">
      <c r="B491" s="502"/>
      <c r="C491" s="502"/>
      <c r="D491" s="502"/>
      <c r="E491" s="502"/>
      <c r="F491" s="502"/>
      <c r="G491" s="502"/>
      <c r="H491" s="502"/>
      <c r="I491" s="502"/>
      <c r="J491" s="502"/>
      <c r="K491" s="502"/>
      <c r="L491" s="508">
        <v>387</v>
      </c>
      <c r="M491" s="502"/>
      <c r="N491" s="502"/>
    </row>
    <row r="492" spans="2:14">
      <c r="B492" s="502"/>
      <c r="C492" s="502"/>
      <c r="D492" s="502"/>
      <c r="E492" s="502"/>
      <c r="F492" s="502"/>
      <c r="G492" s="502"/>
      <c r="H492" s="502"/>
      <c r="I492" s="502"/>
      <c r="J492" s="502"/>
      <c r="K492" s="502"/>
      <c r="L492" s="508">
        <v>388</v>
      </c>
      <c r="M492" s="502"/>
      <c r="N492" s="502"/>
    </row>
    <row r="493" spans="2:14">
      <c r="B493" s="502"/>
      <c r="C493" s="502"/>
      <c r="D493" s="502"/>
      <c r="E493" s="502"/>
      <c r="F493" s="502"/>
      <c r="G493" s="502"/>
      <c r="H493" s="502"/>
      <c r="I493" s="502"/>
      <c r="J493" s="502"/>
      <c r="K493" s="502"/>
      <c r="L493" s="508">
        <v>389</v>
      </c>
      <c r="M493" s="502"/>
      <c r="N493" s="502"/>
    </row>
    <row r="494" spans="2:14">
      <c r="B494" s="502"/>
      <c r="C494" s="502"/>
      <c r="D494" s="502"/>
      <c r="E494" s="502"/>
      <c r="F494" s="502"/>
      <c r="G494" s="502"/>
      <c r="H494" s="502"/>
      <c r="I494" s="502"/>
      <c r="J494" s="502"/>
      <c r="K494" s="502"/>
      <c r="L494" s="508">
        <v>390</v>
      </c>
      <c r="M494" s="502"/>
      <c r="N494" s="502"/>
    </row>
    <row r="495" spans="2:14">
      <c r="B495" s="502"/>
      <c r="C495" s="502"/>
      <c r="D495" s="502"/>
      <c r="E495" s="502"/>
      <c r="F495" s="502"/>
      <c r="G495" s="502"/>
      <c r="H495" s="502"/>
      <c r="I495" s="502"/>
      <c r="J495" s="502"/>
      <c r="K495" s="502"/>
      <c r="L495" s="508">
        <v>391</v>
      </c>
      <c r="M495" s="502"/>
      <c r="N495" s="502"/>
    </row>
    <row r="496" spans="2:14">
      <c r="B496" s="502"/>
      <c r="C496" s="502"/>
      <c r="D496" s="502"/>
      <c r="E496" s="502"/>
      <c r="F496" s="502"/>
      <c r="G496" s="502"/>
      <c r="H496" s="502"/>
      <c r="I496" s="502"/>
      <c r="J496" s="502"/>
      <c r="K496" s="502"/>
      <c r="L496" s="508">
        <v>392</v>
      </c>
      <c r="M496" s="502"/>
      <c r="N496" s="502"/>
    </row>
    <row r="497" spans="2:14">
      <c r="B497" s="502"/>
      <c r="C497" s="502"/>
      <c r="D497" s="502"/>
      <c r="E497" s="502"/>
      <c r="F497" s="502"/>
      <c r="G497" s="502"/>
      <c r="H497" s="502"/>
      <c r="I497" s="502"/>
      <c r="J497" s="502"/>
      <c r="K497" s="502"/>
      <c r="L497" s="508">
        <v>393</v>
      </c>
      <c r="M497" s="502"/>
      <c r="N497" s="502"/>
    </row>
    <row r="498" spans="2:14">
      <c r="B498" s="502"/>
      <c r="C498" s="502"/>
      <c r="D498" s="502"/>
      <c r="E498" s="502"/>
      <c r="F498" s="502"/>
      <c r="G498" s="502"/>
      <c r="H498" s="502"/>
      <c r="I498" s="502"/>
      <c r="J498" s="502"/>
      <c r="K498" s="502"/>
      <c r="L498" s="508">
        <v>394</v>
      </c>
      <c r="M498" s="502"/>
      <c r="N498" s="502"/>
    </row>
    <row r="499" spans="2:14">
      <c r="B499" s="502"/>
      <c r="C499" s="502"/>
      <c r="D499" s="502"/>
      <c r="E499" s="502"/>
      <c r="F499" s="502"/>
      <c r="G499" s="502"/>
      <c r="H499" s="502"/>
      <c r="I499" s="502"/>
      <c r="J499" s="502"/>
      <c r="K499" s="502"/>
      <c r="L499" s="508">
        <v>395</v>
      </c>
      <c r="M499" s="502"/>
      <c r="N499" s="502"/>
    </row>
    <row r="500" spans="2:14">
      <c r="B500" s="502"/>
      <c r="C500" s="502"/>
      <c r="D500" s="502"/>
      <c r="E500" s="502"/>
      <c r="F500" s="502"/>
      <c r="G500" s="502"/>
      <c r="H500" s="502"/>
      <c r="I500" s="502"/>
      <c r="J500" s="502"/>
      <c r="K500" s="502"/>
      <c r="L500" s="508">
        <v>396</v>
      </c>
      <c r="M500" s="502"/>
      <c r="N500" s="502"/>
    </row>
    <row r="501" spans="2:14">
      <c r="B501" s="502"/>
      <c r="C501" s="502"/>
      <c r="D501" s="502"/>
      <c r="E501" s="502"/>
      <c r="F501" s="502"/>
      <c r="G501" s="502"/>
      <c r="H501" s="502"/>
      <c r="I501" s="502"/>
      <c r="J501" s="502"/>
      <c r="K501" s="502"/>
      <c r="L501" s="508">
        <v>397</v>
      </c>
      <c r="M501" s="502"/>
      <c r="N501" s="502"/>
    </row>
    <row r="502" spans="2:14">
      <c r="B502" s="502"/>
      <c r="C502" s="502"/>
      <c r="D502" s="502"/>
      <c r="E502" s="502"/>
      <c r="F502" s="502"/>
      <c r="G502" s="502"/>
      <c r="H502" s="502"/>
      <c r="I502" s="502"/>
      <c r="J502" s="502"/>
      <c r="K502" s="502"/>
      <c r="L502" s="508">
        <v>398</v>
      </c>
      <c r="M502" s="502"/>
      <c r="N502" s="502"/>
    </row>
    <row r="503" spans="2:14">
      <c r="B503" s="502"/>
      <c r="C503" s="502"/>
      <c r="D503" s="502"/>
      <c r="E503" s="502"/>
      <c r="F503" s="502"/>
      <c r="G503" s="502"/>
      <c r="H503" s="502"/>
      <c r="I503" s="502"/>
      <c r="J503" s="502"/>
      <c r="K503" s="502"/>
      <c r="L503" s="508">
        <v>399</v>
      </c>
      <c r="M503" s="502"/>
      <c r="N503" s="502"/>
    </row>
    <row r="504" spans="2:14">
      <c r="B504" s="502"/>
      <c r="C504" s="502"/>
      <c r="D504" s="502"/>
      <c r="E504" s="502"/>
      <c r="F504" s="502"/>
      <c r="G504" s="502"/>
      <c r="H504" s="502"/>
      <c r="I504" s="502"/>
      <c r="J504" s="502"/>
      <c r="K504" s="502"/>
      <c r="L504" s="508">
        <v>400</v>
      </c>
      <c r="M504" s="502"/>
      <c r="N504" s="502"/>
    </row>
    <row r="505" spans="2:14">
      <c r="B505" s="502"/>
      <c r="C505" s="502"/>
      <c r="D505" s="502"/>
      <c r="E505" s="502"/>
      <c r="F505" s="502"/>
      <c r="G505" s="502"/>
      <c r="H505" s="502"/>
      <c r="I505" s="502"/>
      <c r="J505" s="502"/>
      <c r="K505" s="502"/>
      <c r="L505" s="508">
        <v>401</v>
      </c>
      <c r="M505" s="502"/>
      <c r="N505" s="502"/>
    </row>
    <row r="506" spans="2:14">
      <c r="B506" s="502"/>
      <c r="C506" s="502"/>
      <c r="D506" s="502"/>
      <c r="E506" s="502"/>
      <c r="F506" s="502"/>
      <c r="G506" s="502"/>
      <c r="H506" s="502"/>
      <c r="I506" s="502"/>
      <c r="J506" s="502"/>
      <c r="K506" s="502"/>
      <c r="L506" s="508">
        <v>402</v>
      </c>
      <c r="M506" s="502"/>
      <c r="N506" s="502"/>
    </row>
    <row r="507" spans="2:14">
      <c r="B507" s="502"/>
      <c r="C507" s="502"/>
      <c r="D507" s="502"/>
      <c r="E507" s="502"/>
      <c r="F507" s="502"/>
      <c r="G507" s="502"/>
      <c r="H507" s="502"/>
      <c r="I507" s="502"/>
      <c r="J507" s="502"/>
      <c r="K507" s="502"/>
      <c r="L507" s="508">
        <v>403</v>
      </c>
      <c r="M507" s="502"/>
      <c r="N507" s="502"/>
    </row>
    <row r="508" spans="2:14">
      <c r="B508" s="502"/>
      <c r="C508" s="502"/>
      <c r="D508" s="502"/>
      <c r="E508" s="502"/>
      <c r="F508" s="502"/>
      <c r="G508" s="502"/>
      <c r="H508" s="502"/>
      <c r="I508" s="502"/>
      <c r="J508" s="502"/>
      <c r="K508" s="502"/>
      <c r="L508" s="508">
        <v>404</v>
      </c>
      <c r="M508" s="502"/>
      <c r="N508" s="502"/>
    </row>
    <row r="509" spans="2:14">
      <c r="B509" s="502"/>
      <c r="C509" s="502"/>
      <c r="D509" s="502"/>
      <c r="E509" s="502"/>
      <c r="F509" s="502"/>
      <c r="G509" s="502"/>
      <c r="H509" s="502"/>
      <c r="I509" s="502"/>
      <c r="J509" s="502"/>
      <c r="K509" s="502"/>
      <c r="L509" s="508">
        <v>405</v>
      </c>
      <c r="M509" s="502"/>
      <c r="N509" s="502"/>
    </row>
    <row r="510" spans="2:14">
      <c r="B510" s="502"/>
      <c r="C510" s="502"/>
      <c r="D510" s="502"/>
      <c r="E510" s="502"/>
      <c r="F510" s="502"/>
      <c r="G510" s="502"/>
      <c r="H510" s="502"/>
      <c r="I510" s="502"/>
      <c r="J510" s="502"/>
      <c r="K510" s="502"/>
      <c r="L510" s="508">
        <v>406</v>
      </c>
      <c r="M510" s="502"/>
      <c r="N510" s="502"/>
    </row>
    <row r="511" spans="2:14">
      <c r="B511" s="502"/>
      <c r="C511" s="502"/>
      <c r="D511" s="502"/>
      <c r="E511" s="502"/>
      <c r="F511" s="502"/>
      <c r="G511" s="502"/>
      <c r="H511" s="502"/>
      <c r="I511" s="502"/>
      <c r="J511" s="502"/>
      <c r="K511" s="502"/>
      <c r="L511" s="508">
        <v>407</v>
      </c>
      <c r="M511" s="502"/>
      <c r="N511" s="502"/>
    </row>
    <row r="512" spans="2:14">
      <c r="B512" s="502"/>
      <c r="C512" s="502"/>
      <c r="D512" s="502"/>
      <c r="E512" s="502"/>
      <c r="F512" s="502"/>
      <c r="G512" s="502"/>
      <c r="H512" s="502"/>
      <c r="I512" s="502"/>
      <c r="J512" s="502"/>
      <c r="K512" s="502"/>
      <c r="L512" s="508">
        <v>408</v>
      </c>
      <c r="M512" s="502"/>
      <c r="N512" s="502"/>
    </row>
    <row r="513" spans="2:14">
      <c r="B513" s="502"/>
      <c r="C513" s="502"/>
      <c r="D513" s="502"/>
      <c r="E513" s="502"/>
      <c r="F513" s="502"/>
      <c r="G513" s="502"/>
      <c r="H513" s="502"/>
      <c r="I513" s="502"/>
      <c r="J513" s="502"/>
      <c r="K513" s="502"/>
      <c r="L513" s="508">
        <v>409</v>
      </c>
      <c r="M513" s="502"/>
      <c r="N513" s="502"/>
    </row>
    <row r="514" spans="2:14">
      <c r="B514" s="502"/>
      <c r="C514" s="502"/>
      <c r="D514" s="502"/>
      <c r="E514" s="502"/>
      <c r="F514" s="502"/>
      <c r="G514" s="502"/>
      <c r="H514" s="502"/>
      <c r="I514" s="502"/>
      <c r="J514" s="502"/>
      <c r="K514" s="502"/>
      <c r="L514" s="508">
        <v>410</v>
      </c>
      <c r="M514" s="502"/>
      <c r="N514" s="502"/>
    </row>
    <row r="515" spans="2:14">
      <c r="B515" s="502"/>
      <c r="C515" s="502"/>
      <c r="D515" s="502"/>
      <c r="E515" s="502"/>
      <c r="F515" s="502"/>
      <c r="G515" s="502"/>
      <c r="H515" s="502"/>
      <c r="I515" s="502"/>
      <c r="J515" s="502"/>
      <c r="K515" s="502"/>
      <c r="L515" s="508">
        <v>411</v>
      </c>
      <c r="M515" s="502"/>
      <c r="N515" s="502"/>
    </row>
    <row r="516" spans="2:14">
      <c r="B516" s="502"/>
      <c r="C516" s="502"/>
      <c r="D516" s="502"/>
      <c r="E516" s="502"/>
      <c r="F516" s="502"/>
      <c r="G516" s="502"/>
      <c r="H516" s="502"/>
      <c r="I516" s="502"/>
      <c r="J516" s="502"/>
      <c r="K516" s="502"/>
      <c r="L516" s="508">
        <v>412</v>
      </c>
      <c r="M516" s="502"/>
      <c r="N516" s="502"/>
    </row>
    <row r="517" spans="2:14">
      <c r="B517" s="502"/>
      <c r="C517" s="502"/>
      <c r="D517" s="502"/>
      <c r="E517" s="502"/>
      <c r="F517" s="502"/>
      <c r="G517" s="502"/>
      <c r="H517" s="502"/>
      <c r="I517" s="502"/>
      <c r="J517" s="502"/>
      <c r="K517" s="502"/>
      <c r="L517" s="508">
        <v>413</v>
      </c>
      <c r="M517" s="502"/>
      <c r="N517" s="502"/>
    </row>
    <row r="518" spans="2:14">
      <c r="B518" s="502"/>
      <c r="C518" s="502"/>
      <c r="D518" s="502"/>
      <c r="E518" s="502"/>
      <c r="F518" s="502"/>
      <c r="G518" s="502"/>
      <c r="H518" s="502"/>
      <c r="I518" s="502"/>
      <c r="J518" s="502"/>
      <c r="K518" s="502"/>
      <c r="L518" s="508">
        <v>414</v>
      </c>
      <c r="M518" s="502"/>
      <c r="N518" s="502"/>
    </row>
    <row r="519" spans="2:14">
      <c r="B519" s="502"/>
      <c r="C519" s="502"/>
      <c r="D519" s="502"/>
      <c r="E519" s="502"/>
      <c r="F519" s="502"/>
      <c r="G519" s="502"/>
      <c r="H519" s="502"/>
      <c r="I519" s="502"/>
      <c r="J519" s="502"/>
      <c r="K519" s="502"/>
      <c r="L519" s="508">
        <v>415</v>
      </c>
      <c r="M519" s="502"/>
      <c r="N519" s="502"/>
    </row>
    <row r="520" spans="2:14">
      <c r="B520" s="502"/>
      <c r="C520" s="502"/>
      <c r="D520" s="502"/>
      <c r="E520" s="502"/>
      <c r="F520" s="502"/>
      <c r="G520" s="502"/>
      <c r="H520" s="502"/>
      <c r="I520" s="502"/>
      <c r="J520" s="502"/>
      <c r="K520" s="502"/>
      <c r="L520" s="508">
        <v>416</v>
      </c>
      <c r="M520" s="502"/>
      <c r="N520" s="502"/>
    </row>
    <row r="521" spans="2:14">
      <c r="B521" s="502"/>
      <c r="C521" s="502"/>
      <c r="D521" s="502"/>
      <c r="E521" s="502"/>
      <c r="F521" s="502"/>
      <c r="G521" s="502"/>
      <c r="H521" s="502"/>
      <c r="I521" s="502"/>
      <c r="J521" s="502"/>
      <c r="K521" s="502"/>
      <c r="L521" s="508">
        <v>417</v>
      </c>
      <c r="M521" s="502"/>
      <c r="N521" s="502"/>
    </row>
    <row r="522" spans="2:14">
      <c r="B522" s="502"/>
      <c r="C522" s="502"/>
      <c r="D522" s="502"/>
      <c r="E522" s="502"/>
      <c r="F522" s="502"/>
      <c r="G522" s="502"/>
      <c r="H522" s="502"/>
      <c r="I522" s="502"/>
      <c r="J522" s="502"/>
      <c r="K522" s="502"/>
      <c r="L522" s="508">
        <v>418</v>
      </c>
      <c r="M522" s="502"/>
      <c r="N522" s="502"/>
    </row>
    <row r="523" spans="2:14">
      <c r="B523" s="502"/>
      <c r="C523" s="502"/>
      <c r="D523" s="502"/>
      <c r="E523" s="502"/>
      <c r="F523" s="502"/>
      <c r="G523" s="502"/>
      <c r="H523" s="502"/>
      <c r="I523" s="502"/>
      <c r="J523" s="502"/>
      <c r="K523" s="502"/>
      <c r="L523" s="508">
        <v>419</v>
      </c>
      <c r="M523" s="502"/>
      <c r="N523" s="502"/>
    </row>
    <row r="524" spans="2:14">
      <c r="B524" s="502"/>
      <c r="C524" s="502"/>
      <c r="D524" s="502"/>
      <c r="E524" s="502"/>
      <c r="F524" s="502"/>
      <c r="G524" s="502"/>
      <c r="H524" s="502"/>
      <c r="I524" s="502"/>
      <c r="J524" s="502"/>
      <c r="K524" s="502"/>
      <c r="L524" s="508">
        <v>420</v>
      </c>
      <c r="M524" s="502"/>
      <c r="N524" s="502"/>
    </row>
    <row r="525" spans="2:14">
      <c r="B525" s="502"/>
      <c r="C525" s="502"/>
      <c r="D525" s="502"/>
      <c r="E525" s="502"/>
      <c r="F525" s="502"/>
      <c r="G525" s="502"/>
      <c r="H525" s="502"/>
      <c r="I525" s="502"/>
      <c r="J525" s="502"/>
      <c r="K525" s="502"/>
      <c r="L525" s="508">
        <v>421</v>
      </c>
      <c r="M525" s="502"/>
      <c r="N525" s="502"/>
    </row>
    <row r="526" spans="2:14">
      <c r="B526" s="502"/>
      <c r="C526" s="502"/>
      <c r="D526" s="502"/>
      <c r="E526" s="502"/>
      <c r="F526" s="502"/>
      <c r="G526" s="502"/>
      <c r="H526" s="502"/>
      <c r="I526" s="502"/>
      <c r="J526" s="502"/>
      <c r="K526" s="502"/>
      <c r="L526" s="508">
        <v>422</v>
      </c>
      <c r="M526" s="502"/>
      <c r="N526" s="502"/>
    </row>
    <row r="527" spans="2:14">
      <c r="B527" s="502"/>
      <c r="C527" s="502"/>
      <c r="D527" s="502"/>
      <c r="E527" s="502"/>
      <c r="F527" s="502"/>
      <c r="G527" s="502"/>
      <c r="H527" s="502"/>
      <c r="I527" s="502"/>
      <c r="J527" s="502"/>
      <c r="K527" s="502"/>
      <c r="L527" s="508">
        <v>423</v>
      </c>
      <c r="M527" s="502"/>
      <c r="N527" s="502"/>
    </row>
    <row r="528" spans="2:14">
      <c r="B528" s="502"/>
      <c r="C528" s="502"/>
      <c r="D528" s="502"/>
      <c r="E528" s="502"/>
      <c r="F528" s="502"/>
      <c r="G528" s="502"/>
      <c r="H528" s="502"/>
      <c r="I528" s="502"/>
      <c r="J528" s="502"/>
      <c r="K528" s="502"/>
      <c r="L528" s="508">
        <v>424</v>
      </c>
      <c r="M528" s="502"/>
      <c r="N528" s="502"/>
    </row>
    <row r="529" spans="2:14">
      <c r="B529" s="502"/>
      <c r="C529" s="502"/>
      <c r="D529" s="502"/>
      <c r="E529" s="502"/>
      <c r="F529" s="502"/>
      <c r="G529" s="502"/>
      <c r="H529" s="502"/>
      <c r="I529" s="502"/>
      <c r="J529" s="502"/>
      <c r="K529" s="502"/>
      <c r="L529" s="508">
        <v>425</v>
      </c>
      <c r="M529" s="502"/>
      <c r="N529" s="502"/>
    </row>
    <row r="530" spans="2:14">
      <c r="B530" s="502"/>
      <c r="C530" s="502"/>
      <c r="D530" s="502"/>
      <c r="E530" s="502"/>
      <c r="F530" s="502"/>
      <c r="G530" s="502"/>
      <c r="H530" s="502"/>
      <c r="I530" s="502"/>
      <c r="J530" s="502"/>
      <c r="K530" s="502"/>
      <c r="L530" s="508">
        <v>426</v>
      </c>
      <c r="M530" s="502"/>
      <c r="N530" s="502"/>
    </row>
    <row r="531" spans="2:14">
      <c r="B531" s="502"/>
      <c r="C531" s="502"/>
      <c r="D531" s="502"/>
      <c r="E531" s="502"/>
      <c r="F531" s="502"/>
      <c r="G531" s="502"/>
      <c r="H531" s="502"/>
      <c r="I531" s="502"/>
      <c r="J531" s="502"/>
      <c r="K531" s="502"/>
      <c r="L531" s="508">
        <v>427</v>
      </c>
      <c r="M531" s="502"/>
      <c r="N531" s="502"/>
    </row>
    <row r="532" spans="2:14">
      <c r="B532" s="502"/>
      <c r="C532" s="502"/>
      <c r="D532" s="502"/>
      <c r="E532" s="502"/>
      <c r="F532" s="502"/>
      <c r="G532" s="502"/>
      <c r="H532" s="502"/>
      <c r="I532" s="502"/>
      <c r="J532" s="502"/>
      <c r="K532" s="502"/>
      <c r="L532" s="508">
        <v>428</v>
      </c>
      <c r="M532" s="502"/>
      <c r="N532" s="502"/>
    </row>
    <row r="533" spans="2:14">
      <c r="B533" s="502"/>
      <c r="C533" s="502"/>
      <c r="D533" s="502"/>
      <c r="E533" s="502"/>
      <c r="F533" s="502"/>
      <c r="G533" s="502"/>
      <c r="H533" s="502"/>
      <c r="I533" s="502"/>
      <c r="J533" s="502"/>
      <c r="K533" s="502"/>
      <c r="L533" s="508">
        <v>429</v>
      </c>
      <c r="M533" s="502"/>
      <c r="N533" s="502"/>
    </row>
    <row r="534" spans="2:14">
      <c r="B534" s="502"/>
      <c r="C534" s="502"/>
      <c r="D534" s="502"/>
      <c r="E534" s="502"/>
      <c r="F534" s="502"/>
      <c r="G534" s="502"/>
      <c r="H534" s="502"/>
      <c r="I534" s="502"/>
      <c r="J534" s="502"/>
      <c r="K534" s="502"/>
      <c r="L534" s="508">
        <v>430</v>
      </c>
      <c r="M534" s="502"/>
      <c r="N534" s="502"/>
    </row>
    <row r="535" spans="2:14">
      <c r="B535" s="502"/>
      <c r="C535" s="502"/>
      <c r="D535" s="502"/>
      <c r="E535" s="502"/>
      <c r="F535" s="502"/>
      <c r="G535" s="502"/>
      <c r="H535" s="502"/>
      <c r="I535" s="502"/>
      <c r="J535" s="502"/>
      <c r="K535" s="502"/>
      <c r="L535" s="508">
        <v>431</v>
      </c>
      <c r="M535" s="502"/>
      <c r="N535" s="502"/>
    </row>
    <row r="536" spans="2:14">
      <c r="B536" s="502"/>
      <c r="C536" s="502"/>
      <c r="D536" s="502"/>
      <c r="E536" s="502"/>
      <c r="F536" s="502"/>
      <c r="G536" s="502"/>
      <c r="H536" s="502"/>
      <c r="I536" s="502"/>
      <c r="J536" s="502"/>
      <c r="K536" s="502"/>
      <c r="L536" s="508">
        <v>432</v>
      </c>
      <c r="M536" s="502"/>
      <c r="N536" s="502"/>
    </row>
    <row r="537" spans="2:14">
      <c r="B537" s="502"/>
      <c r="C537" s="502"/>
      <c r="D537" s="502"/>
      <c r="E537" s="502"/>
      <c r="F537" s="502"/>
      <c r="G537" s="502"/>
      <c r="H537" s="502"/>
      <c r="I537" s="502"/>
      <c r="J537" s="502"/>
      <c r="K537" s="502"/>
      <c r="L537" s="508">
        <v>433</v>
      </c>
      <c r="M537" s="502"/>
      <c r="N537" s="502"/>
    </row>
    <row r="538" spans="2:14">
      <c r="B538" s="502"/>
      <c r="C538" s="502"/>
      <c r="D538" s="502"/>
      <c r="E538" s="502"/>
      <c r="F538" s="502"/>
      <c r="G538" s="502"/>
      <c r="H538" s="502"/>
      <c r="I538" s="502"/>
      <c r="J538" s="502"/>
      <c r="K538" s="502"/>
      <c r="L538" s="508">
        <v>434</v>
      </c>
      <c r="M538" s="502"/>
      <c r="N538" s="502"/>
    </row>
    <row r="539" spans="2:14">
      <c r="B539" s="502"/>
      <c r="C539" s="502"/>
      <c r="D539" s="502"/>
      <c r="E539" s="502"/>
      <c r="F539" s="502"/>
      <c r="G539" s="502"/>
      <c r="H539" s="502"/>
      <c r="I539" s="502"/>
      <c r="J539" s="502"/>
      <c r="K539" s="502"/>
      <c r="L539" s="508">
        <v>435</v>
      </c>
      <c r="M539" s="502"/>
      <c r="N539" s="502"/>
    </row>
    <row r="540" spans="2:14">
      <c r="B540" s="502"/>
      <c r="C540" s="502"/>
      <c r="D540" s="502"/>
      <c r="E540" s="502"/>
      <c r="F540" s="502"/>
      <c r="G540" s="502"/>
      <c r="H540" s="502"/>
      <c r="I540" s="502"/>
      <c r="J540" s="502"/>
      <c r="K540" s="502"/>
      <c r="L540" s="508">
        <v>436</v>
      </c>
      <c r="M540" s="502"/>
      <c r="N540" s="502"/>
    </row>
    <row r="541" spans="2:14">
      <c r="B541" s="502"/>
      <c r="C541" s="502"/>
      <c r="D541" s="502"/>
      <c r="E541" s="502"/>
      <c r="F541" s="502"/>
      <c r="G541" s="502"/>
      <c r="H541" s="502"/>
      <c r="I541" s="502"/>
      <c r="J541" s="502"/>
      <c r="K541" s="502"/>
      <c r="L541" s="508">
        <v>437</v>
      </c>
      <c r="M541" s="502"/>
      <c r="N541" s="502"/>
    </row>
    <row r="542" spans="2:14">
      <c r="B542" s="502"/>
      <c r="C542" s="502"/>
      <c r="D542" s="502"/>
      <c r="E542" s="502"/>
      <c r="F542" s="502"/>
      <c r="G542" s="502"/>
      <c r="H542" s="502"/>
      <c r="I542" s="502"/>
      <c r="J542" s="502"/>
      <c r="K542" s="502"/>
      <c r="L542" s="508">
        <v>438</v>
      </c>
      <c r="M542" s="502"/>
      <c r="N542" s="502"/>
    </row>
    <row r="543" spans="2:14">
      <c r="B543" s="502"/>
      <c r="C543" s="502"/>
      <c r="D543" s="502"/>
      <c r="E543" s="502"/>
      <c r="F543" s="502"/>
      <c r="G543" s="502"/>
      <c r="H543" s="502"/>
      <c r="I543" s="502"/>
      <c r="J543" s="502"/>
      <c r="K543" s="502"/>
      <c r="L543" s="508">
        <v>439</v>
      </c>
      <c r="M543" s="502"/>
      <c r="N543" s="502"/>
    </row>
    <row r="544" spans="2:14">
      <c r="B544" s="502"/>
      <c r="C544" s="502"/>
      <c r="D544" s="502"/>
      <c r="E544" s="502"/>
      <c r="F544" s="502"/>
      <c r="G544" s="502"/>
      <c r="H544" s="502"/>
      <c r="I544" s="502"/>
      <c r="J544" s="502"/>
      <c r="K544" s="502"/>
      <c r="L544" s="508">
        <v>440</v>
      </c>
      <c r="M544" s="502"/>
      <c r="N544" s="502"/>
    </row>
    <row r="545" spans="2:14">
      <c r="B545" s="502"/>
      <c r="C545" s="502"/>
      <c r="D545" s="502"/>
      <c r="E545" s="502"/>
      <c r="F545" s="502"/>
      <c r="G545" s="502"/>
      <c r="H545" s="502"/>
      <c r="I545" s="502"/>
      <c r="J545" s="502"/>
      <c r="K545" s="502"/>
      <c r="L545" s="508">
        <v>441</v>
      </c>
      <c r="M545" s="502"/>
      <c r="N545" s="502"/>
    </row>
    <row r="546" spans="2:14">
      <c r="B546" s="502"/>
      <c r="C546" s="502"/>
      <c r="D546" s="502"/>
      <c r="E546" s="502"/>
      <c r="F546" s="502"/>
      <c r="G546" s="502"/>
      <c r="H546" s="502"/>
      <c r="I546" s="502"/>
      <c r="J546" s="502"/>
      <c r="K546" s="502"/>
      <c r="L546" s="508">
        <v>442</v>
      </c>
      <c r="M546" s="502"/>
      <c r="N546" s="502"/>
    </row>
    <row r="547" spans="2:14">
      <c r="B547" s="502"/>
      <c r="C547" s="502"/>
      <c r="D547" s="502"/>
      <c r="E547" s="502"/>
      <c r="F547" s="502"/>
      <c r="G547" s="502"/>
      <c r="H547" s="502"/>
      <c r="I547" s="502"/>
      <c r="J547" s="502"/>
      <c r="K547" s="502"/>
      <c r="L547" s="508">
        <v>443</v>
      </c>
      <c r="M547" s="502"/>
      <c r="N547" s="502"/>
    </row>
    <row r="548" spans="2:14">
      <c r="B548" s="502"/>
      <c r="C548" s="502"/>
      <c r="D548" s="502"/>
      <c r="E548" s="502"/>
      <c r="F548" s="502"/>
      <c r="G548" s="502"/>
      <c r="H548" s="502"/>
      <c r="I548" s="502"/>
      <c r="J548" s="502"/>
      <c r="K548" s="502"/>
      <c r="L548" s="508">
        <v>444</v>
      </c>
      <c r="M548" s="502"/>
      <c r="N548" s="502"/>
    </row>
    <row r="549" spans="2:14">
      <c r="B549" s="502"/>
      <c r="C549" s="502"/>
      <c r="D549" s="502"/>
      <c r="E549" s="502"/>
      <c r="F549" s="502"/>
      <c r="G549" s="502"/>
      <c r="H549" s="502"/>
      <c r="I549" s="502"/>
      <c r="J549" s="502"/>
      <c r="K549" s="502"/>
      <c r="L549" s="508">
        <v>445</v>
      </c>
      <c r="M549" s="502"/>
      <c r="N549" s="502"/>
    </row>
    <row r="550" spans="2:14">
      <c r="B550" s="502"/>
      <c r="C550" s="502"/>
      <c r="D550" s="502"/>
      <c r="E550" s="502"/>
      <c r="F550" s="502"/>
      <c r="G550" s="502"/>
      <c r="H550" s="502"/>
      <c r="I550" s="502"/>
      <c r="J550" s="502"/>
      <c r="K550" s="502"/>
      <c r="L550" s="508">
        <v>446</v>
      </c>
      <c r="M550" s="502"/>
      <c r="N550" s="502"/>
    </row>
    <row r="551" spans="2:14">
      <c r="B551" s="502"/>
      <c r="C551" s="502"/>
      <c r="D551" s="502"/>
      <c r="E551" s="502"/>
      <c r="F551" s="502"/>
      <c r="G551" s="502"/>
      <c r="H551" s="502"/>
      <c r="I551" s="502"/>
      <c r="J551" s="502"/>
      <c r="K551" s="502"/>
      <c r="L551" s="508">
        <v>447</v>
      </c>
      <c r="M551" s="502"/>
      <c r="N551" s="502"/>
    </row>
    <row r="552" spans="2:14">
      <c r="B552" s="502"/>
      <c r="C552" s="502"/>
      <c r="D552" s="502"/>
      <c r="E552" s="502"/>
      <c r="F552" s="502"/>
      <c r="G552" s="502"/>
      <c r="H552" s="502"/>
      <c r="I552" s="502"/>
      <c r="J552" s="502"/>
      <c r="K552" s="502"/>
      <c r="L552" s="508">
        <v>448</v>
      </c>
      <c r="M552" s="502"/>
      <c r="N552" s="502"/>
    </row>
    <row r="553" spans="2:14">
      <c r="B553" s="502"/>
      <c r="C553" s="502"/>
      <c r="D553" s="502"/>
      <c r="E553" s="502"/>
      <c r="F553" s="502"/>
      <c r="G553" s="502"/>
      <c r="H553" s="502"/>
      <c r="I553" s="502"/>
      <c r="J553" s="502"/>
      <c r="K553" s="502"/>
      <c r="L553" s="508">
        <v>449</v>
      </c>
      <c r="M553" s="502"/>
      <c r="N553" s="502"/>
    </row>
    <row r="554" spans="2:14">
      <c r="B554" s="502"/>
      <c r="C554" s="502"/>
      <c r="D554" s="502"/>
      <c r="E554" s="502"/>
      <c r="F554" s="502"/>
      <c r="G554" s="502"/>
      <c r="H554" s="502"/>
      <c r="I554" s="502"/>
      <c r="J554" s="502"/>
      <c r="K554" s="502"/>
      <c r="L554" s="508">
        <v>450</v>
      </c>
      <c r="M554" s="502"/>
      <c r="N554" s="502"/>
    </row>
    <row r="555" spans="2:14">
      <c r="B555" s="502"/>
      <c r="C555" s="502"/>
      <c r="D555" s="502"/>
      <c r="E555" s="502"/>
      <c r="F555" s="502"/>
      <c r="G555" s="502"/>
      <c r="H555" s="502"/>
      <c r="I555" s="502"/>
      <c r="J555" s="502"/>
      <c r="K555" s="502"/>
      <c r="L555" s="508">
        <v>451</v>
      </c>
      <c r="M555" s="502"/>
      <c r="N555" s="502"/>
    </row>
    <row r="556" spans="2:14">
      <c r="B556" s="502"/>
      <c r="C556" s="502"/>
      <c r="D556" s="502"/>
      <c r="E556" s="502"/>
      <c r="F556" s="502"/>
      <c r="G556" s="502"/>
      <c r="H556" s="502"/>
      <c r="I556" s="502"/>
      <c r="J556" s="502"/>
      <c r="K556" s="502"/>
      <c r="L556" s="508">
        <v>452</v>
      </c>
      <c r="M556" s="502"/>
      <c r="N556" s="502"/>
    </row>
    <row r="557" spans="2:14">
      <c r="B557" s="502"/>
      <c r="C557" s="502"/>
      <c r="D557" s="502"/>
      <c r="E557" s="502"/>
      <c r="F557" s="502"/>
      <c r="G557" s="502"/>
      <c r="H557" s="502"/>
      <c r="I557" s="502"/>
      <c r="J557" s="502"/>
      <c r="K557" s="502"/>
      <c r="L557" s="508">
        <v>453</v>
      </c>
      <c r="M557" s="502"/>
      <c r="N557" s="502"/>
    </row>
    <row r="558" spans="2:14">
      <c r="B558" s="502"/>
      <c r="C558" s="502"/>
      <c r="D558" s="502"/>
      <c r="E558" s="502"/>
      <c r="F558" s="502"/>
      <c r="G558" s="502"/>
      <c r="H558" s="502"/>
      <c r="I558" s="502"/>
      <c r="J558" s="502"/>
      <c r="K558" s="502"/>
      <c r="L558" s="508">
        <v>454</v>
      </c>
      <c r="M558" s="502"/>
      <c r="N558" s="502"/>
    </row>
    <row r="559" spans="2:14">
      <c r="B559" s="502"/>
      <c r="C559" s="502"/>
      <c r="D559" s="502"/>
      <c r="E559" s="502"/>
      <c r="F559" s="502"/>
      <c r="G559" s="502"/>
      <c r="H559" s="502"/>
      <c r="I559" s="502"/>
      <c r="J559" s="502"/>
      <c r="K559" s="502"/>
      <c r="L559" s="508">
        <v>455</v>
      </c>
      <c r="M559" s="502"/>
      <c r="N559" s="502"/>
    </row>
    <row r="560" spans="2:14">
      <c r="B560" s="502"/>
      <c r="C560" s="502"/>
      <c r="D560" s="502"/>
      <c r="E560" s="502"/>
      <c r="F560" s="502"/>
      <c r="G560" s="502"/>
      <c r="H560" s="502"/>
      <c r="I560" s="502"/>
      <c r="J560" s="502"/>
      <c r="K560" s="502"/>
      <c r="L560" s="508">
        <v>456</v>
      </c>
      <c r="M560" s="502"/>
      <c r="N560" s="502"/>
    </row>
    <row r="561" spans="2:14">
      <c r="B561" s="502"/>
      <c r="C561" s="502"/>
      <c r="D561" s="502"/>
      <c r="E561" s="502"/>
      <c r="F561" s="502"/>
      <c r="G561" s="502"/>
      <c r="H561" s="502"/>
      <c r="I561" s="502"/>
      <c r="J561" s="502"/>
      <c r="K561" s="502"/>
      <c r="L561" s="508">
        <v>457</v>
      </c>
      <c r="M561" s="502"/>
      <c r="N561" s="502"/>
    </row>
    <row r="562" spans="2:14">
      <c r="B562" s="502"/>
      <c r="C562" s="502"/>
      <c r="D562" s="502"/>
      <c r="E562" s="502"/>
      <c r="F562" s="502"/>
      <c r="G562" s="502"/>
      <c r="H562" s="502"/>
      <c r="I562" s="502"/>
      <c r="J562" s="502"/>
      <c r="K562" s="502"/>
      <c r="L562" s="508">
        <v>458</v>
      </c>
      <c r="M562" s="502"/>
      <c r="N562" s="502"/>
    </row>
    <row r="563" spans="2:14">
      <c r="B563" s="502"/>
      <c r="C563" s="502"/>
      <c r="D563" s="502"/>
      <c r="E563" s="502"/>
      <c r="F563" s="502"/>
      <c r="G563" s="502"/>
      <c r="H563" s="502"/>
      <c r="I563" s="502"/>
      <c r="J563" s="502"/>
      <c r="K563" s="502"/>
      <c r="L563" s="508">
        <v>459</v>
      </c>
      <c r="M563" s="502"/>
      <c r="N563" s="502"/>
    </row>
    <row r="564" spans="2:14">
      <c r="B564" s="502"/>
      <c r="C564" s="502"/>
      <c r="D564" s="502"/>
      <c r="E564" s="502"/>
      <c r="F564" s="502"/>
      <c r="G564" s="502"/>
      <c r="H564" s="502"/>
      <c r="I564" s="502"/>
      <c r="J564" s="502"/>
      <c r="K564" s="502"/>
      <c r="L564" s="508">
        <v>460</v>
      </c>
      <c r="M564" s="502"/>
      <c r="N564" s="502"/>
    </row>
    <row r="565" spans="2:14">
      <c r="B565" s="502"/>
      <c r="C565" s="502"/>
      <c r="D565" s="502"/>
      <c r="E565" s="502"/>
      <c r="F565" s="502"/>
      <c r="G565" s="502"/>
      <c r="H565" s="502"/>
      <c r="I565" s="502"/>
      <c r="J565" s="502"/>
      <c r="K565" s="502"/>
      <c r="L565" s="508">
        <v>461</v>
      </c>
      <c r="M565" s="502"/>
      <c r="N565" s="502"/>
    </row>
    <row r="566" spans="2:14">
      <c r="B566" s="502"/>
      <c r="C566" s="502"/>
      <c r="D566" s="502"/>
      <c r="E566" s="502"/>
      <c r="F566" s="502"/>
      <c r="G566" s="502"/>
      <c r="H566" s="502"/>
      <c r="I566" s="502"/>
      <c r="J566" s="502"/>
      <c r="K566" s="502"/>
      <c r="L566" s="508">
        <v>462</v>
      </c>
      <c r="M566" s="502"/>
      <c r="N566" s="502"/>
    </row>
    <row r="567" spans="2:14">
      <c r="B567" s="502"/>
      <c r="C567" s="502"/>
      <c r="D567" s="502"/>
      <c r="E567" s="502"/>
      <c r="F567" s="502"/>
      <c r="G567" s="502"/>
      <c r="H567" s="502"/>
      <c r="I567" s="502"/>
      <c r="J567" s="502"/>
      <c r="K567" s="502"/>
      <c r="L567" s="508">
        <v>463</v>
      </c>
      <c r="M567" s="502"/>
      <c r="N567" s="502"/>
    </row>
    <row r="568" spans="2:14">
      <c r="B568" s="502"/>
      <c r="C568" s="502"/>
      <c r="D568" s="502"/>
      <c r="E568" s="502"/>
      <c r="F568" s="502"/>
      <c r="G568" s="502"/>
      <c r="H568" s="502"/>
      <c r="I568" s="502"/>
      <c r="J568" s="502"/>
      <c r="K568" s="502"/>
      <c r="L568" s="508">
        <v>464</v>
      </c>
      <c r="M568" s="502"/>
      <c r="N568" s="502"/>
    </row>
    <row r="569" spans="2:14">
      <c r="B569" s="502"/>
      <c r="C569" s="502"/>
      <c r="D569" s="502"/>
      <c r="E569" s="502"/>
      <c r="F569" s="502"/>
      <c r="G569" s="502"/>
      <c r="H569" s="502"/>
      <c r="I569" s="502"/>
      <c r="J569" s="502"/>
      <c r="K569" s="502"/>
      <c r="L569" s="508">
        <v>465</v>
      </c>
      <c r="M569" s="502"/>
      <c r="N569" s="502"/>
    </row>
    <row r="570" spans="2:14">
      <c r="B570" s="502"/>
      <c r="C570" s="502"/>
      <c r="D570" s="502"/>
      <c r="E570" s="502"/>
      <c r="F570" s="502"/>
      <c r="G570" s="502"/>
      <c r="H570" s="502"/>
      <c r="I570" s="502"/>
      <c r="J570" s="502"/>
      <c r="K570" s="502"/>
      <c r="L570" s="508">
        <v>466</v>
      </c>
      <c r="M570" s="502"/>
      <c r="N570" s="502"/>
    </row>
    <row r="571" spans="2:14">
      <c r="B571" s="502"/>
      <c r="C571" s="502"/>
      <c r="D571" s="502"/>
      <c r="E571" s="502"/>
      <c r="F571" s="502"/>
      <c r="G571" s="502"/>
      <c r="H571" s="502"/>
      <c r="I571" s="502"/>
      <c r="J571" s="502"/>
      <c r="K571" s="502"/>
      <c r="L571" s="508">
        <v>467</v>
      </c>
      <c r="M571" s="502"/>
      <c r="N571" s="502"/>
    </row>
    <row r="572" spans="2:14">
      <c r="B572" s="502"/>
      <c r="C572" s="502"/>
      <c r="D572" s="502"/>
      <c r="E572" s="502"/>
      <c r="F572" s="502"/>
      <c r="G572" s="502"/>
      <c r="H572" s="502"/>
      <c r="I572" s="502"/>
      <c r="J572" s="502"/>
      <c r="K572" s="502"/>
      <c r="L572" s="508">
        <v>468</v>
      </c>
      <c r="M572" s="502"/>
      <c r="N572" s="502"/>
    </row>
    <row r="573" spans="2:14">
      <c r="B573" s="502"/>
      <c r="C573" s="502"/>
      <c r="D573" s="502"/>
      <c r="E573" s="502"/>
      <c r="F573" s="502"/>
      <c r="G573" s="502"/>
      <c r="H573" s="502"/>
      <c r="I573" s="502"/>
      <c r="J573" s="502"/>
      <c r="K573" s="502"/>
      <c r="L573" s="508">
        <v>469</v>
      </c>
      <c r="M573" s="502"/>
      <c r="N573" s="502"/>
    </row>
    <row r="574" spans="2:14">
      <c r="B574" s="502"/>
      <c r="C574" s="502"/>
      <c r="D574" s="502"/>
      <c r="E574" s="502"/>
      <c r="F574" s="502"/>
      <c r="G574" s="502"/>
      <c r="H574" s="502"/>
      <c r="I574" s="502"/>
      <c r="J574" s="502"/>
      <c r="K574" s="502"/>
      <c r="L574" s="508">
        <v>470</v>
      </c>
      <c r="M574" s="502"/>
      <c r="N574" s="502"/>
    </row>
    <row r="575" spans="2:14">
      <c r="B575" s="502"/>
      <c r="C575" s="502"/>
      <c r="D575" s="502"/>
      <c r="E575" s="502"/>
      <c r="F575" s="502"/>
      <c r="G575" s="502"/>
      <c r="H575" s="502"/>
      <c r="I575" s="502"/>
      <c r="J575" s="502"/>
      <c r="K575" s="502"/>
      <c r="L575" s="508">
        <v>471</v>
      </c>
      <c r="M575" s="502"/>
      <c r="N575" s="502"/>
    </row>
    <row r="576" spans="2:14">
      <c r="B576" s="502"/>
      <c r="C576" s="502"/>
      <c r="D576" s="502"/>
      <c r="E576" s="502"/>
      <c r="F576" s="502"/>
      <c r="G576" s="502"/>
      <c r="H576" s="502"/>
      <c r="I576" s="502"/>
      <c r="J576" s="502"/>
      <c r="K576" s="502"/>
      <c r="L576" s="508">
        <v>472</v>
      </c>
      <c r="M576" s="502"/>
      <c r="N576" s="502"/>
    </row>
    <row r="577" spans="2:14">
      <c r="B577" s="502"/>
      <c r="C577" s="502"/>
      <c r="D577" s="502"/>
      <c r="E577" s="502"/>
      <c r="F577" s="502"/>
      <c r="G577" s="502"/>
      <c r="H577" s="502"/>
      <c r="I577" s="502"/>
      <c r="J577" s="502"/>
      <c r="K577" s="502"/>
      <c r="L577" s="508">
        <v>473</v>
      </c>
      <c r="M577" s="502"/>
      <c r="N577" s="502"/>
    </row>
    <row r="578" spans="2:14">
      <c r="B578" s="502"/>
      <c r="C578" s="502"/>
      <c r="D578" s="502"/>
      <c r="E578" s="502"/>
      <c r="F578" s="502"/>
      <c r="G578" s="502"/>
      <c r="H578" s="502"/>
      <c r="I578" s="502"/>
      <c r="J578" s="502"/>
      <c r="K578" s="502"/>
      <c r="L578" s="508">
        <v>474</v>
      </c>
      <c r="M578" s="502"/>
      <c r="N578" s="502"/>
    </row>
    <row r="579" spans="2:14">
      <c r="B579" s="502"/>
      <c r="C579" s="502"/>
      <c r="D579" s="502"/>
      <c r="E579" s="502"/>
      <c r="F579" s="502"/>
      <c r="G579" s="502"/>
      <c r="H579" s="502"/>
      <c r="I579" s="502"/>
      <c r="J579" s="502"/>
      <c r="K579" s="502"/>
      <c r="L579" s="508">
        <v>475</v>
      </c>
      <c r="M579" s="502"/>
      <c r="N579" s="502"/>
    </row>
    <row r="580" spans="2:14">
      <c r="B580" s="502"/>
      <c r="C580" s="502"/>
      <c r="D580" s="502"/>
      <c r="E580" s="502"/>
      <c r="F580" s="502"/>
      <c r="G580" s="502"/>
      <c r="H580" s="502"/>
      <c r="I580" s="502"/>
      <c r="J580" s="502"/>
      <c r="K580" s="502"/>
      <c r="L580" s="508">
        <v>476</v>
      </c>
      <c r="M580" s="502"/>
      <c r="N580" s="502"/>
    </row>
    <row r="581" spans="2:14">
      <c r="B581" s="502"/>
      <c r="C581" s="502"/>
      <c r="D581" s="502"/>
      <c r="E581" s="502"/>
      <c r="F581" s="502"/>
      <c r="G581" s="502"/>
      <c r="H581" s="502"/>
      <c r="I581" s="502"/>
      <c r="J581" s="502"/>
      <c r="K581" s="502"/>
      <c r="L581" s="508">
        <v>477</v>
      </c>
      <c r="M581" s="502"/>
      <c r="N581" s="502"/>
    </row>
    <row r="582" spans="2:14">
      <c r="B582" s="502"/>
      <c r="C582" s="502"/>
      <c r="D582" s="502"/>
      <c r="E582" s="502"/>
      <c r="F582" s="502"/>
      <c r="G582" s="502"/>
      <c r="H582" s="502"/>
      <c r="I582" s="502"/>
      <c r="J582" s="502"/>
      <c r="K582" s="502"/>
      <c r="L582" s="508">
        <v>478</v>
      </c>
      <c r="M582" s="502"/>
      <c r="N582" s="502"/>
    </row>
    <row r="583" spans="2:14">
      <c r="B583" s="502"/>
      <c r="C583" s="502"/>
      <c r="D583" s="502"/>
      <c r="E583" s="502"/>
      <c r="F583" s="502"/>
      <c r="G583" s="502"/>
      <c r="H583" s="502"/>
      <c r="I583" s="502"/>
      <c r="J583" s="502"/>
      <c r="K583" s="502"/>
      <c r="L583" s="508">
        <v>479</v>
      </c>
      <c r="M583" s="502"/>
      <c r="N583" s="502"/>
    </row>
    <row r="584" spans="2:14">
      <c r="B584" s="502"/>
      <c r="C584" s="502"/>
      <c r="D584" s="502"/>
      <c r="E584" s="502"/>
      <c r="F584" s="502"/>
      <c r="G584" s="502"/>
      <c r="H584" s="502"/>
      <c r="I584" s="502"/>
      <c r="J584" s="502"/>
      <c r="K584" s="502"/>
      <c r="L584" s="508">
        <v>480</v>
      </c>
      <c r="M584" s="502"/>
      <c r="N584" s="502"/>
    </row>
    <row r="585" spans="2:14">
      <c r="B585" s="502"/>
      <c r="C585" s="502"/>
      <c r="D585" s="502"/>
      <c r="E585" s="502"/>
      <c r="F585" s="502"/>
      <c r="G585" s="502"/>
      <c r="H585" s="502"/>
      <c r="I585" s="502"/>
      <c r="J585" s="502"/>
      <c r="K585" s="502"/>
      <c r="L585" s="508">
        <v>481</v>
      </c>
      <c r="M585" s="502"/>
      <c r="N585" s="502"/>
    </row>
    <row r="586" spans="2:14">
      <c r="B586" s="502"/>
      <c r="C586" s="502"/>
      <c r="D586" s="502"/>
      <c r="E586" s="502"/>
      <c r="F586" s="502"/>
      <c r="G586" s="502"/>
      <c r="H586" s="502"/>
      <c r="I586" s="502"/>
      <c r="J586" s="502"/>
      <c r="K586" s="502"/>
      <c r="L586" s="508">
        <v>482</v>
      </c>
      <c r="M586" s="502"/>
      <c r="N586" s="502"/>
    </row>
    <row r="587" spans="2:14">
      <c r="B587" s="502"/>
      <c r="C587" s="502"/>
      <c r="D587" s="502"/>
      <c r="E587" s="502"/>
      <c r="F587" s="502"/>
      <c r="G587" s="502"/>
      <c r="H587" s="502"/>
      <c r="I587" s="502"/>
      <c r="J587" s="502"/>
      <c r="K587" s="502"/>
      <c r="L587" s="508">
        <v>483</v>
      </c>
      <c r="M587" s="502"/>
      <c r="N587" s="502"/>
    </row>
    <row r="588" spans="2:14">
      <c r="B588" s="502"/>
      <c r="C588" s="502"/>
      <c r="D588" s="502"/>
      <c r="E588" s="502"/>
      <c r="F588" s="502"/>
      <c r="G588" s="502"/>
      <c r="H588" s="502"/>
      <c r="I588" s="502"/>
      <c r="J588" s="502"/>
      <c r="K588" s="502"/>
      <c r="L588" s="508">
        <v>484</v>
      </c>
      <c r="M588" s="502"/>
      <c r="N588" s="502"/>
    </row>
    <row r="589" spans="2:14">
      <c r="B589" s="502"/>
      <c r="C589" s="502"/>
      <c r="D589" s="502"/>
      <c r="E589" s="502"/>
      <c r="F589" s="502"/>
      <c r="G589" s="502"/>
      <c r="H589" s="502"/>
      <c r="I589" s="502"/>
      <c r="J589" s="502"/>
      <c r="K589" s="502"/>
      <c r="L589" s="508">
        <v>485</v>
      </c>
      <c r="M589" s="502"/>
      <c r="N589" s="502"/>
    </row>
    <row r="590" spans="2:14">
      <c r="B590" s="502"/>
      <c r="C590" s="502"/>
      <c r="D590" s="502"/>
      <c r="E590" s="502"/>
      <c r="F590" s="502"/>
      <c r="G590" s="502"/>
      <c r="H590" s="502"/>
      <c r="I590" s="502"/>
      <c r="J590" s="502"/>
      <c r="K590" s="502"/>
      <c r="L590" s="508">
        <v>486</v>
      </c>
      <c r="M590" s="502"/>
      <c r="N590" s="502"/>
    </row>
    <row r="591" spans="2:14">
      <c r="B591" s="502"/>
      <c r="C591" s="502"/>
      <c r="D591" s="502"/>
      <c r="E591" s="502"/>
      <c r="F591" s="502"/>
      <c r="G591" s="502"/>
      <c r="H591" s="502"/>
      <c r="I591" s="502"/>
      <c r="J591" s="502"/>
      <c r="K591" s="502"/>
      <c r="L591" s="508">
        <v>487</v>
      </c>
      <c r="M591" s="502"/>
      <c r="N591" s="502"/>
    </row>
    <row r="592" spans="2:14">
      <c r="B592" s="502"/>
      <c r="C592" s="502"/>
      <c r="D592" s="502"/>
      <c r="E592" s="502"/>
      <c r="F592" s="502"/>
      <c r="G592" s="502"/>
      <c r="H592" s="502"/>
      <c r="I592" s="502"/>
      <c r="J592" s="502"/>
      <c r="K592" s="502"/>
      <c r="L592" s="508">
        <v>488</v>
      </c>
      <c r="M592" s="502"/>
      <c r="N592" s="502"/>
    </row>
    <row r="593" spans="2:14">
      <c r="B593" s="502"/>
      <c r="C593" s="502"/>
      <c r="D593" s="502"/>
      <c r="E593" s="502"/>
      <c r="F593" s="502"/>
      <c r="G593" s="502"/>
      <c r="H593" s="502"/>
      <c r="I593" s="502"/>
      <c r="J593" s="502"/>
      <c r="K593" s="502"/>
      <c r="L593" s="508">
        <v>489</v>
      </c>
      <c r="M593" s="502"/>
      <c r="N593" s="502"/>
    </row>
    <row r="594" spans="2:14">
      <c r="B594" s="502"/>
      <c r="C594" s="502"/>
      <c r="D594" s="502"/>
      <c r="E594" s="502"/>
      <c r="F594" s="502"/>
      <c r="G594" s="502"/>
      <c r="H594" s="502"/>
      <c r="I594" s="502"/>
      <c r="J594" s="502"/>
      <c r="K594" s="502"/>
      <c r="L594" s="508">
        <v>490</v>
      </c>
      <c r="M594" s="502"/>
      <c r="N594" s="502"/>
    </row>
    <row r="595" spans="2:14">
      <c r="B595" s="502"/>
      <c r="C595" s="502"/>
      <c r="D595" s="502"/>
      <c r="E595" s="502"/>
      <c r="F595" s="502"/>
      <c r="G595" s="502"/>
      <c r="H595" s="502"/>
      <c r="I595" s="502"/>
      <c r="J595" s="502"/>
      <c r="K595" s="502"/>
      <c r="L595" s="508">
        <v>491</v>
      </c>
      <c r="M595" s="502"/>
      <c r="N595" s="502"/>
    </row>
    <row r="596" spans="2:14">
      <c r="B596" s="502"/>
      <c r="C596" s="502"/>
      <c r="D596" s="502"/>
      <c r="E596" s="502"/>
      <c r="F596" s="502"/>
      <c r="G596" s="502"/>
      <c r="H596" s="502"/>
      <c r="I596" s="502"/>
      <c r="J596" s="502"/>
      <c r="K596" s="502"/>
      <c r="L596" s="508">
        <v>492</v>
      </c>
      <c r="M596" s="502"/>
      <c r="N596" s="502"/>
    </row>
    <row r="597" spans="2:14">
      <c r="B597" s="502"/>
      <c r="C597" s="502"/>
      <c r="D597" s="502"/>
      <c r="E597" s="502"/>
      <c r="F597" s="502"/>
      <c r="G597" s="502"/>
      <c r="H597" s="502"/>
      <c r="I597" s="502"/>
      <c r="J597" s="502"/>
      <c r="K597" s="502"/>
      <c r="L597" s="508">
        <v>493</v>
      </c>
      <c r="M597" s="502"/>
      <c r="N597" s="502"/>
    </row>
    <row r="598" spans="2:14">
      <c r="B598" s="502"/>
      <c r="C598" s="502"/>
      <c r="D598" s="502"/>
      <c r="E598" s="502"/>
      <c r="F598" s="502"/>
      <c r="G598" s="502"/>
      <c r="H598" s="502"/>
      <c r="I598" s="502"/>
      <c r="J598" s="502"/>
      <c r="K598" s="502"/>
      <c r="L598" s="508">
        <v>494</v>
      </c>
      <c r="M598" s="502"/>
      <c r="N598" s="502"/>
    </row>
    <row r="599" spans="2:14">
      <c r="B599" s="502"/>
      <c r="C599" s="502"/>
      <c r="D599" s="502"/>
      <c r="E599" s="502"/>
      <c r="F599" s="502"/>
      <c r="G599" s="502"/>
      <c r="H599" s="502"/>
      <c r="I599" s="502"/>
      <c r="J599" s="502"/>
      <c r="K599" s="502"/>
      <c r="L599" s="508">
        <v>495</v>
      </c>
      <c r="M599" s="502"/>
      <c r="N599" s="502"/>
    </row>
    <row r="600" spans="2:14">
      <c r="B600" s="502"/>
      <c r="C600" s="502"/>
      <c r="D600" s="502"/>
      <c r="E600" s="502"/>
      <c r="F600" s="502"/>
      <c r="G600" s="502"/>
      <c r="H600" s="502"/>
      <c r="I600" s="502"/>
      <c r="J600" s="502"/>
      <c r="K600" s="502"/>
      <c r="L600" s="508">
        <v>496</v>
      </c>
      <c r="M600" s="502"/>
      <c r="N600" s="502"/>
    </row>
    <row r="601" spans="2:14">
      <c r="B601" s="502"/>
      <c r="C601" s="502"/>
      <c r="D601" s="502"/>
      <c r="E601" s="502"/>
      <c r="F601" s="502"/>
      <c r="G601" s="502"/>
      <c r="H601" s="502"/>
      <c r="I601" s="502"/>
      <c r="J601" s="502"/>
      <c r="K601" s="502"/>
      <c r="L601" s="508">
        <v>497</v>
      </c>
      <c r="M601" s="502"/>
      <c r="N601" s="502"/>
    </row>
    <row r="602" spans="2:14">
      <c r="B602" s="502"/>
      <c r="C602" s="502"/>
      <c r="D602" s="502"/>
      <c r="E602" s="502"/>
      <c r="F602" s="502"/>
      <c r="G602" s="502"/>
      <c r="H602" s="502"/>
      <c r="I602" s="502"/>
      <c r="J602" s="502"/>
      <c r="K602" s="502"/>
      <c r="L602" s="508">
        <v>498</v>
      </c>
      <c r="M602" s="502"/>
      <c r="N602" s="502"/>
    </row>
    <row r="603" spans="2:14">
      <c r="B603" s="502"/>
      <c r="C603" s="502"/>
      <c r="D603" s="502"/>
      <c r="E603" s="502"/>
      <c r="F603" s="502"/>
      <c r="G603" s="502"/>
      <c r="H603" s="502"/>
      <c r="I603" s="502"/>
      <c r="J603" s="502"/>
      <c r="K603" s="502"/>
      <c r="L603" s="508">
        <v>499</v>
      </c>
      <c r="M603" s="502"/>
      <c r="N603" s="502"/>
    </row>
    <row r="604" spans="2:14">
      <c r="B604" s="502"/>
      <c r="C604" s="502"/>
      <c r="D604" s="502"/>
      <c r="E604" s="502"/>
      <c r="F604" s="502"/>
      <c r="G604" s="502"/>
      <c r="H604" s="502"/>
      <c r="I604" s="502"/>
      <c r="J604" s="502"/>
      <c r="K604" s="502"/>
      <c r="L604" s="508">
        <v>500</v>
      </c>
      <c r="M604" s="502"/>
      <c r="N604" s="502"/>
    </row>
  </sheetData>
  <sheetProtection algorithmName="SHA-512" hashValue="YlLGmW4rxrTNC+J4gDCatDwj2uKQfaVy1XUyrZdZOtXxRgU8SGcFRhciViPHyrdaA0mg6C6PDMHRUYqzD9+62Q==" saltValue="K3vW4xem/XqUEj6XfTDMXQ==" spinCount="100000" sheet="1" objects="1" scenarios="1" selectLockedCells="1" selectUnlockedCells="1"/>
  <mergeCells count="26">
    <mergeCell ref="E61:F61"/>
    <mergeCell ref="E62:F62"/>
    <mergeCell ref="E63:F63"/>
    <mergeCell ref="Q36:Q37"/>
    <mergeCell ref="R36:R37"/>
    <mergeCell ref="S36:S37"/>
    <mergeCell ref="T36:T37"/>
    <mergeCell ref="E57:F57"/>
    <mergeCell ref="E59:F59"/>
    <mergeCell ref="D34:F34"/>
    <mergeCell ref="I34:J34"/>
    <mergeCell ref="M35:Q35"/>
    <mergeCell ref="R35:T35"/>
    <mergeCell ref="A36:I36"/>
    <mergeCell ref="L36:L37"/>
    <mergeCell ref="M36:M37"/>
    <mergeCell ref="N36:N37"/>
    <mergeCell ref="O36:O37"/>
    <mergeCell ref="P36:P37"/>
    <mergeCell ref="A1:F3"/>
    <mergeCell ref="H1:J2"/>
    <mergeCell ref="K4:M4"/>
    <mergeCell ref="B10:C10"/>
    <mergeCell ref="D31:G33"/>
    <mergeCell ref="I31:L32"/>
    <mergeCell ref="I33:J33"/>
  </mergeCells>
  <conditionalFormatting sqref="D31:G33">
    <cfRule type="containsText" dxfId="11" priority="12" operator="containsText" text="NOT">
      <formula>NOT(ISERROR(SEARCH("NOT",D31)))</formula>
    </cfRule>
    <cfRule type="colorScale" priority="13">
      <colorScale>
        <cfvo type="formula" val="&quot;b21&lt;0&quot;"/>
        <cfvo type="formula" val="&quot;b21&gt;0&quot;"/>
        <color rgb="FFFF7128"/>
        <color theme="9" tint="0.59999389629810485"/>
      </colorScale>
    </cfRule>
  </conditionalFormatting>
  <conditionalFormatting sqref="G34">
    <cfRule type="cellIs" dxfId="10" priority="3" operator="greaterThan">
      <formula>7</formula>
    </cfRule>
    <cfRule type="cellIs" dxfId="9" priority="11" operator="greaterThan">
      <formula>8</formula>
    </cfRule>
  </conditionalFormatting>
  <conditionalFormatting sqref="L34">
    <cfRule type="cellIs" dxfId="8" priority="10" operator="greaterThan">
      <formula>"b11+7"</formula>
    </cfRule>
  </conditionalFormatting>
  <conditionalFormatting sqref="L34">
    <cfRule type="cellIs" dxfId="7" priority="7" operator="greaterThan">
      <formula>B11+7</formula>
    </cfRule>
    <cfRule type="cellIs" dxfId="6" priority="8" operator="greaterThan">
      <formula>"b11+7"</formula>
    </cfRule>
    <cfRule type="cellIs" dxfId="5" priority="9" operator="greaterThan">
      <formula>"b11+7"</formula>
    </cfRule>
  </conditionalFormatting>
  <conditionalFormatting sqref="B31">
    <cfRule type="cellIs" dxfId="4" priority="6" operator="lessThan">
      <formula>0</formula>
    </cfRule>
  </conditionalFormatting>
  <conditionalFormatting sqref="B32">
    <cfRule type="cellIs" dxfId="3" priority="5" operator="lessThan">
      <formula>0</formula>
    </cfRule>
  </conditionalFormatting>
  <conditionalFormatting sqref="B34">
    <cfRule type="cellIs" dxfId="2" priority="4" operator="greaterThan">
      <formula>8</formula>
    </cfRule>
  </conditionalFormatting>
  <conditionalFormatting sqref="B30">
    <cfRule type="cellIs" dxfId="1" priority="2" operator="lessThan">
      <formula>0</formula>
    </cfRule>
  </conditionalFormatting>
  <conditionalFormatting sqref="B33">
    <cfRule type="cellIs" dxfId="0" priority="1" operator="lessThan">
      <formula>0</formula>
    </cfRule>
  </conditionalFormatting>
  <dataValidations count="13">
    <dataValidation type="list" allowBlank="1" showInputMessage="1" showErrorMessage="1" sqref="G63" xr:uid="{00000000-0002-0000-0B00-000000000000}">
      <formula1>$K$108:$K$128</formula1>
    </dataValidation>
    <dataValidation type="list" allowBlank="1" showInputMessage="1" showErrorMessage="1" sqref="H60" xr:uid="{00000000-0002-0000-0B00-000001000000}">
      <formula1>$K$109:$K$208</formula1>
    </dataValidation>
    <dataValidation type="list" allowBlank="1" showInputMessage="1" showErrorMessage="1" sqref="H51" xr:uid="{00000000-0002-0000-0B00-000002000000}">
      <formula1>$N$108:$N$144</formula1>
    </dataValidation>
    <dataValidation type="list" allowBlank="1" showInputMessage="1" showErrorMessage="1" sqref="B54 B70 B67 B64 B61 B58" xr:uid="{00000000-0002-0000-0B00-000003000000}">
      <formula1>$L$108:$L$604</formula1>
    </dataValidation>
    <dataValidation type="list" allowBlank="1" showInputMessage="1" showErrorMessage="1" sqref="H44" xr:uid="{00000000-0002-0000-0B00-000004000000}">
      <formula1>$I$108:$I$188</formula1>
    </dataValidation>
    <dataValidation type="list" allowBlank="1" showInputMessage="1" showErrorMessage="1" sqref="B81 B77" xr:uid="{00000000-0002-0000-0B00-000005000000}">
      <formula1>$C$108:$C$209</formula1>
    </dataValidation>
    <dataValidation type="list" allowBlank="1" showInputMessage="1" showErrorMessage="1" sqref="H42" xr:uid="{00000000-0002-0000-0B00-000006000000}">
      <formula1>$D$108:$D$134</formula1>
    </dataValidation>
    <dataValidation type="list" allowBlank="1" showInputMessage="1" showErrorMessage="1" sqref="G49" xr:uid="{00000000-0002-0000-0B00-000007000000}">
      <formula1>$E$108:$E$127</formula1>
    </dataValidation>
    <dataValidation type="list" allowBlank="1" showInputMessage="1" showErrorMessage="1" sqref="B50" xr:uid="{00000000-0002-0000-0B00-000008000000}">
      <formula1>$F$108:$F$199</formula1>
    </dataValidation>
    <dataValidation type="list" allowBlank="1" showInputMessage="1" showErrorMessage="1" sqref="B46" xr:uid="{00000000-0002-0000-0B00-000009000000}">
      <formula1>$J$108:$J$199</formula1>
    </dataValidation>
    <dataValidation type="list" allowBlank="1" showInputMessage="1" showErrorMessage="1" sqref="B41" xr:uid="{00000000-0002-0000-0B00-00000A000000}">
      <formula1>$G$108:$G$149</formula1>
    </dataValidation>
    <dataValidation type="list" allowBlank="1" showInputMessage="1" showErrorMessage="1" sqref="H58" xr:uid="{00000000-0002-0000-0B00-00000B000000}">
      <formula1>$H$108:$H$118</formula1>
    </dataValidation>
    <dataValidation type="list" allowBlank="1" showInputMessage="1" showErrorMessage="1" sqref="G57" xr:uid="{00000000-0002-0000-0B00-00000C000000}">
      <formula1>$K$108:$K$308</formula1>
    </dataValidation>
  </dataValidations>
  <pageMargins left="0.70866141732283472" right="0.70866141732283472" top="0.74803149606299213" bottom="0.74803149606299213" header="0.31496062992125984" footer="0.31496062992125984"/>
  <pageSetup paperSize="9" scale="35" fitToWidth="0" fitToHeight="0" orientation="portrait" r:id="rId1"/>
  <ignoredErrors>
    <ignoredError sqref="H41 H62 H49" unlockedFormula="1"/>
    <ignoredError sqref="C19:V19"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83"/>
  <sheetViews>
    <sheetView zoomScale="80" zoomScaleNormal="80" workbookViewId="0">
      <selection activeCell="I49" sqref="I49"/>
    </sheetView>
  </sheetViews>
  <sheetFormatPr defaultColWidth="17.7109375" defaultRowHeight="15"/>
  <cols>
    <col min="1" max="1" width="18" customWidth="1"/>
    <col min="2" max="2" width="18" bestFit="1" customWidth="1"/>
    <col min="3" max="3" width="20.5703125" bestFit="1" customWidth="1"/>
    <col min="4" max="5" width="18" bestFit="1" customWidth="1"/>
    <col min="6" max="6" width="18" customWidth="1"/>
    <col min="7" max="9" width="18" bestFit="1" customWidth="1"/>
    <col min="10" max="11" width="20.7109375" customWidth="1"/>
    <col min="12" max="14" width="18" bestFit="1" customWidth="1"/>
    <col min="15" max="15" width="22.85546875" bestFit="1" customWidth="1"/>
    <col min="16" max="16" width="19.28515625" customWidth="1"/>
    <col min="17" max="17" width="25.28515625" bestFit="1" customWidth="1"/>
    <col min="18" max="18" width="18" bestFit="1" customWidth="1"/>
  </cols>
  <sheetData>
    <row r="1" spans="1:19" s="1" customFormat="1" ht="60" customHeight="1">
      <c r="A1" s="322" t="s">
        <v>0</v>
      </c>
      <c r="B1" s="323" t="s">
        <v>1</v>
      </c>
      <c r="C1" s="324" t="s">
        <v>216</v>
      </c>
      <c r="D1" s="323" t="s">
        <v>2</v>
      </c>
      <c r="E1" s="324" t="s">
        <v>3</v>
      </c>
      <c r="F1" s="324" t="s">
        <v>111</v>
      </c>
      <c r="G1" s="324" t="s">
        <v>120</v>
      </c>
      <c r="H1" s="324" t="s">
        <v>4</v>
      </c>
      <c r="I1" s="323" t="s">
        <v>218</v>
      </c>
      <c r="J1" s="324" t="s">
        <v>6</v>
      </c>
      <c r="K1" s="324" t="s">
        <v>7</v>
      </c>
      <c r="L1" s="324" t="s">
        <v>8</v>
      </c>
      <c r="M1" s="324" t="s">
        <v>217</v>
      </c>
      <c r="N1" s="325" t="s">
        <v>9</v>
      </c>
      <c r="O1" s="119"/>
      <c r="P1" s="98"/>
      <c r="S1" s="97"/>
    </row>
    <row r="2" spans="1:19" s="50" customFormat="1" ht="15.75">
      <c r="A2" s="326">
        <v>450</v>
      </c>
      <c r="B2" s="120">
        <v>0.23</v>
      </c>
      <c r="C2" s="121">
        <f>SUM(A2*B2)</f>
        <v>103.5</v>
      </c>
      <c r="D2" s="120">
        <v>0.88</v>
      </c>
      <c r="E2" s="122">
        <f>SUM(C2*D2)</f>
        <v>91.08</v>
      </c>
      <c r="F2" s="123">
        <v>0.05</v>
      </c>
      <c r="G2" s="122">
        <f>E2*F2</f>
        <v>4.5540000000000003</v>
      </c>
      <c r="H2" s="122">
        <f>SUM(E2-G2)</f>
        <v>86.525999999999996</v>
      </c>
      <c r="I2" s="124">
        <v>290</v>
      </c>
      <c r="J2" s="125">
        <f>(I2*H2)</f>
        <v>25092.539999999997</v>
      </c>
      <c r="K2" s="125">
        <f>SUM(J2*10)</f>
        <v>250925.39999999997</v>
      </c>
      <c r="L2" s="126">
        <v>1200</v>
      </c>
      <c r="M2" s="127">
        <f>SUM(L2/K2*100)</f>
        <v>0.4782297846292165</v>
      </c>
      <c r="N2" s="327">
        <f>SUM(J2/53*41*1.836)</f>
        <v>35638.981906415087</v>
      </c>
      <c r="O2" s="119"/>
      <c r="P2" s="98"/>
      <c r="Q2" s="1"/>
      <c r="R2" s="1"/>
      <c r="S2" s="51"/>
    </row>
    <row r="3" spans="1:19" ht="15.75">
      <c r="A3" s="326">
        <v>300</v>
      </c>
      <c r="B3" s="120">
        <v>0.23</v>
      </c>
      <c r="C3" s="121">
        <f t="shared" ref="C3:C35" si="0">SUM(A3*B3)</f>
        <v>69</v>
      </c>
      <c r="D3" s="120">
        <v>0.88</v>
      </c>
      <c r="E3" s="122">
        <f t="shared" ref="E3:E35" si="1">SUM(C3*D3)</f>
        <v>60.72</v>
      </c>
      <c r="F3" s="123">
        <v>0.05</v>
      </c>
      <c r="G3" s="122">
        <f t="shared" ref="G3:G35" si="2">E3*F3</f>
        <v>3.036</v>
      </c>
      <c r="H3" s="122">
        <f t="shared" ref="H3:H35" si="3">SUM(E3-G3)</f>
        <v>57.683999999999997</v>
      </c>
      <c r="I3" s="124">
        <v>290</v>
      </c>
      <c r="J3" s="125">
        <f t="shared" ref="J3:J35" si="4">(I3*H3)</f>
        <v>16728.36</v>
      </c>
      <c r="K3" s="125">
        <f t="shared" ref="K3:K35" si="5">SUM(J3*10)</f>
        <v>167283.6</v>
      </c>
      <c r="L3" s="126">
        <v>1200</v>
      </c>
      <c r="M3" s="128">
        <f t="shared" ref="M3:M35" si="6">SUM(L3/K3*100)</f>
        <v>0.71734467694382475</v>
      </c>
      <c r="N3" s="328">
        <f t="shared" ref="N3:N35" si="7">SUM(J3/53*41*1.836)</f>
        <v>23759.321270943401</v>
      </c>
      <c r="O3" s="119"/>
      <c r="Q3" s="1"/>
      <c r="R3" s="1"/>
      <c r="S3" s="3"/>
    </row>
    <row r="4" spans="1:19" ht="15.75">
      <c r="A4" s="326">
        <v>310</v>
      </c>
      <c r="B4" s="120">
        <v>0.23</v>
      </c>
      <c r="C4" s="121">
        <f t="shared" si="0"/>
        <v>71.3</v>
      </c>
      <c r="D4" s="120">
        <v>0.88</v>
      </c>
      <c r="E4" s="122">
        <f t="shared" si="1"/>
        <v>62.744</v>
      </c>
      <c r="F4" s="123">
        <v>0.05</v>
      </c>
      <c r="G4" s="122">
        <f t="shared" si="2"/>
        <v>3.1372</v>
      </c>
      <c r="H4" s="122">
        <f t="shared" si="3"/>
        <v>59.6068</v>
      </c>
      <c r="I4" s="124">
        <v>290</v>
      </c>
      <c r="J4" s="125">
        <f t="shared" si="4"/>
        <v>17285.972000000002</v>
      </c>
      <c r="K4" s="125">
        <f t="shared" si="5"/>
        <v>172859.72000000003</v>
      </c>
      <c r="L4" s="126">
        <v>1200</v>
      </c>
      <c r="M4" s="128">
        <f t="shared" si="6"/>
        <v>0.69420452607466898</v>
      </c>
      <c r="N4" s="328">
        <f t="shared" si="7"/>
        <v>24551.298646641517</v>
      </c>
      <c r="Q4" s="4"/>
      <c r="S4" s="3"/>
    </row>
    <row r="5" spans="1:19" ht="15.75">
      <c r="A5" s="326">
        <v>320</v>
      </c>
      <c r="B5" s="120">
        <v>0.23</v>
      </c>
      <c r="C5" s="121">
        <f t="shared" si="0"/>
        <v>73.600000000000009</v>
      </c>
      <c r="D5" s="120">
        <v>0.88</v>
      </c>
      <c r="E5" s="122">
        <f t="shared" si="1"/>
        <v>64.768000000000015</v>
      </c>
      <c r="F5" s="123">
        <v>0.05</v>
      </c>
      <c r="G5" s="122">
        <f t="shared" si="2"/>
        <v>3.2384000000000008</v>
      </c>
      <c r="H5" s="122">
        <f t="shared" si="3"/>
        <v>61.529600000000016</v>
      </c>
      <c r="I5" s="124">
        <v>290</v>
      </c>
      <c r="J5" s="125">
        <f t="shared" si="4"/>
        <v>17843.584000000006</v>
      </c>
      <c r="K5" s="125">
        <f t="shared" si="5"/>
        <v>178435.84000000005</v>
      </c>
      <c r="L5" s="126">
        <v>1200</v>
      </c>
      <c r="M5" s="128">
        <f t="shared" si="6"/>
        <v>0.67251063463483551</v>
      </c>
      <c r="N5" s="328">
        <f t="shared" si="7"/>
        <v>25343.276022339633</v>
      </c>
      <c r="Q5" s="4"/>
      <c r="S5" s="3"/>
    </row>
    <row r="6" spans="1:19" ht="15.75">
      <c r="A6" s="326">
        <v>330</v>
      </c>
      <c r="B6" s="120">
        <v>0.23</v>
      </c>
      <c r="C6" s="121">
        <f t="shared" si="0"/>
        <v>75.900000000000006</v>
      </c>
      <c r="D6" s="120">
        <v>0.88</v>
      </c>
      <c r="E6" s="122">
        <f t="shared" si="1"/>
        <v>66.792000000000002</v>
      </c>
      <c r="F6" s="123">
        <v>0.05</v>
      </c>
      <c r="G6" s="122">
        <f t="shared" si="2"/>
        <v>3.3396000000000003</v>
      </c>
      <c r="H6" s="122">
        <f t="shared" si="3"/>
        <v>63.452400000000004</v>
      </c>
      <c r="I6" s="124">
        <v>290</v>
      </c>
      <c r="J6" s="125">
        <f t="shared" si="4"/>
        <v>18401.196</v>
      </c>
      <c r="K6" s="125">
        <f t="shared" si="5"/>
        <v>184011.96</v>
      </c>
      <c r="L6" s="126">
        <v>1200</v>
      </c>
      <c r="M6" s="128">
        <f t="shared" si="6"/>
        <v>0.65213152449438616</v>
      </c>
      <c r="N6" s="328">
        <f t="shared" si="7"/>
        <v>26135.253398037734</v>
      </c>
      <c r="Q6" s="4"/>
      <c r="S6" s="3"/>
    </row>
    <row r="7" spans="1:19" ht="15.75">
      <c r="A7" s="326">
        <v>340</v>
      </c>
      <c r="B7" s="120">
        <v>0.23</v>
      </c>
      <c r="C7" s="121">
        <f t="shared" si="0"/>
        <v>78.2</v>
      </c>
      <c r="D7" s="120">
        <v>0.88</v>
      </c>
      <c r="E7" s="122">
        <f t="shared" si="1"/>
        <v>68.816000000000003</v>
      </c>
      <c r="F7" s="123">
        <v>0.05</v>
      </c>
      <c r="G7" s="122">
        <f t="shared" si="2"/>
        <v>3.4408000000000003</v>
      </c>
      <c r="H7" s="122">
        <f t="shared" si="3"/>
        <v>65.375200000000007</v>
      </c>
      <c r="I7" s="124">
        <v>290</v>
      </c>
      <c r="J7" s="125">
        <f t="shared" si="4"/>
        <v>18958.808000000001</v>
      </c>
      <c r="K7" s="125">
        <f t="shared" si="5"/>
        <v>189588.08000000002</v>
      </c>
      <c r="L7" s="126">
        <v>1200</v>
      </c>
      <c r="M7" s="128">
        <f t="shared" si="6"/>
        <v>0.6329511855386688</v>
      </c>
      <c r="N7" s="328">
        <f t="shared" si="7"/>
        <v>26927.230773735853</v>
      </c>
      <c r="Q7" s="5"/>
      <c r="S7" s="3"/>
    </row>
    <row r="8" spans="1:19" ht="15.75">
      <c r="A8" s="326">
        <v>350</v>
      </c>
      <c r="B8" s="120">
        <v>0.23</v>
      </c>
      <c r="C8" s="121">
        <f t="shared" si="0"/>
        <v>80.5</v>
      </c>
      <c r="D8" s="120">
        <v>0.88</v>
      </c>
      <c r="E8" s="122">
        <f t="shared" si="1"/>
        <v>70.84</v>
      </c>
      <c r="F8" s="123">
        <v>0.05</v>
      </c>
      <c r="G8" s="122">
        <f t="shared" si="2"/>
        <v>3.5420000000000003</v>
      </c>
      <c r="H8" s="122">
        <f t="shared" si="3"/>
        <v>67.298000000000002</v>
      </c>
      <c r="I8" s="124">
        <v>290</v>
      </c>
      <c r="J8" s="125">
        <f t="shared" si="4"/>
        <v>19516.420000000002</v>
      </c>
      <c r="K8" s="125">
        <f t="shared" si="5"/>
        <v>195164.2</v>
      </c>
      <c r="L8" s="126">
        <v>1200</v>
      </c>
      <c r="M8" s="128">
        <f t="shared" si="6"/>
        <v>0.61486686595184969</v>
      </c>
      <c r="N8" s="328">
        <f t="shared" si="7"/>
        <v>27719.208149433965</v>
      </c>
      <c r="S8" s="3"/>
    </row>
    <row r="9" spans="1:19" ht="15.75">
      <c r="A9" s="326">
        <v>360</v>
      </c>
      <c r="B9" s="120">
        <v>0.23</v>
      </c>
      <c r="C9" s="121">
        <f t="shared" si="0"/>
        <v>82.8</v>
      </c>
      <c r="D9" s="120">
        <v>0.88</v>
      </c>
      <c r="E9" s="122">
        <f t="shared" si="1"/>
        <v>72.864000000000004</v>
      </c>
      <c r="F9" s="123">
        <v>0.05</v>
      </c>
      <c r="G9" s="122">
        <f t="shared" si="2"/>
        <v>3.6432000000000002</v>
      </c>
      <c r="H9" s="122">
        <f t="shared" si="3"/>
        <v>69.220799999999997</v>
      </c>
      <c r="I9" s="124">
        <v>290</v>
      </c>
      <c r="J9" s="125">
        <f t="shared" si="4"/>
        <v>20074.031999999999</v>
      </c>
      <c r="K9" s="125">
        <f t="shared" si="5"/>
        <v>200740.32</v>
      </c>
      <c r="L9" s="126">
        <v>1200</v>
      </c>
      <c r="M9" s="128">
        <f t="shared" si="6"/>
        <v>0.59778723078652063</v>
      </c>
      <c r="N9" s="328">
        <f t="shared" si="7"/>
        <v>28511.185525132078</v>
      </c>
      <c r="S9" s="3"/>
    </row>
    <row r="10" spans="1:19" ht="15.75">
      <c r="A10" s="326">
        <v>370</v>
      </c>
      <c r="B10" s="120">
        <v>0.23</v>
      </c>
      <c r="C10" s="121">
        <f t="shared" si="0"/>
        <v>85.100000000000009</v>
      </c>
      <c r="D10" s="120">
        <v>0.88</v>
      </c>
      <c r="E10" s="122">
        <f t="shared" si="1"/>
        <v>74.888000000000005</v>
      </c>
      <c r="F10" s="123">
        <v>0.05</v>
      </c>
      <c r="G10" s="122">
        <f t="shared" si="2"/>
        <v>3.7444000000000006</v>
      </c>
      <c r="H10" s="122">
        <f t="shared" si="3"/>
        <v>71.143600000000006</v>
      </c>
      <c r="I10" s="124">
        <v>290</v>
      </c>
      <c r="J10" s="125">
        <f t="shared" si="4"/>
        <v>20631.644</v>
      </c>
      <c r="K10" s="125">
        <f t="shared" si="5"/>
        <v>206316.44</v>
      </c>
      <c r="L10" s="126">
        <v>1200</v>
      </c>
      <c r="M10" s="128">
        <f t="shared" si="6"/>
        <v>0.58163081914364168</v>
      </c>
      <c r="N10" s="328">
        <f t="shared" si="7"/>
        <v>29303.16290083019</v>
      </c>
      <c r="S10" s="3"/>
    </row>
    <row r="11" spans="1:19" ht="15.75">
      <c r="A11" s="326">
        <v>380</v>
      </c>
      <c r="B11" s="120">
        <v>0.23</v>
      </c>
      <c r="C11" s="121">
        <f t="shared" si="0"/>
        <v>87.4</v>
      </c>
      <c r="D11" s="120">
        <v>0.88</v>
      </c>
      <c r="E11" s="122">
        <f t="shared" si="1"/>
        <v>76.912000000000006</v>
      </c>
      <c r="F11" s="123">
        <v>0.05</v>
      </c>
      <c r="G11" s="122">
        <f t="shared" si="2"/>
        <v>3.8456000000000006</v>
      </c>
      <c r="H11" s="122">
        <f t="shared" si="3"/>
        <v>73.066400000000002</v>
      </c>
      <c r="I11" s="124">
        <v>290</v>
      </c>
      <c r="J11" s="125">
        <f t="shared" si="4"/>
        <v>21189.256000000001</v>
      </c>
      <c r="K11" s="125">
        <f t="shared" si="5"/>
        <v>211892.56</v>
      </c>
      <c r="L11" s="126">
        <v>1200</v>
      </c>
      <c r="M11" s="128">
        <f t="shared" si="6"/>
        <v>0.5663247449556511</v>
      </c>
      <c r="N11" s="328">
        <f t="shared" si="7"/>
        <v>30095.140276528306</v>
      </c>
      <c r="S11" s="3"/>
    </row>
    <row r="12" spans="1:19" ht="15.75">
      <c r="A12" s="326">
        <v>390</v>
      </c>
      <c r="B12" s="120">
        <v>0.23</v>
      </c>
      <c r="C12" s="121">
        <f t="shared" si="0"/>
        <v>89.7</v>
      </c>
      <c r="D12" s="120">
        <v>0.88</v>
      </c>
      <c r="E12" s="122">
        <f t="shared" si="1"/>
        <v>78.936000000000007</v>
      </c>
      <c r="F12" s="123">
        <v>0.05</v>
      </c>
      <c r="G12" s="122">
        <f t="shared" si="2"/>
        <v>3.9468000000000005</v>
      </c>
      <c r="H12" s="122">
        <f t="shared" si="3"/>
        <v>74.989200000000011</v>
      </c>
      <c r="I12" s="124">
        <v>290</v>
      </c>
      <c r="J12" s="125">
        <f t="shared" si="4"/>
        <v>21746.868000000002</v>
      </c>
      <c r="K12" s="125">
        <f t="shared" si="5"/>
        <v>217468.68000000002</v>
      </c>
      <c r="L12" s="126">
        <v>1200</v>
      </c>
      <c r="M12" s="128">
        <f t="shared" si="6"/>
        <v>0.55180359764909581</v>
      </c>
      <c r="N12" s="328">
        <f t="shared" si="7"/>
        <v>30887.117652226418</v>
      </c>
      <c r="S12" s="3"/>
    </row>
    <row r="13" spans="1:19" ht="15.75">
      <c r="A13" s="326">
        <v>400</v>
      </c>
      <c r="B13" s="120">
        <v>0.23</v>
      </c>
      <c r="C13" s="121">
        <f t="shared" si="0"/>
        <v>92</v>
      </c>
      <c r="D13" s="120">
        <v>0.88</v>
      </c>
      <c r="E13" s="122">
        <f t="shared" si="1"/>
        <v>80.959999999999994</v>
      </c>
      <c r="F13" s="123">
        <v>0.05</v>
      </c>
      <c r="G13" s="122">
        <f t="shared" si="2"/>
        <v>4.048</v>
      </c>
      <c r="H13" s="122">
        <f t="shared" si="3"/>
        <v>76.911999999999992</v>
      </c>
      <c r="I13" s="124">
        <v>290</v>
      </c>
      <c r="J13" s="125">
        <f t="shared" si="4"/>
        <v>22304.479999999996</v>
      </c>
      <c r="K13" s="125">
        <f t="shared" si="5"/>
        <v>223044.79999999996</v>
      </c>
      <c r="L13" s="126">
        <v>1200</v>
      </c>
      <c r="M13" s="128">
        <f t="shared" si="6"/>
        <v>0.53800850770786868</v>
      </c>
      <c r="N13" s="328">
        <f t="shared" si="7"/>
        <v>31679.095027924523</v>
      </c>
      <c r="Q13" s="99"/>
    </row>
    <row r="14" spans="1:19" ht="15.75">
      <c r="A14" s="326">
        <v>410</v>
      </c>
      <c r="B14" s="120">
        <v>0.23</v>
      </c>
      <c r="C14" s="121">
        <f t="shared" si="0"/>
        <v>94.3</v>
      </c>
      <c r="D14" s="120">
        <v>0.88</v>
      </c>
      <c r="E14" s="122">
        <f t="shared" si="1"/>
        <v>82.983999999999995</v>
      </c>
      <c r="F14" s="123">
        <v>0.05</v>
      </c>
      <c r="G14" s="122">
        <f t="shared" si="2"/>
        <v>4.1491999999999996</v>
      </c>
      <c r="H14" s="122">
        <f t="shared" si="3"/>
        <v>78.834800000000001</v>
      </c>
      <c r="I14" s="124">
        <v>290</v>
      </c>
      <c r="J14" s="125">
        <f t="shared" si="4"/>
        <v>22862.092000000001</v>
      </c>
      <c r="K14" s="125">
        <f t="shared" si="5"/>
        <v>228620.92</v>
      </c>
      <c r="L14" s="126">
        <v>1200</v>
      </c>
      <c r="M14" s="128">
        <f t="shared" si="6"/>
        <v>0.52488634898328634</v>
      </c>
      <c r="N14" s="328">
        <f t="shared" si="7"/>
        <v>32471.072403622642</v>
      </c>
      <c r="Q14" s="228"/>
    </row>
    <row r="15" spans="1:19" ht="15.75">
      <c r="A15" s="326">
        <v>420</v>
      </c>
      <c r="B15" s="120">
        <v>0.23</v>
      </c>
      <c r="C15" s="121">
        <f t="shared" si="0"/>
        <v>96.600000000000009</v>
      </c>
      <c r="D15" s="120">
        <v>0.88</v>
      </c>
      <c r="E15" s="122">
        <f t="shared" si="1"/>
        <v>85.00800000000001</v>
      </c>
      <c r="F15" s="123">
        <v>0.05</v>
      </c>
      <c r="G15" s="122">
        <f t="shared" si="2"/>
        <v>4.2504000000000008</v>
      </c>
      <c r="H15" s="122">
        <f t="shared" si="3"/>
        <v>80.757600000000011</v>
      </c>
      <c r="I15" s="124">
        <v>290</v>
      </c>
      <c r="J15" s="125">
        <f t="shared" si="4"/>
        <v>23419.704000000002</v>
      </c>
      <c r="K15" s="125">
        <f t="shared" si="5"/>
        <v>234197.04</v>
      </c>
      <c r="L15" s="126">
        <v>1200</v>
      </c>
      <c r="M15" s="128">
        <f t="shared" si="6"/>
        <v>0.51238905495987486</v>
      </c>
      <c r="N15" s="328">
        <f t="shared" si="7"/>
        <v>33263.049779320754</v>
      </c>
      <c r="Q15" s="228"/>
    </row>
    <row r="16" spans="1:19" ht="15.75">
      <c r="A16" s="326">
        <v>430</v>
      </c>
      <c r="B16" s="120">
        <v>0.23</v>
      </c>
      <c r="C16" s="121">
        <f t="shared" si="0"/>
        <v>98.9</v>
      </c>
      <c r="D16" s="120">
        <v>0.88</v>
      </c>
      <c r="E16" s="122">
        <f t="shared" si="1"/>
        <v>87.032000000000011</v>
      </c>
      <c r="F16" s="123">
        <v>0.05</v>
      </c>
      <c r="G16" s="122">
        <f t="shared" si="2"/>
        <v>4.3516000000000004</v>
      </c>
      <c r="H16" s="122">
        <f t="shared" si="3"/>
        <v>82.680400000000006</v>
      </c>
      <c r="I16" s="124">
        <v>290</v>
      </c>
      <c r="J16" s="125">
        <f t="shared" si="4"/>
        <v>23977.316000000003</v>
      </c>
      <c r="K16" s="125">
        <f t="shared" si="5"/>
        <v>239773.16000000003</v>
      </c>
      <c r="L16" s="126">
        <v>1200</v>
      </c>
      <c r="M16" s="128">
        <f t="shared" si="6"/>
        <v>0.50047303042592417</v>
      </c>
      <c r="N16" s="328">
        <f t="shared" si="7"/>
        <v>34055.027155018877</v>
      </c>
    </row>
    <row r="17" spans="1:19" ht="15.75">
      <c r="A17" s="326">
        <v>440</v>
      </c>
      <c r="B17" s="120">
        <v>0.23</v>
      </c>
      <c r="C17" s="121">
        <f t="shared" si="0"/>
        <v>101.2</v>
      </c>
      <c r="D17" s="120">
        <v>0.88</v>
      </c>
      <c r="E17" s="122">
        <f t="shared" si="1"/>
        <v>89.055999999999997</v>
      </c>
      <c r="F17" s="123">
        <v>0.05</v>
      </c>
      <c r="G17" s="122">
        <f t="shared" si="2"/>
        <v>4.4527999999999999</v>
      </c>
      <c r="H17" s="122">
        <f t="shared" si="3"/>
        <v>84.603200000000001</v>
      </c>
      <c r="I17" s="124">
        <v>290</v>
      </c>
      <c r="J17" s="125">
        <f t="shared" si="4"/>
        <v>24534.928</v>
      </c>
      <c r="K17" s="125">
        <f t="shared" si="5"/>
        <v>245349.28</v>
      </c>
      <c r="L17" s="126">
        <v>1200</v>
      </c>
      <c r="M17" s="128">
        <f t="shared" si="6"/>
        <v>0.48909864337078957</v>
      </c>
      <c r="N17" s="328">
        <f t="shared" si="7"/>
        <v>34847.004530716978</v>
      </c>
      <c r="O17" s="228"/>
    </row>
    <row r="18" spans="1:19" ht="15.75">
      <c r="A18" s="326">
        <v>450</v>
      </c>
      <c r="B18" s="120">
        <v>0.23</v>
      </c>
      <c r="C18" s="247">
        <f t="shared" si="0"/>
        <v>103.5</v>
      </c>
      <c r="D18" s="246">
        <v>0.88</v>
      </c>
      <c r="E18" s="248">
        <f t="shared" si="1"/>
        <v>91.08</v>
      </c>
      <c r="F18" s="249">
        <v>0.05</v>
      </c>
      <c r="G18" s="248">
        <f t="shared" si="2"/>
        <v>4.5540000000000003</v>
      </c>
      <c r="H18" s="248">
        <f t="shared" si="3"/>
        <v>86.525999999999996</v>
      </c>
      <c r="I18" s="124">
        <v>290</v>
      </c>
      <c r="J18" s="250">
        <f t="shared" si="4"/>
        <v>25092.539999999997</v>
      </c>
      <c r="K18" s="250">
        <f t="shared" si="5"/>
        <v>250925.39999999997</v>
      </c>
      <c r="L18" s="126">
        <v>1200</v>
      </c>
      <c r="M18" s="251">
        <f t="shared" si="6"/>
        <v>0.4782297846292165</v>
      </c>
      <c r="N18" s="329">
        <f t="shared" si="7"/>
        <v>35638.981906415087</v>
      </c>
    </row>
    <row r="19" spans="1:19" ht="15.75">
      <c r="A19" s="330">
        <v>460</v>
      </c>
      <c r="B19" s="120">
        <v>0.23</v>
      </c>
      <c r="C19" s="253">
        <f t="shared" si="0"/>
        <v>105.80000000000001</v>
      </c>
      <c r="D19" s="252">
        <v>0.88</v>
      </c>
      <c r="E19" s="254">
        <f t="shared" si="1"/>
        <v>93.104000000000013</v>
      </c>
      <c r="F19" s="255">
        <v>0.05</v>
      </c>
      <c r="G19" s="254">
        <f t="shared" si="2"/>
        <v>4.6552000000000007</v>
      </c>
      <c r="H19" s="254">
        <f t="shared" si="3"/>
        <v>88.448800000000006</v>
      </c>
      <c r="I19" s="124">
        <v>290</v>
      </c>
      <c r="J19" s="256">
        <f t="shared" si="4"/>
        <v>25650.152000000002</v>
      </c>
      <c r="K19" s="256">
        <f t="shared" si="5"/>
        <v>256501.52000000002</v>
      </c>
      <c r="L19" s="126">
        <v>1200</v>
      </c>
      <c r="M19" s="257">
        <f t="shared" si="6"/>
        <v>0.46783348496336397</v>
      </c>
      <c r="N19" s="331">
        <f t="shared" si="7"/>
        <v>36430.95928211321</v>
      </c>
    </row>
    <row r="20" spans="1:19" ht="15.75">
      <c r="A20" s="330">
        <v>470</v>
      </c>
      <c r="B20" s="120">
        <v>0.23</v>
      </c>
      <c r="C20" s="253">
        <f t="shared" si="0"/>
        <v>108.10000000000001</v>
      </c>
      <c r="D20" s="252">
        <v>0.88</v>
      </c>
      <c r="E20" s="254">
        <f t="shared" si="1"/>
        <v>95.128000000000014</v>
      </c>
      <c r="F20" s="255">
        <v>0.05</v>
      </c>
      <c r="G20" s="254">
        <f t="shared" si="2"/>
        <v>4.7564000000000011</v>
      </c>
      <c r="H20" s="254">
        <f t="shared" si="3"/>
        <v>90.371600000000015</v>
      </c>
      <c r="I20" s="124">
        <v>290</v>
      </c>
      <c r="J20" s="256">
        <f t="shared" si="4"/>
        <v>26207.764000000003</v>
      </c>
      <c r="K20" s="256">
        <f t="shared" si="5"/>
        <v>262077.64</v>
      </c>
      <c r="L20" s="126">
        <v>1200</v>
      </c>
      <c r="M20" s="257">
        <f t="shared" si="6"/>
        <v>0.45787958102797321</v>
      </c>
      <c r="N20" s="331">
        <f t="shared" si="7"/>
        <v>37222.936657811326</v>
      </c>
    </row>
    <row r="21" spans="1:19" ht="15.75">
      <c r="A21" s="330">
        <v>480</v>
      </c>
      <c r="B21" s="120">
        <v>0.23</v>
      </c>
      <c r="C21" s="253">
        <f t="shared" si="0"/>
        <v>110.4</v>
      </c>
      <c r="D21" s="252">
        <v>0.88</v>
      </c>
      <c r="E21" s="254">
        <f t="shared" si="1"/>
        <v>97.152000000000001</v>
      </c>
      <c r="F21" s="255">
        <v>0.05</v>
      </c>
      <c r="G21" s="254">
        <f t="shared" si="2"/>
        <v>4.8576000000000006</v>
      </c>
      <c r="H21" s="254">
        <f t="shared" si="3"/>
        <v>92.294399999999996</v>
      </c>
      <c r="I21" s="124">
        <v>290</v>
      </c>
      <c r="J21" s="256">
        <f t="shared" si="4"/>
        <v>26765.376</v>
      </c>
      <c r="K21" s="256">
        <f t="shared" si="5"/>
        <v>267653.76000000001</v>
      </c>
      <c r="L21" s="126">
        <v>1200</v>
      </c>
      <c r="M21" s="257">
        <f t="shared" si="6"/>
        <v>0.44834042308989042</v>
      </c>
      <c r="N21" s="331">
        <f t="shared" si="7"/>
        <v>38014.914033509442</v>
      </c>
    </row>
    <row r="22" spans="1:19" ht="15.75">
      <c r="A22" s="330">
        <v>490</v>
      </c>
      <c r="B22" s="120">
        <v>0.23</v>
      </c>
      <c r="C22" s="253">
        <f t="shared" si="0"/>
        <v>112.7</v>
      </c>
      <c r="D22" s="252">
        <v>0.88</v>
      </c>
      <c r="E22" s="254">
        <f t="shared" si="1"/>
        <v>99.176000000000002</v>
      </c>
      <c r="F22" s="255">
        <v>0.05</v>
      </c>
      <c r="G22" s="254">
        <f t="shared" si="2"/>
        <v>4.9588000000000001</v>
      </c>
      <c r="H22" s="254">
        <f t="shared" si="3"/>
        <v>94.217200000000005</v>
      </c>
      <c r="I22" s="124">
        <v>290</v>
      </c>
      <c r="J22" s="256">
        <f t="shared" si="4"/>
        <v>27322.988000000001</v>
      </c>
      <c r="K22" s="256">
        <f t="shared" si="5"/>
        <v>273229.88</v>
      </c>
      <c r="L22" s="126">
        <v>1200</v>
      </c>
      <c r="M22" s="257">
        <f t="shared" si="6"/>
        <v>0.43919061853703556</v>
      </c>
      <c r="N22" s="331">
        <f t="shared" si="7"/>
        <v>38806.89140920755</v>
      </c>
    </row>
    <row r="23" spans="1:19" ht="15.75">
      <c r="A23" s="330">
        <v>500</v>
      </c>
      <c r="B23" s="120">
        <v>0.23</v>
      </c>
      <c r="C23" s="253">
        <f t="shared" si="0"/>
        <v>115</v>
      </c>
      <c r="D23" s="252">
        <v>0.88</v>
      </c>
      <c r="E23" s="254">
        <f t="shared" si="1"/>
        <v>101.2</v>
      </c>
      <c r="F23" s="255">
        <v>0.05</v>
      </c>
      <c r="G23" s="254">
        <f t="shared" si="2"/>
        <v>5.0600000000000005</v>
      </c>
      <c r="H23" s="254">
        <f t="shared" si="3"/>
        <v>96.14</v>
      </c>
      <c r="I23" s="124">
        <v>290</v>
      </c>
      <c r="J23" s="256">
        <f t="shared" si="4"/>
        <v>27880.6</v>
      </c>
      <c r="K23" s="256">
        <f t="shared" si="5"/>
        <v>278806</v>
      </c>
      <c r="L23" s="126">
        <v>1200</v>
      </c>
      <c r="M23" s="257">
        <f t="shared" si="6"/>
        <v>0.43040680616629484</v>
      </c>
      <c r="N23" s="331">
        <f t="shared" si="7"/>
        <v>39598.868784905666</v>
      </c>
    </row>
    <row r="24" spans="1:19" ht="15.75">
      <c r="A24" s="330">
        <v>510</v>
      </c>
      <c r="B24" s="120">
        <v>0.23</v>
      </c>
      <c r="C24" s="253">
        <f t="shared" si="0"/>
        <v>117.30000000000001</v>
      </c>
      <c r="D24" s="252">
        <v>0.88</v>
      </c>
      <c r="E24" s="254">
        <f t="shared" si="1"/>
        <v>103.224</v>
      </c>
      <c r="F24" s="255">
        <v>0.05</v>
      </c>
      <c r="G24" s="254">
        <f t="shared" si="2"/>
        <v>5.1612000000000009</v>
      </c>
      <c r="H24" s="254">
        <f t="shared" si="3"/>
        <v>98.06280000000001</v>
      </c>
      <c r="I24" s="124">
        <v>290</v>
      </c>
      <c r="J24" s="256">
        <f t="shared" si="4"/>
        <v>28438.212000000003</v>
      </c>
      <c r="K24" s="256">
        <f t="shared" si="5"/>
        <v>284382.12000000005</v>
      </c>
      <c r="L24" s="126">
        <v>1200</v>
      </c>
      <c r="M24" s="257">
        <f t="shared" si="6"/>
        <v>0.4219674570257792</v>
      </c>
      <c r="N24" s="331">
        <f t="shared" si="7"/>
        <v>40390.846160603782</v>
      </c>
    </row>
    <row r="25" spans="1:19" ht="15.75">
      <c r="A25" s="330">
        <v>520</v>
      </c>
      <c r="B25" s="120">
        <v>0.23</v>
      </c>
      <c r="C25" s="253">
        <f t="shared" si="0"/>
        <v>119.60000000000001</v>
      </c>
      <c r="D25" s="252">
        <v>0.88</v>
      </c>
      <c r="E25" s="254">
        <f t="shared" si="1"/>
        <v>105.248</v>
      </c>
      <c r="F25" s="255">
        <v>0.05</v>
      </c>
      <c r="G25" s="254">
        <f t="shared" si="2"/>
        <v>5.2624000000000004</v>
      </c>
      <c r="H25" s="254">
        <f t="shared" si="3"/>
        <v>99.985600000000005</v>
      </c>
      <c r="I25" s="124">
        <v>290</v>
      </c>
      <c r="J25" s="256">
        <f t="shared" si="4"/>
        <v>28995.824000000001</v>
      </c>
      <c r="K25" s="256">
        <f t="shared" si="5"/>
        <v>289958.24</v>
      </c>
      <c r="L25" s="126">
        <v>1200</v>
      </c>
      <c r="M25" s="257">
        <f t="shared" si="6"/>
        <v>0.41385269823682197</v>
      </c>
      <c r="N25" s="331">
        <f t="shared" si="7"/>
        <v>41182.82353630189</v>
      </c>
    </row>
    <row r="26" spans="1:19" ht="15.75">
      <c r="A26" s="330">
        <v>530</v>
      </c>
      <c r="B26" s="120">
        <v>0.23</v>
      </c>
      <c r="C26" s="253">
        <f t="shared" si="0"/>
        <v>121.9</v>
      </c>
      <c r="D26" s="252">
        <v>0.88</v>
      </c>
      <c r="E26" s="254">
        <f t="shared" si="1"/>
        <v>107.27200000000001</v>
      </c>
      <c r="F26" s="255">
        <v>0.05</v>
      </c>
      <c r="G26" s="254">
        <f t="shared" si="2"/>
        <v>5.3636000000000008</v>
      </c>
      <c r="H26" s="254">
        <f t="shared" si="3"/>
        <v>101.9084</v>
      </c>
      <c r="I26" s="124">
        <v>290</v>
      </c>
      <c r="J26" s="256">
        <f t="shared" si="4"/>
        <v>29553.436000000002</v>
      </c>
      <c r="K26" s="256">
        <f t="shared" si="5"/>
        <v>295534.36</v>
      </c>
      <c r="L26" s="126">
        <v>1200</v>
      </c>
      <c r="M26" s="257">
        <f t="shared" si="6"/>
        <v>0.40604415676065553</v>
      </c>
      <c r="N26" s="331">
        <f t="shared" si="7"/>
        <v>41974.800912000006</v>
      </c>
    </row>
    <row r="27" spans="1:19" ht="15.75">
      <c r="A27" s="330">
        <v>540</v>
      </c>
      <c r="B27" s="120">
        <v>0.23</v>
      </c>
      <c r="C27" s="253">
        <f t="shared" si="0"/>
        <v>124.2</v>
      </c>
      <c r="D27" s="252">
        <v>0.88</v>
      </c>
      <c r="E27" s="254">
        <f t="shared" si="1"/>
        <v>109.29600000000001</v>
      </c>
      <c r="F27" s="255">
        <v>0.05</v>
      </c>
      <c r="G27" s="254">
        <f t="shared" si="2"/>
        <v>5.4648000000000003</v>
      </c>
      <c r="H27" s="254">
        <f t="shared" si="3"/>
        <v>103.83120000000001</v>
      </c>
      <c r="I27" s="124">
        <v>290</v>
      </c>
      <c r="J27" s="256">
        <f t="shared" si="4"/>
        <v>30111.048000000003</v>
      </c>
      <c r="K27" s="256">
        <f t="shared" si="5"/>
        <v>301110.48000000004</v>
      </c>
      <c r="L27" s="126">
        <v>1200</v>
      </c>
      <c r="M27" s="257">
        <f t="shared" si="6"/>
        <v>0.39852482052434701</v>
      </c>
      <c r="N27" s="331">
        <f t="shared" si="7"/>
        <v>42766.778287698122</v>
      </c>
    </row>
    <row r="28" spans="1:19" ht="15.75">
      <c r="A28" s="330">
        <v>550</v>
      </c>
      <c r="B28" s="120">
        <v>0.23</v>
      </c>
      <c r="C28" s="253">
        <f t="shared" si="0"/>
        <v>126.5</v>
      </c>
      <c r="D28" s="252">
        <v>0.88</v>
      </c>
      <c r="E28" s="254">
        <f t="shared" si="1"/>
        <v>111.32000000000001</v>
      </c>
      <c r="F28" s="255">
        <v>0.05</v>
      </c>
      <c r="G28" s="254">
        <f t="shared" si="2"/>
        <v>5.5660000000000007</v>
      </c>
      <c r="H28" s="254">
        <f t="shared" si="3"/>
        <v>105.754</v>
      </c>
      <c r="I28" s="124">
        <v>290</v>
      </c>
      <c r="J28" s="256">
        <f t="shared" si="4"/>
        <v>30668.66</v>
      </c>
      <c r="K28" s="256">
        <f t="shared" si="5"/>
        <v>306686.59999999998</v>
      </c>
      <c r="L28" s="126">
        <v>1200</v>
      </c>
      <c r="M28" s="257">
        <f t="shared" si="6"/>
        <v>0.39127891469663173</v>
      </c>
      <c r="N28" s="331">
        <f t="shared" si="7"/>
        <v>43558.755663396223</v>
      </c>
    </row>
    <row r="29" spans="1:19" ht="15.75">
      <c r="A29" s="330">
        <v>560</v>
      </c>
      <c r="B29" s="120">
        <v>0.23</v>
      </c>
      <c r="C29" s="253">
        <f t="shared" si="0"/>
        <v>128.80000000000001</v>
      </c>
      <c r="D29" s="252">
        <v>0.88</v>
      </c>
      <c r="E29" s="254">
        <f t="shared" si="1"/>
        <v>113.34400000000001</v>
      </c>
      <c r="F29" s="255">
        <v>0.05</v>
      </c>
      <c r="G29" s="254">
        <f t="shared" si="2"/>
        <v>5.6672000000000011</v>
      </c>
      <c r="H29" s="254">
        <f t="shared" si="3"/>
        <v>107.67680000000001</v>
      </c>
      <c r="I29" s="124">
        <v>290</v>
      </c>
      <c r="J29" s="256">
        <f t="shared" si="4"/>
        <v>31226.272000000004</v>
      </c>
      <c r="K29" s="256">
        <f t="shared" si="5"/>
        <v>312262.72000000003</v>
      </c>
      <c r="L29" s="126">
        <v>1200</v>
      </c>
      <c r="M29" s="257">
        <f t="shared" si="6"/>
        <v>0.38429179121990609</v>
      </c>
      <c r="N29" s="331">
        <f t="shared" si="7"/>
        <v>44350.733039094346</v>
      </c>
    </row>
    <row r="30" spans="1:19" ht="15.75">
      <c r="A30" s="330">
        <v>570</v>
      </c>
      <c r="B30" s="120">
        <v>0.23</v>
      </c>
      <c r="C30" s="253">
        <f t="shared" si="0"/>
        <v>131.1</v>
      </c>
      <c r="D30" s="252">
        <v>0.88</v>
      </c>
      <c r="E30" s="254">
        <f t="shared" si="1"/>
        <v>115.36799999999999</v>
      </c>
      <c r="F30" s="255">
        <v>0.05</v>
      </c>
      <c r="G30" s="254">
        <f t="shared" si="2"/>
        <v>5.7683999999999997</v>
      </c>
      <c r="H30" s="254">
        <f t="shared" si="3"/>
        <v>109.5996</v>
      </c>
      <c r="I30" s="124">
        <v>290</v>
      </c>
      <c r="J30" s="256">
        <f t="shared" si="4"/>
        <v>31783.883999999998</v>
      </c>
      <c r="K30" s="256">
        <f t="shared" si="5"/>
        <v>317838.83999999997</v>
      </c>
      <c r="L30" s="126">
        <v>1200</v>
      </c>
      <c r="M30" s="257">
        <f t="shared" si="6"/>
        <v>0.37754982997043413</v>
      </c>
      <c r="N30" s="331">
        <f t="shared" si="7"/>
        <v>45142.710414792447</v>
      </c>
    </row>
    <row r="31" spans="1:19" ht="15.75">
      <c r="A31" s="330">
        <v>580</v>
      </c>
      <c r="B31" s="120">
        <v>0.23</v>
      </c>
      <c r="C31" s="253">
        <f t="shared" si="0"/>
        <v>133.4</v>
      </c>
      <c r="D31" s="252">
        <v>0.88</v>
      </c>
      <c r="E31" s="254">
        <f t="shared" si="1"/>
        <v>117.39200000000001</v>
      </c>
      <c r="F31" s="255">
        <v>0.05</v>
      </c>
      <c r="G31" s="254">
        <f t="shared" si="2"/>
        <v>5.869600000000001</v>
      </c>
      <c r="H31" s="254">
        <f t="shared" si="3"/>
        <v>111.5224</v>
      </c>
      <c r="I31" s="124">
        <v>290</v>
      </c>
      <c r="J31" s="256">
        <f t="shared" si="4"/>
        <v>32341.496000000003</v>
      </c>
      <c r="K31" s="256">
        <f t="shared" si="5"/>
        <v>323414.96000000002</v>
      </c>
      <c r="L31" s="126">
        <v>1200</v>
      </c>
      <c r="M31" s="257">
        <f t="shared" si="6"/>
        <v>0.37104035014335757</v>
      </c>
      <c r="N31" s="331">
        <f t="shared" si="7"/>
        <v>45934.68779049057</v>
      </c>
      <c r="S31" s="360"/>
    </row>
    <row r="32" spans="1:19" ht="15.75">
      <c r="A32" s="330">
        <v>590</v>
      </c>
      <c r="B32" s="120">
        <v>0.23</v>
      </c>
      <c r="C32" s="253">
        <f t="shared" si="0"/>
        <v>135.70000000000002</v>
      </c>
      <c r="D32" s="252">
        <v>0.88</v>
      </c>
      <c r="E32" s="254">
        <f t="shared" si="1"/>
        <v>119.41600000000001</v>
      </c>
      <c r="F32" s="255">
        <v>0.05</v>
      </c>
      <c r="G32" s="254">
        <f t="shared" si="2"/>
        <v>5.9708000000000006</v>
      </c>
      <c r="H32" s="254">
        <f t="shared" si="3"/>
        <v>113.44520000000001</v>
      </c>
      <c r="I32" s="124">
        <v>290</v>
      </c>
      <c r="J32" s="256">
        <f t="shared" si="4"/>
        <v>32899.108000000007</v>
      </c>
      <c r="K32" s="256">
        <f t="shared" si="5"/>
        <v>328991.08000000007</v>
      </c>
      <c r="L32" s="126">
        <v>1200</v>
      </c>
      <c r="M32" s="257">
        <f t="shared" si="6"/>
        <v>0.36475153064940236</v>
      </c>
      <c r="N32" s="331">
        <f t="shared" si="7"/>
        <v>46726.665166188694</v>
      </c>
    </row>
    <row r="33" spans="1:18" ht="15.75">
      <c r="A33" s="330">
        <v>600</v>
      </c>
      <c r="B33" s="120">
        <v>0.23</v>
      </c>
      <c r="C33" s="253">
        <f t="shared" si="0"/>
        <v>138</v>
      </c>
      <c r="D33" s="252">
        <v>0.88</v>
      </c>
      <c r="E33" s="254">
        <f t="shared" si="1"/>
        <v>121.44</v>
      </c>
      <c r="F33" s="255">
        <v>0.05</v>
      </c>
      <c r="G33" s="254">
        <f t="shared" si="2"/>
        <v>6.0720000000000001</v>
      </c>
      <c r="H33" s="254">
        <f t="shared" si="3"/>
        <v>115.36799999999999</v>
      </c>
      <c r="I33" s="124">
        <v>290</v>
      </c>
      <c r="J33" s="256">
        <f t="shared" si="4"/>
        <v>33456.720000000001</v>
      </c>
      <c r="K33" s="256">
        <f t="shared" si="5"/>
        <v>334567.2</v>
      </c>
      <c r="L33" s="126">
        <v>1200</v>
      </c>
      <c r="M33" s="257">
        <f t="shared" si="6"/>
        <v>0.35867233847191238</v>
      </c>
      <c r="N33" s="331">
        <f t="shared" si="7"/>
        <v>47518.642541886802</v>
      </c>
    </row>
    <row r="34" spans="1:18" ht="15.75">
      <c r="A34" s="330">
        <v>610</v>
      </c>
      <c r="B34" s="120">
        <v>0.23</v>
      </c>
      <c r="C34" s="253">
        <f t="shared" si="0"/>
        <v>140.30000000000001</v>
      </c>
      <c r="D34" s="252">
        <v>0.88</v>
      </c>
      <c r="E34" s="254">
        <f t="shared" si="1"/>
        <v>123.46400000000001</v>
      </c>
      <c r="F34" s="255">
        <v>0.05</v>
      </c>
      <c r="G34" s="254">
        <f t="shared" si="2"/>
        <v>6.1732000000000014</v>
      </c>
      <c r="H34" s="254">
        <f t="shared" si="3"/>
        <v>117.29080000000002</v>
      </c>
      <c r="I34" s="124">
        <v>290</v>
      </c>
      <c r="J34" s="256">
        <f t="shared" si="4"/>
        <v>34014.332000000002</v>
      </c>
      <c r="K34" s="256">
        <f t="shared" si="5"/>
        <v>340143.32</v>
      </c>
      <c r="L34" s="126">
        <v>1200</v>
      </c>
      <c r="M34" s="257">
        <f t="shared" si="6"/>
        <v>0.3527924640707335</v>
      </c>
      <c r="N34" s="331">
        <f t="shared" si="7"/>
        <v>48310.619917584911</v>
      </c>
    </row>
    <row r="35" spans="1:18" ht="16.5" thickBot="1">
      <c r="A35" s="332">
        <v>620</v>
      </c>
      <c r="B35" s="120">
        <v>0.23</v>
      </c>
      <c r="C35" s="333">
        <f t="shared" si="0"/>
        <v>142.6</v>
      </c>
      <c r="D35" s="334">
        <v>0.88</v>
      </c>
      <c r="E35" s="335">
        <f t="shared" si="1"/>
        <v>125.488</v>
      </c>
      <c r="F35" s="336">
        <v>0.05</v>
      </c>
      <c r="G35" s="335">
        <f t="shared" si="2"/>
        <v>6.2744</v>
      </c>
      <c r="H35" s="335">
        <f t="shared" si="3"/>
        <v>119.2136</v>
      </c>
      <c r="I35" s="337">
        <v>290</v>
      </c>
      <c r="J35" s="338">
        <f t="shared" si="4"/>
        <v>34571.944000000003</v>
      </c>
      <c r="K35" s="338">
        <f t="shared" si="5"/>
        <v>345719.44000000006</v>
      </c>
      <c r="L35" s="339">
        <v>1200</v>
      </c>
      <c r="M35" s="340">
        <f t="shared" si="6"/>
        <v>0.34710226303733449</v>
      </c>
      <c r="N35" s="341">
        <f t="shared" si="7"/>
        <v>49102.597293283034</v>
      </c>
    </row>
    <row r="36" spans="1:18" ht="15.75" thickBot="1"/>
    <row r="37" spans="1:18" s="48" customFormat="1" ht="69.95" customHeight="1">
      <c r="A37" s="322" t="s">
        <v>0</v>
      </c>
      <c r="B37" s="324" t="s">
        <v>10</v>
      </c>
      <c r="C37" s="324" t="s">
        <v>219</v>
      </c>
      <c r="D37" s="323" t="s">
        <v>1</v>
      </c>
      <c r="E37" s="342" t="s">
        <v>216</v>
      </c>
      <c r="F37" s="342" t="s">
        <v>11</v>
      </c>
      <c r="G37" s="323" t="s">
        <v>2</v>
      </c>
      <c r="H37" s="342" t="s">
        <v>3</v>
      </c>
      <c r="I37" s="342" t="s">
        <v>12</v>
      </c>
      <c r="J37" s="342" t="s">
        <v>121</v>
      </c>
      <c r="K37" s="342" t="s">
        <v>4</v>
      </c>
      <c r="L37" s="342" t="s">
        <v>13</v>
      </c>
      <c r="M37" s="323" t="s">
        <v>218</v>
      </c>
      <c r="N37" s="342" t="s">
        <v>6</v>
      </c>
      <c r="O37" s="342" t="s">
        <v>220</v>
      </c>
      <c r="P37" s="342" t="s">
        <v>7</v>
      </c>
      <c r="Q37" s="358" t="s">
        <v>221</v>
      </c>
      <c r="R37" s="357" t="s">
        <v>9</v>
      </c>
    </row>
    <row r="38" spans="1:18" s="65" customFormat="1" ht="30" customHeight="1" thickBot="1">
      <c r="A38" s="343">
        <f>A2</f>
        <v>450</v>
      </c>
      <c r="B38" s="347">
        <v>10</v>
      </c>
      <c r="C38" s="344">
        <f>SUM(A38*B38)</f>
        <v>4500</v>
      </c>
      <c r="D38" s="345">
        <f>B2</f>
        <v>0.23</v>
      </c>
      <c r="E38" s="346">
        <f>C2</f>
        <v>103.5</v>
      </c>
      <c r="F38" s="347">
        <f>SUM(C38/E38)</f>
        <v>43.478260869565219</v>
      </c>
      <c r="G38" s="345">
        <f>D2</f>
        <v>0.88</v>
      </c>
      <c r="H38" s="346">
        <f>E2</f>
        <v>91.08</v>
      </c>
      <c r="I38" s="347">
        <f>SUM(C38/H38)</f>
        <v>49.40711462450593</v>
      </c>
      <c r="J38" s="348">
        <f>G2</f>
        <v>4.5540000000000003</v>
      </c>
      <c r="K38" s="348">
        <f>H2</f>
        <v>86.525999999999996</v>
      </c>
      <c r="L38" s="347">
        <f>SUM(C38/K38)</f>
        <v>52.007489078427298</v>
      </c>
      <c r="M38" s="349">
        <f>I2</f>
        <v>290</v>
      </c>
      <c r="N38" s="350">
        <f>J2</f>
        <v>25092.539999999997</v>
      </c>
      <c r="O38" s="351">
        <f>SUM(C38/N38*100)</f>
        <v>17.933616923595622</v>
      </c>
      <c r="P38" s="351">
        <f>K2</f>
        <v>250925.39999999997</v>
      </c>
      <c r="Q38" s="356">
        <f>SUM(C38/P38*100)</f>
        <v>1.7933616923595619</v>
      </c>
      <c r="R38" s="359">
        <f>SUM(N38/53*41*1.836)</f>
        <v>35638.981906415087</v>
      </c>
    </row>
    <row r="39" spans="1:18">
      <c r="H39" s="650"/>
      <c r="I39" s="650"/>
      <c r="J39" s="650"/>
      <c r="K39" s="650"/>
      <c r="L39" s="650"/>
      <c r="M39" s="650"/>
      <c r="N39" s="650"/>
      <c r="O39" s="650"/>
      <c r="P39" s="650"/>
    </row>
    <row r="40" spans="1:18">
      <c r="J40" s="318" t="s">
        <v>93</v>
      </c>
      <c r="K40" s="319" t="s">
        <v>91</v>
      </c>
      <c r="L40" s="320" t="s">
        <v>94</v>
      </c>
      <c r="M40" s="319" t="s">
        <v>112</v>
      </c>
      <c r="N40" s="320" t="s">
        <v>90</v>
      </c>
      <c r="O40" s="319" t="s">
        <v>92</v>
      </c>
      <c r="P40" s="319" t="s">
        <v>97</v>
      </c>
      <c r="Q40" s="92"/>
      <c r="R40" s="92"/>
    </row>
    <row r="41" spans="1:18" ht="15.75">
      <c r="J41" s="245">
        <v>300</v>
      </c>
      <c r="K41" s="316">
        <v>0.2</v>
      </c>
      <c r="L41" s="317">
        <v>0.85</v>
      </c>
      <c r="M41" s="316">
        <v>0.04</v>
      </c>
      <c r="N41" s="315">
        <v>280</v>
      </c>
      <c r="O41" s="575">
        <v>10</v>
      </c>
      <c r="P41" s="321">
        <v>500</v>
      </c>
      <c r="R41" s="3"/>
    </row>
    <row r="42" spans="1:18" ht="15.75">
      <c r="J42" s="245">
        <v>310</v>
      </c>
      <c r="K42" s="316">
        <v>0.21</v>
      </c>
      <c r="L42" s="317">
        <v>0.86</v>
      </c>
      <c r="M42" s="316">
        <v>0.05</v>
      </c>
      <c r="N42" s="315">
        <v>290</v>
      </c>
      <c r="O42" s="575">
        <v>11</v>
      </c>
      <c r="P42" s="321">
        <v>600</v>
      </c>
      <c r="R42" s="3"/>
    </row>
    <row r="43" spans="1:18" ht="15.75">
      <c r="J43" s="245">
        <v>320</v>
      </c>
      <c r="K43" s="316">
        <v>0.22</v>
      </c>
      <c r="L43" s="316">
        <v>0.87</v>
      </c>
      <c r="M43" s="316">
        <v>0.06</v>
      </c>
      <c r="N43" s="315">
        <v>300</v>
      </c>
      <c r="O43" s="575">
        <v>12</v>
      </c>
      <c r="P43" s="321">
        <v>700</v>
      </c>
      <c r="R43" s="3"/>
    </row>
    <row r="44" spans="1:18" ht="15.75">
      <c r="J44" s="245">
        <v>330</v>
      </c>
      <c r="K44" s="316">
        <v>0.23</v>
      </c>
      <c r="L44" s="316">
        <v>0.88</v>
      </c>
      <c r="M44" s="316">
        <v>7.0000000000000007E-2</v>
      </c>
      <c r="N44" s="315">
        <v>310</v>
      </c>
      <c r="O44" s="575">
        <v>13</v>
      </c>
      <c r="P44" s="321">
        <v>800</v>
      </c>
      <c r="R44" s="3"/>
    </row>
    <row r="45" spans="1:18" ht="15.75">
      <c r="J45" s="245">
        <v>340</v>
      </c>
      <c r="K45" s="316">
        <v>0.24</v>
      </c>
      <c r="L45" s="316">
        <v>0.89</v>
      </c>
      <c r="M45" s="316">
        <v>0.08</v>
      </c>
      <c r="N45" s="315">
        <v>320</v>
      </c>
      <c r="O45" s="575">
        <v>14</v>
      </c>
      <c r="P45" s="321">
        <v>900</v>
      </c>
      <c r="R45" s="3"/>
    </row>
    <row r="46" spans="1:18" ht="15.75">
      <c r="J46" s="245">
        <v>350</v>
      </c>
      <c r="K46" s="316">
        <v>0.25</v>
      </c>
      <c r="L46" s="316">
        <v>0.9</v>
      </c>
      <c r="M46" s="316">
        <v>0.09</v>
      </c>
      <c r="N46" s="315">
        <v>330</v>
      </c>
      <c r="O46" s="575">
        <v>15</v>
      </c>
      <c r="P46" s="321">
        <v>1000</v>
      </c>
      <c r="R46" s="3"/>
    </row>
    <row r="47" spans="1:18" ht="15.75">
      <c r="J47" s="245">
        <v>360</v>
      </c>
      <c r="K47" s="316">
        <v>0.26</v>
      </c>
      <c r="L47" s="316">
        <v>0.91</v>
      </c>
      <c r="M47" s="316">
        <v>0.1</v>
      </c>
      <c r="N47" s="315">
        <v>340</v>
      </c>
      <c r="O47" s="575">
        <v>16</v>
      </c>
      <c r="P47" s="321">
        <v>1100</v>
      </c>
      <c r="R47" s="3"/>
    </row>
    <row r="48" spans="1:18" ht="15.75">
      <c r="J48" s="245">
        <v>370</v>
      </c>
      <c r="K48" s="316">
        <v>0.27</v>
      </c>
      <c r="L48" s="316">
        <v>0.92</v>
      </c>
      <c r="M48" s="316"/>
      <c r="N48" s="315">
        <v>350</v>
      </c>
      <c r="O48" s="575">
        <v>17</v>
      </c>
      <c r="P48" s="321">
        <v>1200</v>
      </c>
    </row>
    <row r="49" spans="10:23" ht="15.75">
      <c r="J49" s="245">
        <v>380</v>
      </c>
      <c r="K49" s="316">
        <v>0.28000000000000003</v>
      </c>
      <c r="L49" s="316">
        <v>0.93</v>
      </c>
      <c r="M49" s="316"/>
      <c r="N49" s="315">
        <v>360</v>
      </c>
      <c r="O49" s="575">
        <v>18</v>
      </c>
      <c r="P49" s="321">
        <v>1300</v>
      </c>
      <c r="W49" s="99"/>
    </row>
    <row r="50" spans="10:23" ht="15.75">
      <c r="J50" s="245">
        <v>390</v>
      </c>
      <c r="K50" s="316">
        <v>0.28999999999999998</v>
      </c>
      <c r="L50" s="316">
        <v>0.94</v>
      </c>
      <c r="M50" s="316"/>
      <c r="N50" s="315">
        <v>370</v>
      </c>
      <c r="O50" s="575">
        <v>19</v>
      </c>
      <c r="P50" s="321">
        <v>1400</v>
      </c>
      <c r="W50" s="245"/>
    </row>
    <row r="51" spans="10:23" ht="15.75">
      <c r="J51" s="245">
        <v>400</v>
      </c>
      <c r="K51" s="316">
        <v>0.3</v>
      </c>
      <c r="L51" s="316">
        <v>0.95</v>
      </c>
      <c r="M51" s="316"/>
      <c r="N51" s="315">
        <v>380</v>
      </c>
      <c r="O51" s="575">
        <v>20</v>
      </c>
      <c r="P51" s="321">
        <v>1500</v>
      </c>
      <c r="W51" s="245"/>
    </row>
    <row r="52" spans="10:23" ht="15.75">
      <c r="J52" s="245">
        <v>410</v>
      </c>
      <c r="K52" s="316">
        <v>0.31</v>
      </c>
      <c r="L52" s="316"/>
      <c r="M52" s="316"/>
      <c r="N52" s="315">
        <v>390</v>
      </c>
      <c r="O52" s="315"/>
      <c r="W52" s="245"/>
    </row>
    <row r="53" spans="10:23" ht="15.75">
      <c r="J53" s="245">
        <v>420</v>
      </c>
      <c r="K53" s="316">
        <v>0.32</v>
      </c>
      <c r="L53" s="316"/>
      <c r="M53" s="316"/>
      <c r="N53" s="315">
        <v>400</v>
      </c>
      <c r="O53" s="315"/>
      <c r="W53" s="245"/>
    </row>
    <row r="54" spans="10:23" ht="15.75">
      <c r="J54" s="245">
        <v>430</v>
      </c>
      <c r="K54" s="316">
        <v>0.33</v>
      </c>
      <c r="L54" s="316"/>
      <c r="M54" s="315"/>
      <c r="N54" s="315">
        <v>410</v>
      </c>
      <c r="O54" s="315"/>
      <c r="U54" s="245"/>
    </row>
    <row r="55" spans="10:23" ht="15.75">
      <c r="J55" s="245">
        <v>440</v>
      </c>
      <c r="K55" s="316">
        <v>0.34</v>
      </c>
      <c r="L55" s="316"/>
      <c r="M55" s="315"/>
      <c r="N55" s="315">
        <v>420</v>
      </c>
      <c r="O55" s="315"/>
      <c r="U55" s="245"/>
    </row>
    <row r="56" spans="10:23" ht="15.75">
      <c r="J56" s="245">
        <v>450</v>
      </c>
      <c r="K56" s="316">
        <v>0.35</v>
      </c>
      <c r="L56" s="316"/>
      <c r="M56" s="315"/>
      <c r="T56" s="245"/>
    </row>
    <row r="57" spans="10:23" ht="15.75">
      <c r="J57" s="245">
        <v>460</v>
      </c>
      <c r="K57" s="316">
        <v>0.36</v>
      </c>
      <c r="L57" s="316"/>
      <c r="M57" s="315"/>
      <c r="T57" s="245"/>
    </row>
    <row r="58" spans="10:23" ht="15.75">
      <c r="J58" s="245">
        <v>470</v>
      </c>
      <c r="K58" s="316">
        <v>0.37</v>
      </c>
      <c r="L58" s="316"/>
      <c r="M58" s="315"/>
      <c r="T58" s="245"/>
    </row>
    <row r="59" spans="10:23" ht="15.75">
      <c r="J59" s="245">
        <v>480</v>
      </c>
      <c r="K59" s="316">
        <v>0.38</v>
      </c>
      <c r="L59" s="316"/>
      <c r="M59" s="315"/>
      <c r="T59" s="245"/>
    </row>
    <row r="60" spans="10:23" ht="15.75">
      <c r="J60" s="245">
        <v>490</v>
      </c>
      <c r="K60" s="316">
        <v>0.39</v>
      </c>
      <c r="L60" s="316"/>
      <c r="M60" s="315"/>
      <c r="T60" s="245"/>
    </row>
    <row r="61" spans="10:23" ht="15.75">
      <c r="J61" s="245">
        <v>500</v>
      </c>
      <c r="K61" s="316">
        <v>0.4</v>
      </c>
      <c r="L61" s="316"/>
      <c r="M61" s="315"/>
      <c r="T61" s="245"/>
    </row>
    <row r="62" spans="10:23" ht="15.75">
      <c r="J62" s="245">
        <v>510</v>
      </c>
      <c r="T62" s="245"/>
    </row>
    <row r="63" spans="10:23" ht="15.75">
      <c r="J63" s="245">
        <v>520</v>
      </c>
      <c r="T63" s="245"/>
    </row>
    <row r="64" spans="10:23" ht="15.75">
      <c r="J64" s="245">
        <v>530</v>
      </c>
      <c r="T64" s="245"/>
    </row>
    <row r="65" spans="10:20" ht="15.75">
      <c r="J65" s="245">
        <v>540</v>
      </c>
      <c r="T65" s="245"/>
    </row>
    <row r="66" spans="10:20" ht="15.75">
      <c r="J66" s="245">
        <v>550</v>
      </c>
      <c r="T66" s="245"/>
    </row>
    <row r="67" spans="10:20" ht="15.75">
      <c r="J67" s="245">
        <v>560</v>
      </c>
      <c r="T67" s="245"/>
    </row>
    <row r="68" spans="10:20" ht="15.75">
      <c r="J68" s="245">
        <v>570</v>
      </c>
      <c r="T68" s="245"/>
    </row>
    <row r="69" spans="10:20" ht="15.75">
      <c r="J69" s="245">
        <v>580</v>
      </c>
      <c r="T69" s="245"/>
    </row>
    <row r="70" spans="10:20" ht="15.75">
      <c r="J70" s="245">
        <v>590</v>
      </c>
      <c r="T70" s="245"/>
    </row>
    <row r="71" spans="10:20" ht="15.75">
      <c r="J71" s="245">
        <v>600</v>
      </c>
      <c r="T71" s="245"/>
    </row>
    <row r="72" spans="10:20" ht="15.75">
      <c r="J72" s="245">
        <v>610</v>
      </c>
      <c r="T72" s="245"/>
    </row>
    <row r="73" spans="10:20" ht="15.75">
      <c r="J73" s="245">
        <v>620</v>
      </c>
      <c r="T73" s="245"/>
    </row>
    <row r="74" spans="10:20" ht="15.75">
      <c r="J74" s="245"/>
      <c r="T74" s="245"/>
    </row>
    <row r="75" spans="10:20" ht="15.75">
      <c r="J75" s="99"/>
      <c r="T75" s="245"/>
    </row>
    <row r="76" spans="10:20" ht="15.75">
      <c r="T76" s="245"/>
    </row>
    <row r="77" spans="10:20" ht="15.75">
      <c r="T77" s="245"/>
    </row>
    <row r="78" spans="10:20" ht="15.75">
      <c r="T78" s="245"/>
    </row>
    <row r="79" spans="10:20" ht="15.75">
      <c r="T79" s="245"/>
    </row>
    <row r="80" spans="10:20" ht="15.75">
      <c r="T80" s="245"/>
    </row>
    <row r="81" spans="20:20" ht="15.75">
      <c r="T81" s="245"/>
    </row>
    <row r="82" spans="20:20" ht="15.75">
      <c r="T82" s="245"/>
    </row>
    <row r="83" spans="20:20">
      <c r="T83" s="99"/>
    </row>
  </sheetData>
  <sheetProtection algorithmName="SHA-512" hashValue="qUHjJ5nUT/9GJ+cVz3+xIHqXh0JcEAqzMq5NPkELaKxWPH3E6+5UfdTNoPANQU0G1FsIsYALeQv5NJu82sbWWg==" saltValue="PjX3gVIC4/cJtwdeFNngCw==" spinCount="100000" sheet="1" objects="1" scenarios="1" selectLockedCells="1" selectUnlockedCells="1"/>
  <mergeCells count="1">
    <mergeCell ref="H39:P39"/>
  </mergeCells>
  <dataValidations count="15">
    <dataValidation type="list" allowBlank="1" showInputMessage="1" showErrorMessage="1" sqref="Q4:Q6" xr:uid="{00000000-0002-0000-0100-000000000000}">
      <formula1>$Q$2:$Q$6</formula1>
    </dataValidation>
    <dataValidation type="list" allowBlank="1" showInputMessage="1" showErrorMessage="1" sqref="P3 N41" xr:uid="{00000000-0002-0000-0100-000001000000}">
      <formula1>$P$2:$P$17</formula1>
    </dataValidation>
    <dataValidation type="list" allowBlank="1" showInputMessage="1" showErrorMessage="1" sqref="O14" xr:uid="{00000000-0002-0000-0100-000002000000}">
      <formula1>$K$40:$K$60</formula1>
    </dataValidation>
    <dataValidation type="list" allowBlank="1" showInputMessage="1" showErrorMessage="1" sqref="D3:D35" xr:uid="{00000000-0002-0000-0100-000003000000}">
      <formula1>$S$2:$S$12</formula1>
    </dataValidation>
    <dataValidation type="list" allowBlank="1" showInputMessage="1" showErrorMessage="1" sqref="B38" xr:uid="{00000000-0002-0000-0100-000004000000}">
      <formula1>$O$41:$O$51</formula1>
    </dataValidation>
    <dataValidation showDropDown="1" showInputMessage="1" showErrorMessage="1" sqref="D38 A38" xr:uid="{00000000-0002-0000-0100-000005000000}"/>
    <dataValidation type="list" allowBlank="1" showInputMessage="1" showErrorMessage="1" sqref="L2:L35" xr:uid="{00000000-0002-0000-0100-000006000000}">
      <formula1>$P$41:$P$51</formula1>
    </dataValidation>
    <dataValidation type="list" allowBlank="1" showInputMessage="1" showErrorMessage="1" sqref="F3:F35" xr:uid="{00000000-0002-0000-0100-000007000000}">
      <formula1>$R$41:$R$47</formula1>
    </dataValidation>
    <dataValidation type="list" allowBlank="1" showInputMessage="1" showErrorMessage="1" sqref="I3:I35" xr:uid="{00000000-0002-0000-0100-000008000000}">
      <formula1>$P$3:$P$17</formula1>
    </dataValidation>
    <dataValidation type="list" allowBlank="1" showInputMessage="1" showErrorMessage="1" sqref="A2:A34" xr:uid="{00000000-0002-0000-0100-000009000000}">
      <formula1>$J$41:$J$74</formula1>
    </dataValidation>
    <dataValidation type="list" allowBlank="1" showInputMessage="1" showErrorMessage="1" sqref="A35" xr:uid="{00000000-0002-0000-0100-00000A000000}">
      <formula1>$J$41:$J$73</formula1>
    </dataValidation>
    <dataValidation type="list" allowBlank="1" showInputMessage="1" showErrorMessage="1" sqref="B2:B35" xr:uid="{00000000-0002-0000-0100-00000B000000}">
      <formula1>$K$41:$K$61</formula1>
    </dataValidation>
    <dataValidation type="list" allowBlank="1" showInputMessage="1" showErrorMessage="1" sqref="D2" xr:uid="{00000000-0002-0000-0100-00000C000000}">
      <formula1>$L$41:$L$51</formula1>
    </dataValidation>
    <dataValidation type="list" allowBlank="1" showInputMessage="1" showErrorMessage="1" sqref="F2" xr:uid="{00000000-0002-0000-0100-00000D000000}">
      <formula1>$M$41:$M$47</formula1>
    </dataValidation>
    <dataValidation type="list" allowBlank="1" showInputMessage="1" showErrorMessage="1" sqref="I2" xr:uid="{00000000-0002-0000-0100-00000E000000}">
      <formula1>$N$41:$N$55</formula1>
    </dataValidation>
  </dataValidations>
  <pageMargins left="0.7" right="0.7" top="0.75" bottom="0.75" header="0.3" footer="0.3"/>
  <pageSetup orientation="portrait" horizontalDpi="300" verticalDpi="300" r:id="rId1"/>
  <ignoredErrors>
    <ignoredError sqref="I3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I1:X43"/>
  <sheetViews>
    <sheetView topLeftCell="H1" workbookViewId="0">
      <selection activeCell="N25" sqref="N25"/>
    </sheetView>
  </sheetViews>
  <sheetFormatPr defaultColWidth="9.140625" defaultRowHeight="15"/>
  <cols>
    <col min="9" max="9" width="9.140625" style="69"/>
    <col min="15" max="15" width="6.140625" customWidth="1"/>
    <col min="17" max="17" width="10.5703125" customWidth="1"/>
    <col min="18" max="18" width="16.5703125" customWidth="1"/>
    <col min="23" max="23" width="8.28515625" customWidth="1"/>
  </cols>
  <sheetData>
    <row r="1" spans="10:23">
      <c r="J1" s="147"/>
      <c r="K1" s="147"/>
      <c r="L1" s="147"/>
      <c r="M1" s="147"/>
      <c r="N1" s="147"/>
      <c r="O1" s="147"/>
      <c r="P1" s="147"/>
      <c r="Q1" s="147"/>
      <c r="R1" s="147"/>
      <c r="S1" s="147"/>
      <c r="T1" s="147"/>
      <c r="U1" s="147"/>
      <c r="V1" s="147"/>
      <c r="W1" s="148"/>
    </row>
    <row r="2" spans="10:23">
      <c r="J2" s="69"/>
      <c r="K2" s="69"/>
      <c r="L2" s="69"/>
      <c r="M2" s="69"/>
      <c r="N2" s="69"/>
      <c r="O2" s="69"/>
      <c r="P2" s="69"/>
      <c r="Q2" s="69"/>
      <c r="R2" s="69"/>
      <c r="S2" s="69"/>
      <c r="T2" s="69"/>
      <c r="U2" s="69"/>
      <c r="V2" s="69"/>
      <c r="W2" s="149"/>
    </row>
    <row r="3" spans="10:23">
      <c r="J3" s="69"/>
      <c r="K3" s="69"/>
      <c r="L3" s="69"/>
      <c r="M3" s="69"/>
      <c r="N3" s="69"/>
      <c r="O3" s="69"/>
      <c r="P3" s="69"/>
      <c r="Q3" s="69"/>
      <c r="R3" s="69"/>
      <c r="S3" s="69"/>
      <c r="T3" s="69"/>
      <c r="U3" s="69"/>
      <c r="V3" s="69"/>
      <c r="W3" s="149"/>
    </row>
    <row r="4" spans="10:23">
      <c r="J4" s="69"/>
      <c r="K4" s="69"/>
      <c r="L4" s="69"/>
      <c r="M4" s="69"/>
      <c r="N4" s="69"/>
      <c r="O4" s="69"/>
      <c r="P4" s="69"/>
      <c r="Q4" s="69"/>
      <c r="R4" s="69"/>
      <c r="S4" s="69"/>
      <c r="T4" s="69"/>
      <c r="U4" s="69"/>
      <c r="V4" s="69"/>
      <c r="W4" s="149"/>
    </row>
    <row r="5" spans="10:23">
      <c r="J5" s="69"/>
      <c r="K5" s="69"/>
      <c r="L5" s="69"/>
      <c r="M5" s="69"/>
      <c r="N5" s="69"/>
      <c r="O5" s="69"/>
      <c r="P5" s="69"/>
      <c r="Q5" s="69"/>
      <c r="R5" s="69"/>
      <c r="S5" s="69"/>
      <c r="T5" s="69"/>
      <c r="U5" s="69"/>
      <c r="V5" s="69"/>
      <c r="W5" s="149"/>
    </row>
    <row r="6" spans="10:23">
      <c r="J6" s="69"/>
      <c r="K6" s="69"/>
      <c r="L6" s="69"/>
      <c r="M6" s="69"/>
      <c r="N6" s="69"/>
      <c r="O6" s="69"/>
      <c r="P6" s="69"/>
      <c r="Q6" s="69"/>
      <c r="R6" s="69"/>
      <c r="S6" s="69"/>
      <c r="T6" s="69"/>
      <c r="U6" s="69"/>
      <c r="V6" s="69"/>
      <c r="W6" s="149"/>
    </row>
    <row r="7" spans="10:23">
      <c r="J7" s="69"/>
      <c r="K7" s="69"/>
      <c r="L7" s="69"/>
      <c r="M7" s="69"/>
      <c r="N7" s="69"/>
      <c r="O7" s="69"/>
      <c r="P7" s="69"/>
      <c r="Q7" s="69"/>
      <c r="R7" s="69"/>
      <c r="S7" s="69"/>
      <c r="T7" s="69"/>
      <c r="U7" s="69"/>
      <c r="V7" s="69"/>
      <c r="W7" s="149"/>
    </row>
    <row r="8" spans="10:23">
      <c r="J8" s="69"/>
      <c r="K8" s="69"/>
      <c r="L8" s="69"/>
      <c r="M8" s="69"/>
      <c r="N8" s="69"/>
      <c r="O8" s="69"/>
      <c r="P8" s="69"/>
      <c r="Q8" s="69"/>
      <c r="R8" s="69"/>
      <c r="S8" s="69"/>
      <c r="T8" s="69"/>
      <c r="U8" s="69"/>
      <c r="V8" s="69"/>
      <c r="W8" s="149"/>
    </row>
    <row r="9" spans="10:23">
      <c r="J9" s="69"/>
      <c r="K9" s="69"/>
      <c r="L9" s="69"/>
      <c r="M9" s="69"/>
      <c r="N9" s="69"/>
      <c r="O9" s="69"/>
      <c r="P9" s="69"/>
      <c r="Q9" s="69"/>
      <c r="R9" s="69"/>
      <c r="S9" s="69"/>
      <c r="T9" s="69"/>
      <c r="U9" s="69"/>
      <c r="V9" s="69"/>
      <c r="W9" s="149"/>
    </row>
    <row r="10" spans="10:23">
      <c r="J10" s="69"/>
      <c r="K10" s="69"/>
      <c r="L10" s="69"/>
      <c r="M10" s="69"/>
      <c r="N10" s="69"/>
      <c r="O10" s="69"/>
      <c r="P10" s="69"/>
      <c r="Q10" s="69"/>
      <c r="R10" s="69"/>
      <c r="S10" s="69"/>
      <c r="T10" s="69"/>
      <c r="U10" s="69"/>
      <c r="V10" s="69"/>
      <c r="W10" s="149"/>
    </row>
    <row r="11" spans="10:23">
      <c r="J11" s="69"/>
      <c r="K11" s="69"/>
      <c r="L11" s="69"/>
      <c r="M11" s="69"/>
      <c r="N11" s="69"/>
      <c r="O11" s="69"/>
      <c r="P11" s="69"/>
      <c r="Q11" s="69"/>
      <c r="R11" s="69"/>
      <c r="S11" s="69"/>
      <c r="T11" s="69"/>
      <c r="U11" s="69"/>
      <c r="V11" s="69"/>
      <c r="W11" s="149"/>
    </row>
    <row r="12" spans="10:23">
      <c r="J12" s="69"/>
      <c r="K12" s="69"/>
      <c r="L12" s="69"/>
      <c r="M12" s="69"/>
      <c r="N12" s="69"/>
      <c r="O12" s="69"/>
      <c r="P12" s="69"/>
      <c r="Q12" s="69"/>
      <c r="R12" s="69"/>
      <c r="S12" s="69"/>
      <c r="T12" s="69"/>
      <c r="U12" s="69"/>
      <c r="V12" s="69"/>
      <c r="W12" s="149"/>
    </row>
    <row r="13" spans="10:23">
      <c r="J13" s="69"/>
      <c r="K13" s="69"/>
      <c r="L13" s="69"/>
      <c r="M13" s="69"/>
      <c r="N13" s="69"/>
      <c r="O13" s="69"/>
      <c r="P13" s="69"/>
      <c r="Q13" s="69"/>
      <c r="R13" s="69"/>
      <c r="S13" s="69"/>
      <c r="T13" s="69"/>
      <c r="U13" s="69"/>
      <c r="V13" s="69"/>
      <c r="W13" s="149"/>
    </row>
    <row r="14" spans="10:23">
      <c r="J14" s="69"/>
      <c r="K14" s="69"/>
      <c r="L14" s="69"/>
      <c r="M14" s="69"/>
      <c r="N14" s="69"/>
      <c r="O14" s="69"/>
      <c r="P14" s="69"/>
      <c r="Q14" s="69"/>
      <c r="R14" s="69"/>
      <c r="S14" s="69"/>
      <c r="T14" s="69"/>
      <c r="U14" s="69"/>
      <c r="V14" s="69"/>
      <c r="W14" s="149"/>
    </row>
    <row r="15" spans="10:23">
      <c r="J15" s="69"/>
      <c r="K15" s="69"/>
      <c r="L15" s="69"/>
      <c r="M15" s="69"/>
      <c r="N15" s="69"/>
      <c r="O15" s="69"/>
      <c r="P15" s="69"/>
      <c r="Q15" s="69"/>
      <c r="R15" s="69"/>
      <c r="S15" s="69"/>
      <c r="T15" s="69"/>
      <c r="U15" s="69"/>
      <c r="V15" s="69"/>
      <c r="W15" s="149"/>
    </row>
    <row r="16" spans="10:23">
      <c r="J16" s="69"/>
      <c r="K16" s="69"/>
      <c r="L16" s="69"/>
      <c r="M16" s="69"/>
      <c r="N16" s="69"/>
      <c r="O16" s="69"/>
      <c r="P16" s="69"/>
      <c r="Q16" s="69"/>
      <c r="R16" s="69"/>
      <c r="S16" s="69"/>
      <c r="T16" s="69"/>
      <c r="U16" s="69"/>
      <c r="V16" s="69"/>
      <c r="W16" s="149"/>
    </row>
    <row r="17" spans="10:23" ht="15.75" thickBot="1">
      <c r="J17" s="69"/>
      <c r="K17" s="69"/>
      <c r="L17" s="69"/>
      <c r="M17" s="69"/>
      <c r="N17" s="69"/>
      <c r="O17" s="69"/>
      <c r="P17" s="69"/>
      <c r="Q17" s="69"/>
      <c r="R17" s="69"/>
      <c r="S17" s="69"/>
      <c r="T17" s="69"/>
      <c r="U17" s="69"/>
      <c r="V17" s="69"/>
      <c r="W17" s="149"/>
    </row>
    <row r="18" spans="10:23" ht="16.5" thickBot="1">
      <c r="J18" s="69"/>
      <c r="K18" s="69"/>
      <c r="L18" s="69"/>
      <c r="M18" s="69"/>
      <c r="N18" s="69"/>
      <c r="O18" s="69"/>
      <c r="P18" s="159" t="s">
        <v>104</v>
      </c>
      <c r="Q18" s="160"/>
      <c r="R18" s="154">
        <f>'Baseline calcs '!A38</f>
        <v>450</v>
      </c>
      <c r="S18" s="160" t="s">
        <v>105</v>
      </c>
      <c r="T18" s="160"/>
      <c r="U18" s="160"/>
      <c r="V18" s="160"/>
      <c r="W18" s="161"/>
    </row>
    <row r="19" spans="10:23" ht="16.5" thickBot="1">
      <c r="J19" s="69"/>
      <c r="K19" s="69"/>
      <c r="L19" s="69"/>
      <c r="M19" s="69"/>
      <c r="N19" s="69"/>
      <c r="O19" s="69"/>
      <c r="P19" s="162" t="s">
        <v>118</v>
      </c>
      <c r="Q19" s="70"/>
      <c r="R19" s="155">
        <f>'Baseline calcs '!N38</f>
        <v>25092.539999999997</v>
      </c>
      <c r="S19" s="70" t="s">
        <v>259</v>
      </c>
      <c r="T19" s="70"/>
      <c r="U19" s="70"/>
      <c r="V19" s="70"/>
      <c r="W19" s="150"/>
    </row>
    <row r="20" spans="10:23" ht="16.5" thickBot="1">
      <c r="J20" s="69"/>
      <c r="K20" s="69"/>
      <c r="L20" s="69"/>
      <c r="M20" s="69"/>
      <c r="N20" s="69"/>
      <c r="O20" s="69"/>
      <c r="P20" s="162"/>
      <c r="Q20" s="70"/>
      <c r="R20" s="70"/>
      <c r="S20" s="70"/>
      <c r="T20" s="70"/>
      <c r="U20" s="70"/>
      <c r="V20" s="70"/>
      <c r="W20" s="150"/>
    </row>
    <row r="21" spans="10:23" ht="16.5" thickBot="1">
      <c r="J21" s="69"/>
      <c r="K21" s="69"/>
      <c r="L21" s="69"/>
      <c r="M21" s="69"/>
      <c r="N21" s="69"/>
      <c r="O21" s="69"/>
      <c r="P21" s="162" t="s">
        <v>71</v>
      </c>
      <c r="Q21" s="70"/>
      <c r="R21" s="156">
        <f>'Baseline calcs '!C38</f>
        <v>4500</v>
      </c>
      <c r="S21" s="70" t="s">
        <v>261</v>
      </c>
      <c r="T21" s="70"/>
      <c r="U21" s="70"/>
      <c r="V21" s="70"/>
      <c r="W21" s="150"/>
    </row>
    <row r="22" spans="10:23" ht="15.75">
      <c r="J22" s="69"/>
      <c r="K22" s="69"/>
      <c r="L22" s="69"/>
      <c r="M22" s="69"/>
      <c r="N22" s="69"/>
      <c r="O22" s="69"/>
      <c r="P22" s="162" t="s">
        <v>262</v>
      </c>
      <c r="Q22" s="70"/>
      <c r="R22" s="595"/>
      <c r="S22" s="70"/>
      <c r="T22" s="70"/>
      <c r="U22" s="70"/>
      <c r="V22" s="70"/>
      <c r="W22" s="150"/>
    </row>
    <row r="23" spans="10:23" ht="16.5" thickBot="1">
      <c r="J23" s="69"/>
      <c r="K23" s="69"/>
      <c r="L23" s="69"/>
      <c r="M23" s="69"/>
      <c r="N23" s="69"/>
      <c r="O23" s="69"/>
      <c r="P23" s="162" t="s">
        <v>260</v>
      </c>
      <c r="Q23" s="70"/>
      <c r="R23" s="70"/>
      <c r="S23" s="70"/>
      <c r="T23" s="70"/>
      <c r="U23" s="70"/>
      <c r="V23" s="72"/>
      <c r="W23" s="151"/>
    </row>
    <row r="24" spans="10:23" ht="16.5" thickBot="1">
      <c r="J24" s="69"/>
      <c r="K24" s="69"/>
      <c r="L24" s="69"/>
      <c r="M24" s="69"/>
      <c r="N24" s="69"/>
      <c r="O24" s="69"/>
      <c r="P24" s="162" t="s">
        <v>106</v>
      </c>
      <c r="Q24" s="70"/>
      <c r="R24" s="157">
        <f>'Baseline calcs '!O38</f>
        <v>17.933616923595622</v>
      </c>
      <c r="S24" s="70" t="s">
        <v>256</v>
      </c>
      <c r="T24" s="70"/>
      <c r="U24" s="70"/>
      <c r="V24" s="70"/>
      <c r="W24" s="150"/>
    </row>
    <row r="25" spans="10:23" ht="16.5" thickBot="1">
      <c r="J25" s="69"/>
      <c r="K25" s="69"/>
      <c r="L25" s="69"/>
      <c r="M25" s="69"/>
      <c r="N25" s="69"/>
      <c r="O25" s="69"/>
      <c r="P25" s="162"/>
      <c r="Q25" s="70"/>
      <c r="R25" s="104"/>
      <c r="S25" s="70"/>
      <c r="T25" s="70"/>
      <c r="U25" s="70"/>
      <c r="V25" s="70"/>
      <c r="W25" s="150"/>
    </row>
    <row r="26" spans="10:23" ht="16.5" thickBot="1">
      <c r="J26" s="69"/>
      <c r="K26" s="69"/>
      <c r="L26" s="69"/>
      <c r="M26" s="69"/>
      <c r="N26" s="69"/>
      <c r="O26" s="69"/>
      <c r="P26" s="162" t="s">
        <v>107</v>
      </c>
      <c r="Q26" s="70"/>
      <c r="R26" s="158">
        <f>R24*159/100</f>
        <v>28.514450908517038</v>
      </c>
      <c r="S26" s="70" t="s">
        <v>72</v>
      </c>
      <c r="T26" s="70"/>
      <c r="U26" s="70"/>
      <c r="V26" s="70"/>
      <c r="W26" s="150"/>
    </row>
    <row r="27" spans="10:23" ht="15.75">
      <c r="J27" s="69"/>
      <c r="K27" s="69"/>
      <c r="L27" s="69"/>
      <c r="M27" s="69"/>
      <c r="N27" s="69"/>
      <c r="O27" s="69"/>
      <c r="P27" s="162"/>
      <c r="Q27" s="70"/>
      <c r="R27" s="72"/>
      <c r="S27" s="72"/>
      <c r="T27" s="72"/>
      <c r="U27" s="72"/>
      <c r="V27" s="72"/>
      <c r="W27" s="150"/>
    </row>
    <row r="28" spans="10:23" ht="15.75">
      <c r="J28" s="69"/>
      <c r="K28" s="69"/>
      <c r="L28" s="69"/>
      <c r="M28" s="69"/>
      <c r="N28" s="69"/>
      <c r="O28" s="69"/>
      <c r="P28" s="162" t="s">
        <v>99</v>
      </c>
      <c r="Q28" s="70"/>
      <c r="R28" s="70"/>
      <c r="S28" s="70"/>
      <c r="T28" s="70"/>
      <c r="U28" s="70"/>
      <c r="V28" s="70"/>
      <c r="W28" s="150"/>
    </row>
    <row r="29" spans="10:23" ht="15.75">
      <c r="J29" s="69"/>
      <c r="K29" s="69"/>
      <c r="L29" s="69"/>
      <c r="M29" s="69"/>
      <c r="N29" s="69"/>
      <c r="O29" s="69"/>
      <c r="P29" s="162" t="s">
        <v>100</v>
      </c>
      <c r="Q29" s="70"/>
      <c r="R29" s="70"/>
      <c r="S29" s="70"/>
      <c r="T29" s="70"/>
      <c r="U29" s="70"/>
      <c r="V29" s="70"/>
      <c r="W29" s="150"/>
    </row>
    <row r="30" spans="10:23" ht="15.75">
      <c r="J30" s="69"/>
      <c r="K30" s="69"/>
      <c r="L30" s="69"/>
      <c r="M30" s="69"/>
      <c r="N30" s="69"/>
      <c r="O30" s="69"/>
      <c r="P30" s="162" t="s">
        <v>110</v>
      </c>
      <c r="Q30" s="70"/>
      <c r="R30" s="70"/>
      <c r="S30" s="70"/>
      <c r="T30" s="70"/>
      <c r="U30" s="70"/>
      <c r="V30" s="70"/>
      <c r="W30" s="150"/>
    </row>
    <row r="31" spans="10:23" ht="15.75" customHeight="1">
      <c r="J31" s="69"/>
      <c r="K31" s="69"/>
      <c r="L31" s="69"/>
      <c r="M31" s="69"/>
      <c r="N31" s="69"/>
      <c r="O31" s="69"/>
      <c r="P31" s="163" t="s">
        <v>263</v>
      </c>
      <c r="Q31" s="102"/>
      <c r="R31" s="102"/>
      <c r="S31" s="102"/>
      <c r="T31" s="102"/>
      <c r="U31" s="72"/>
      <c r="V31" s="72"/>
      <c r="W31" s="150"/>
    </row>
    <row r="32" spans="10:23" ht="15.75" customHeight="1">
      <c r="J32" s="69"/>
      <c r="K32" s="69"/>
      <c r="L32" s="69"/>
      <c r="M32" s="69"/>
      <c r="N32" s="69"/>
      <c r="O32" s="69"/>
      <c r="P32" s="163"/>
      <c r="Q32" s="102"/>
      <c r="R32" s="102"/>
      <c r="S32" s="102"/>
      <c r="T32" s="102"/>
      <c r="U32" s="72"/>
      <c r="V32" s="72"/>
      <c r="W32" s="150"/>
    </row>
    <row r="33" spans="10:24" ht="15.75" customHeight="1" thickBot="1">
      <c r="J33" s="228"/>
      <c r="K33" s="228"/>
      <c r="L33" s="532"/>
      <c r="M33" s="228"/>
      <c r="N33" s="228"/>
      <c r="O33" s="228"/>
      <c r="P33" s="164" t="s">
        <v>109</v>
      </c>
      <c r="Q33" s="152"/>
      <c r="R33" s="152"/>
      <c r="S33" s="152"/>
      <c r="T33" s="152"/>
      <c r="U33" s="152"/>
      <c r="V33" s="152"/>
      <c r="W33" s="153"/>
    </row>
    <row r="34" spans="10:24" ht="15.75" customHeight="1">
      <c r="J34" s="228"/>
      <c r="K34" s="228"/>
      <c r="L34" s="532"/>
      <c r="M34" s="228"/>
      <c r="N34" s="228"/>
      <c r="O34" s="228"/>
      <c r="P34" s="7"/>
      <c r="Q34" s="7"/>
      <c r="R34" s="7"/>
      <c r="S34" s="7"/>
      <c r="T34" s="7"/>
      <c r="U34" s="7"/>
      <c r="V34" s="7"/>
      <c r="W34" s="7"/>
    </row>
    <row r="35" spans="10:24" ht="15.75">
      <c r="J35" s="526"/>
      <c r="K35" s="526"/>
      <c r="L35" s="526"/>
      <c r="M35" s="526"/>
      <c r="N35" s="526"/>
      <c r="O35" s="526"/>
      <c r="P35" s="526"/>
      <c r="Q35" s="526"/>
      <c r="R35" s="526"/>
      <c r="S35" s="527"/>
      <c r="T35" s="527"/>
      <c r="U35" s="527"/>
      <c r="V35" s="527"/>
      <c r="W35" s="527"/>
      <c r="X35" s="228"/>
    </row>
    <row r="36" spans="10:24" ht="15.75">
      <c r="J36" s="526"/>
      <c r="K36" s="526"/>
      <c r="L36" s="526"/>
      <c r="M36" s="526"/>
      <c r="N36" s="526"/>
      <c r="O36" s="526"/>
      <c r="P36" s="526"/>
      <c r="Q36" s="526"/>
      <c r="R36" s="526"/>
      <c r="S36" s="527"/>
      <c r="T36" s="527"/>
      <c r="U36" s="527"/>
      <c r="V36" s="527"/>
      <c r="W36" s="527"/>
      <c r="X36" s="228"/>
    </row>
    <row r="37" spans="10:24" ht="15.75">
      <c r="J37" s="526"/>
      <c r="K37" s="526"/>
      <c r="L37" s="526"/>
      <c r="M37" s="526"/>
      <c r="N37" s="526"/>
      <c r="O37" s="526"/>
      <c r="P37" s="526"/>
      <c r="Q37" s="526"/>
      <c r="R37" s="526"/>
      <c r="S37" s="527"/>
      <c r="T37" s="527"/>
      <c r="U37" s="527"/>
      <c r="V37" s="527"/>
      <c r="W37" s="527"/>
      <c r="X37" s="228"/>
    </row>
    <row r="38" spans="10:24" ht="15.75">
      <c r="J38" s="526"/>
      <c r="K38" s="526"/>
      <c r="L38" s="526"/>
      <c r="M38" s="526"/>
      <c r="N38" s="526"/>
      <c r="O38" s="526"/>
      <c r="P38" s="526"/>
      <c r="Q38" s="526"/>
      <c r="R38" s="526"/>
      <c r="S38" s="527"/>
      <c r="T38" s="527"/>
      <c r="U38" s="527"/>
      <c r="V38" s="527"/>
      <c r="W38" s="527"/>
      <c r="X38" s="228"/>
    </row>
    <row r="39" spans="10:24" ht="15.75">
      <c r="J39" s="528"/>
      <c r="K39" s="528"/>
      <c r="L39" s="528"/>
      <c r="M39" s="528"/>
      <c r="N39" s="528"/>
      <c r="O39" s="528"/>
      <c r="P39" s="528"/>
      <c r="Q39" s="528"/>
      <c r="R39" s="528"/>
      <c r="S39" s="228"/>
      <c r="T39" s="228"/>
      <c r="U39" s="228"/>
      <c r="V39" s="228"/>
      <c r="W39" s="228"/>
      <c r="X39" s="228"/>
    </row>
    <row r="40" spans="10:24" ht="15.75">
      <c r="J40" s="529"/>
      <c r="K40" s="530"/>
      <c r="L40" s="530"/>
      <c r="M40" s="530"/>
      <c r="N40" s="530"/>
      <c r="O40" s="530"/>
      <c r="P40" s="530"/>
      <c r="Q40" s="530"/>
      <c r="R40" s="530"/>
      <c r="S40" s="530"/>
      <c r="T40" s="530"/>
      <c r="U40" s="530"/>
      <c r="V40" s="530"/>
      <c r="W40" s="530"/>
      <c r="X40" s="530"/>
    </row>
    <row r="41" spans="10:24" ht="15.75">
      <c r="J41" s="529"/>
      <c r="K41" s="530"/>
      <c r="L41" s="530"/>
      <c r="M41" s="530"/>
      <c r="N41" s="530"/>
      <c r="O41" s="530"/>
      <c r="P41" s="530"/>
      <c r="Q41" s="530"/>
      <c r="R41" s="530"/>
      <c r="S41" s="530"/>
      <c r="T41" s="530"/>
      <c r="U41" s="530"/>
      <c r="V41" s="530"/>
      <c r="W41" s="530"/>
      <c r="X41" s="530"/>
    </row>
    <row r="42" spans="10:24" ht="15.75">
      <c r="J42" s="529"/>
      <c r="K42" s="530"/>
      <c r="L42" s="530"/>
      <c r="M42" s="530"/>
      <c r="N42" s="530"/>
      <c r="O42" s="530"/>
      <c r="P42" s="530"/>
      <c r="Q42" s="530"/>
      <c r="R42" s="530"/>
      <c r="S42" s="530"/>
      <c r="T42" s="530"/>
      <c r="U42" s="530"/>
      <c r="V42" s="530"/>
      <c r="W42" s="530"/>
      <c r="X42" s="530"/>
    </row>
    <row r="43" spans="10:24" ht="15.75">
      <c r="J43" s="529"/>
      <c r="K43" s="530"/>
      <c r="L43" s="530"/>
      <c r="M43" s="530"/>
      <c r="N43" s="530"/>
      <c r="O43" s="531"/>
      <c r="P43" s="530"/>
      <c r="Q43" s="530"/>
      <c r="R43" s="530"/>
      <c r="S43" s="530"/>
      <c r="T43" s="530"/>
      <c r="U43" s="530"/>
      <c r="V43" s="530"/>
      <c r="W43" s="530"/>
      <c r="X43" s="530"/>
    </row>
  </sheetData>
  <sheetProtection algorithmName="SHA-512" hashValue="uJI8Oe7DoflNRq2yK+05Gn8jfq2GZtu2VB44wdQIBcfQg5A3x9lWxsvFA/csaFy6bQxhuBm+Ahfj3nJKFRgkBQ==" saltValue="MW2YpPPLOhwp7NEUTqzlDw==" spinCount="100000" sheet="1" objects="1" scenarios="1" selectLockedCells="1" selectUnlockedCells="1"/>
  <pageMargins left="0.7" right="0.7" top="0.75" bottom="0.75" header="0.3" footer="0.3"/>
  <pageSetup paperSize="9" scale="6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P9:R15"/>
  <sheetViews>
    <sheetView zoomScale="98" zoomScaleNormal="98" workbookViewId="0">
      <selection activeCell="Q14" sqref="Q14"/>
    </sheetView>
  </sheetViews>
  <sheetFormatPr defaultColWidth="9.140625" defaultRowHeight="15"/>
  <cols>
    <col min="10" max="13" width="9.140625" customWidth="1"/>
    <col min="14" max="14" width="6.5703125" customWidth="1"/>
    <col min="15" max="15" width="7.7109375" customWidth="1"/>
    <col min="16" max="16" width="10.7109375" customWidth="1"/>
  </cols>
  <sheetData>
    <row r="9" spans="16:18" ht="15.75" thickBot="1"/>
    <row r="10" spans="16:18" ht="15.75">
      <c r="P10" s="577" t="s">
        <v>116</v>
      </c>
      <c r="Q10" s="578"/>
      <c r="R10" s="579"/>
    </row>
    <row r="11" spans="16:18" ht="15.75">
      <c r="P11" s="580" t="s">
        <v>113</v>
      </c>
      <c r="Q11" s="581"/>
      <c r="R11" s="582"/>
    </row>
    <row r="12" spans="16:18" ht="15.75">
      <c r="P12" s="580" t="s">
        <v>254</v>
      </c>
      <c r="Q12" s="581"/>
      <c r="R12" s="582"/>
    </row>
    <row r="13" spans="16:18" ht="15.75">
      <c r="P13" s="580" t="s">
        <v>114</v>
      </c>
      <c r="Q13" s="581"/>
      <c r="R13" s="582"/>
    </row>
    <row r="14" spans="16:18" ht="15.75">
      <c r="P14" s="580" t="s">
        <v>115</v>
      </c>
      <c r="Q14" s="586">
        <f>'Crude oil comparison1'!R26</f>
        <v>28.514450908517038</v>
      </c>
      <c r="R14" s="582" t="s">
        <v>117</v>
      </c>
    </row>
    <row r="15" spans="16:18" ht="16.5" thickBot="1">
      <c r="P15" s="583" t="s">
        <v>255</v>
      </c>
      <c r="Q15" s="584"/>
      <c r="R15" s="585"/>
    </row>
  </sheetData>
  <sheetProtection algorithmName="SHA-512" hashValue="Shug1XN4/DyFdRV0T8X5xrr3gKemIlM6bylZTAisLZylnmmaTVweSt9pHyLydgH1N/f4ssmvi/qapwUT+Cu7Eg==" saltValue="gcZzHmtqXaKkBZIogLuTQA==" spinCount="100000" sheet="1" objects="1" scenarios="1" selectLockedCells="1" selectUnlockedCells="1"/>
  <pageMargins left="0.7" right="0.7" top="0.75" bottom="0.75" header="0.3" footer="0.3"/>
  <pageSetup paperSize="9"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84" zoomScaleNormal="84" workbookViewId="0">
      <selection activeCell="U23" sqref="U23"/>
    </sheetView>
  </sheetViews>
  <sheetFormatPr defaultColWidth="9.140625" defaultRowHeight="15"/>
  <sheetData/>
  <sheetProtection algorithmName="SHA-512" hashValue="IsNLndjKIJZRkhFO6m33JfJIND5gPHSsiei5gxR1Um0TtN0edYURI8CBfvEgD1kHdYwE3FHmZP5AQjHNcrwx0A==" saltValue="1dDv6Td9asuvQwFiJpwApQ==" spinCount="100000" sheet="1" objects="1" scenarios="1" selectLockedCells="1" selectUn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7"/>
  <sheetViews>
    <sheetView zoomScale="71" zoomScaleNormal="71" workbookViewId="0">
      <selection activeCell="X55" sqref="X55"/>
    </sheetView>
  </sheetViews>
  <sheetFormatPr defaultColWidth="9.140625" defaultRowHeight="15"/>
  <sheetData>
    <row r="1" spans="1:29" ht="30" customHeight="1">
      <c r="A1" s="651" t="s">
        <v>129</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row>
    <row r="3" spans="1:29" ht="15.75">
      <c r="L3" s="6"/>
      <c r="M3" s="6"/>
      <c r="N3" s="6"/>
      <c r="O3" s="6"/>
      <c r="P3" s="6"/>
      <c r="Q3" s="6"/>
      <c r="R3" s="6"/>
      <c r="S3" s="6"/>
      <c r="T3" s="6"/>
      <c r="U3" s="6"/>
      <c r="V3" s="6"/>
      <c r="W3" s="6"/>
      <c r="X3" s="6"/>
      <c r="Y3" s="6"/>
      <c r="Z3" s="6"/>
      <c r="AA3" s="6"/>
      <c r="AB3" s="6"/>
    </row>
    <row r="4" spans="1:29" ht="15.75">
      <c r="L4" s="6"/>
      <c r="M4" s="6"/>
      <c r="N4" s="6"/>
      <c r="O4" s="6"/>
      <c r="P4" s="6"/>
      <c r="Q4" s="6"/>
      <c r="R4" s="6"/>
      <c r="S4" s="6"/>
      <c r="T4" s="6"/>
      <c r="U4" s="6"/>
      <c r="V4" s="6"/>
      <c r="W4" s="6"/>
      <c r="X4" s="6"/>
      <c r="Y4" s="6"/>
      <c r="Z4" s="6"/>
      <c r="AA4" s="6"/>
      <c r="AB4" s="6"/>
    </row>
    <row r="5" spans="1:29" ht="15.75">
      <c r="L5" s="6"/>
      <c r="M5" s="6"/>
      <c r="N5" s="6"/>
      <c r="O5" s="6"/>
      <c r="P5" s="6"/>
      <c r="Q5" s="6"/>
      <c r="R5" s="6"/>
      <c r="S5" s="6"/>
      <c r="T5" s="6"/>
      <c r="U5" s="6"/>
      <c r="V5" s="6"/>
      <c r="W5" s="6"/>
      <c r="X5" s="6"/>
      <c r="Y5" s="6"/>
      <c r="Z5" s="6"/>
      <c r="AA5" s="6"/>
      <c r="AB5" s="6"/>
    </row>
    <row r="6" spans="1:29" ht="15.75">
      <c r="L6" s="6"/>
      <c r="M6" s="6"/>
      <c r="N6" s="6"/>
      <c r="O6" s="6"/>
      <c r="P6" s="6"/>
      <c r="Q6" s="6"/>
      <c r="R6" s="6"/>
      <c r="S6" s="6"/>
      <c r="T6" s="6"/>
      <c r="U6" s="6"/>
      <c r="V6" s="6"/>
      <c r="W6" s="6"/>
      <c r="X6" s="6"/>
      <c r="Y6" s="6"/>
      <c r="Z6" s="6"/>
      <c r="AA6" s="6"/>
      <c r="AB6" s="6"/>
    </row>
    <row r="7" spans="1:29" ht="15.75">
      <c r="L7" s="6"/>
      <c r="M7" s="6"/>
      <c r="N7" s="6"/>
      <c r="O7" s="6"/>
      <c r="P7" s="6"/>
      <c r="Q7" s="6"/>
      <c r="R7" s="6"/>
      <c r="S7" s="6"/>
      <c r="T7" s="6"/>
      <c r="U7" s="6"/>
      <c r="V7" s="6"/>
      <c r="W7" s="6"/>
      <c r="X7" s="6"/>
      <c r="Y7" s="6"/>
      <c r="Z7" s="6"/>
      <c r="AA7" s="6"/>
      <c r="AB7" s="6"/>
    </row>
    <row r="8" spans="1:29" ht="15.75">
      <c r="L8" s="6"/>
      <c r="M8" s="6"/>
      <c r="N8" s="6"/>
      <c r="O8" s="6"/>
      <c r="P8" s="6"/>
      <c r="Q8" s="6"/>
      <c r="R8" s="6"/>
      <c r="S8" s="6"/>
      <c r="T8" s="6"/>
      <c r="U8" s="6"/>
      <c r="V8" s="6"/>
      <c r="W8" s="6"/>
      <c r="X8" s="6"/>
      <c r="Y8" s="6"/>
      <c r="Z8" s="6"/>
      <c r="AA8" s="6"/>
      <c r="AB8" s="6"/>
    </row>
    <row r="9" spans="1:29" ht="15.75">
      <c r="L9" s="6"/>
      <c r="M9" s="6"/>
      <c r="N9" s="6"/>
      <c r="O9" s="6"/>
      <c r="P9" s="6"/>
      <c r="Q9" s="6"/>
      <c r="R9" s="6"/>
      <c r="S9" s="6"/>
      <c r="T9" s="6"/>
      <c r="U9" s="6"/>
      <c r="V9" s="6"/>
      <c r="W9" s="6"/>
      <c r="X9" s="6"/>
      <c r="Y9" s="6"/>
      <c r="Z9" s="6"/>
      <c r="AA9" s="6"/>
      <c r="AB9" s="6"/>
    </row>
    <row r="10" spans="1:29" ht="15.75">
      <c r="L10" s="6"/>
      <c r="M10" s="6"/>
      <c r="N10" s="6"/>
      <c r="O10" s="6"/>
      <c r="P10" s="6"/>
      <c r="Q10" s="6"/>
      <c r="R10" s="6"/>
      <c r="S10" s="6"/>
      <c r="T10" s="6"/>
      <c r="U10" s="6"/>
      <c r="V10" s="6"/>
      <c r="W10" s="6"/>
      <c r="X10" s="6"/>
      <c r="Y10" s="6"/>
      <c r="Z10" s="6"/>
      <c r="AA10" s="6"/>
      <c r="AB10" s="6"/>
    </row>
    <row r="11" spans="1:29" ht="15.75">
      <c r="L11" s="6"/>
      <c r="M11" s="6"/>
      <c r="N11" s="6"/>
      <c r="O11" s="6"/>
      <c r="P11" s="6"/>
      <c r="Q11" s="6"/>
      <c r="R11" s="6"/>
      <c r="S11" s="6"/>
      <c r="T11" s="6"/>
      <c r="U11" s="6"/>
      <c r="V11" s="6"/>
      <c r="W11" s="6"/>
      <c r="X11" s="6"/>
      <c r="Y11" s="6"/>
      <c r="Z11" s="6"/>
      <c r="AA11" s="6"/>
      <c r="AB11" s="6"/>
    </row>
    <row r="12" spans="1:29" ht="15.75">
      <c r="L12" s="6"/>
      <c r="M12" s="6"/>
      <c r="N12" s="6"/>
      <c r="O12" s="6"/>
      <c r="P12" s="6"/>
      <c r="Q12" s="6"/>
      <c r="R12" s="6"/>
      <c r="S12" s="6"/>
      <c r="T12" s="6"/>
      <c r="U12" s="6"/>
      <c r="V12" s="6"/>
      <c r="W12" s="6"/>
      <c r="X12" s="6"/>
      <c r="Y12" s="6"/>
      <c r="Z12" s="6"/>
      <c r="AA12" s="6"/>
      <c r="AB12" s="6"/>
    </row>
    <row r="13" spans="1:29" ht="15.75">
      <c r="L13" s="6"/>
      <c r="M13" s="6"/>
      <c r="N13" s="6"/>
      <c r="O13" s="6"/>
      <c r="P13" s="6"/>
      <c r="Q13" s="6"/>
      <c r="R13" s="6"/>
      <c r="S13" s="6"/>
      <c r="T13" s="6"/>
      <c r="U13" s="6"/>
      <c r="V13" s="6"/>
      <c r="W13" s="6"/>
      <c r="X13" s="6"/>
      <c r="Y13" s="6"/>
      <c r="Z13" s="6"/>
      <c r="AA13" s="6"/>
      <c r="AB13" s="6"/>
    </row>
    <row r="14" spans="1:29" ht="15.75">
      <c r="L14" s="6"/>
      <c r="M14" s="6"/>
      <c r="N14" s="6"/>
      <c r="O14" s="6"/>
      <c r="P14" s="6"/>
      <c r="Q14" s="6"/>
      <c r="R14" s="6"/>
      <c r="S14" s="6"/>
      <c r="T14" s="6"/>
      <c r="U14" s="6"/>
      <c r="V14" s="6"/>
      <c r="W14" s="6"/>
      <c r="X14" s="6"/>
      <c r="Y14" s="6"/>
      <c r="Z14" s="6"/>
      <c r="AA14" s="6"/>
      <c r="AB14" s="6"/>
    </row>
    <row r="15" spans="1:29" ht="15.75">
      <c r="L15" s="6"/>
      <c r="M15" s="6"/>
      <c r="N15" s="6"/>
      <c r="O15" s="6"/>
      <c r="P15" s="6"/>
      <c r="Q15" s="6"/>
      <c r="R15" s="6"/>
      <c r="S15" s="6"/>
      <c r="T15" s="6"/>
      <c r="U15" s="6"/>
      <c r="V15" s="6"/>
      <c r="W15" s="6"/>
      <c r="X15" s="6"/>
      <c r="Y15" s="6"/>
      <c r="Z15" s="6"/>
      <c r="AA15" s="6"/>
      <c r="AB15" s="6"/>
    </row>
    <row r="16" spans="1:29" ht="15.75">
      <c r="L16" s="6"/>
      <c r="M16" s="6"/>
      <c r="N16" s="6"/>
      <c r="O16" s="6"/>
      <c r="P16" s="6"/>
      <c r="Q16" s="6"/>
      <c r="R16" s="6"/>
      <c r="S16" s="6"/>
      <c r="T16" s="6"/>
      <c r="U16" s="6"/>
      <c r="V16" s="6"/>
      <c r="W16" s="6"/>
      <c r="X16" s="6"/>
      <c r="Y16" s="6"/>
      <c r="Z16" s="6"/>
      <c r="AA16" s="6"/>
      <c r="AB16" s="6"/>
    </row>
    <row r="17" spans="12:28" ht="15.75">
      <c r="L17" s="6"/>
      <c r="M17" s="6"/>
      <c r="N17" s="6"/>
      <c r="O17" s="6"/>
      <c r="P17" s="6"/>
      <c r="Q17" s="6"/>
      <c r="R17" s="6"/>
      <c r="S17" s="6"/>
      <c r="T17" s="6"/>
      <c r="U17" s="6"/>
      <c r="V17" s="6"/>
      <c r="W17" s="6"/>
      <c r="X17" s="6"/>
      <c r="Y17" s="6"/>
      <c r="Z17" s="6"/>
      <c r="AA17" s="6"/>
      <c r="AB17" s="6"/>
    </row>
  </sheetData>
  <sheetProtection algorithmName="SHA-512" hashValue="twuyD/keCeCLio5DCQuQN4RT6dF8Fm3/PCHT7ay2JGYYDYXBxqHst5eA5bJ6mnAdKOHcA1t2N608fHNYGBJZJw==" saltValue="7qsmDFFA2lo0gnB4u6Gh9w==" spinCount="100000" sheet="1" objects="1" scenarios="1" selectLockedCells="1" selectUnlockedCells="1"/>
  <mergeCells count="1">
    <mergeCell ref="A1:AC1"/>
  </mergeCells>
  <pageMargins left="0.7" right="0.7" top="0.75" bottom="0.75" header="0.3" footer="0.3"/>
  <pageSetup orientation="portrait"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1:O38"/>
  <sheetViews>
    <sheetView zoomScale="84" zoomScaleNormal="84" workbookViewId="0">
      <selection activeCell="R22" sqref="R22"/>
    </sheetView>
  </sheetViews>
  <sheetFormatPr defaultColWidth="9.140625" defaultRowHeight="15"/>
  <cols>
    <col min="1" max="7" width="10.7109375" customWidth="1"/>
  </cols>
  <sheetData>
    <row r="21" spans="1:15" ht="15.75" thickBot="1"/>
    <row r="22" spans="1:15" ht="30" customHeight="1" thickBot="1">
      <c r="A22" s="654">
        <f>'Model inputs '!E45</f>
        <v>105.59636519908008</v>
      </c>
      <c r="B22" s="655"/>
      <c r="C22" s="165" t="s">
        <v>16</v>
      </c>
      <c r="D22" s="656">
        <v>30</v>
      </c>
      <c r="E22" s="656"/>
      <c r="F22" s="165" t="s">
        <v>96</v>
      </c>
      <c r="G22" s="165" t="s">
        <v>15</v>
      </c>
      <c r="H22" s="658">
        <v>0.37</v>
      </c>
      <c r="I22" s="658"/>
      <c r="J22" s="166" t="s">
        <v>17</v>
      </c>
      <c r="K22" s="653">
        <f>A22*D22/H22</f>
        <v>8561.8674485740612</v>
      </c>
      <c r="L22" s="653"/>
      <c r="M22" s="653"/>
      <c r="N22" s="167" t="s">
        <v>98</v>
      </c>
    </row>
    <row r="24" spans="1:15">
      <c r="D24" s="99"/>
      <c r="M24" s="99"/>
    </row>
    <row r="25" spans="1:15" ht="19.5">
      <c r="F25" s="100"/>
      <c r="G25" s="657"/>
      <c r="H25" s="657"/>
      <c r="I25" s="101"/>
    </row>
    <row r="27" spans="1:15">
      <c r="O27" s="99"/>
    </row>
    <row r="28" spans="1:15">
      <c r="A28" t="s">
        <v>96</v>
      </c>
    </row>
    <row r="29" spans="1:15">
      <c r="A29">
        <v>30</v>
      </c>
    </row>
    <row r="30" spans="1:15">
      <c r="A30">
        <v>40</v>
      </c>
    </row>
    <row r="31" spans="1:15">
      <c r="A31">
        <v>50</v>
      </c>
    </row>
    <row r="32" spans="1:15">
      <c r="A32">
        <v>60</v>
      </c>
    </row>
    <row r="33" spans="1:1">
      <c r="A33">
        <v>70</v>
      </c>
    </row>
    <row r="34" spans="1:1">
      <c r="A34">
        <v>80</v>
      </c>
    </row>
    <row r="35" spans="1:1">
      <c r="A35">
        <v>90</v>
      </c>
    </row>
    <row r="36" spans="1:1">
      <c r="A36">
        <v>100</v>
      </c>
    </row>
    <row r="37" spans="1:1">
      <c r="A37">
        <v>110</v>
      </c>
    </row>
    <row r="38" spans="1:1">
      <c r="A38">
        <v>120</v>
      </c>
    </row>
  </sheetData>
  <sheetProtection algorithmName="SHA-512" hashValue="EWYv6FwSFLMmAzGd2H3orMzTmXwZUSioGigynBs0MWXUyVJh0cyUJ2wKW3f4ysMp/PVtH2Wx6Kfcq4s3NWeQYg==" saltValue="DeY4+sGEL/R+iRR4amJwKA==" spinCount="100000" sheet="1" objects="1" scenarios="1" selectLockedCells="1" selectUnlockedCells="1"/>
  <mergeCells count="5">
    <mergeCell ref="K22:M22"/>
    <mergeCell ref="A22:B22"/>
    <mergeCell ref="D22:E22"/>
    <mergeCell ref="G25:H25"/>
    <mergeCell ref="H22:I22"/>
  </mergeCells>
  <dataValidations count="1">
    <dataValidation type="list" allowBlank="1" showInputMessage="1" showErrorMessage="1" sqref="D22" xr:uid="{00000000-0002-0000-0600-000000000000}">
      <formula1>$A$29:$A$38</formula1>
    </dataValidation>
  </dataValidations>
  <pageMargins left="0.7" right="0.7" top="0.75" bottom="0.75" header="0.3" footer="0.3"/>
  <pageSetup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03"/>
  <sheetViews>
    <sheetView zoomScale="82" zoomScaleNormal="82" workbookViewId="0">
      <selection activeCell="C32" sqref="C32"/>
    </sheetView>
  </sheetViews>
  <sheetFormatPr defaultColWidth="16.85546875" defaultRowHeight="15"/>
  <cols>
    <col min="1" max="1" width="18.28515625" customWidth="1"/>
    <col min="5" max="5" width="21" customWidth="1"/>
    <col min="6" max="6" width="19.85546875" customWidth="1"/>
    <col min="8" max="8" width="18.28515625" bestFit="1" customWidth="1"/>
    <col min="15" max="16" width="20.7109375" customWidth="1"/>
    <col min="17" max="17" width="22.7109375" customWidth="1"/>
    <col min="18" max="18" width="17.85546875" bestFit="1" customWidth="1"/>
  </cols>
  <sheetData>
    <row r="1" spans="1:18" s="48" customFormat="1" ht="69.95" customHeight="1">
      <c r="A1" s="533" t="s">
        <v>0</v>
      </c>
      <c r="B1" s="534" t="s">
        <v>10</v>
      </c>
      <c r="C1" s="534" t="s">
        <v>219</v>
      </c>
      <c r="D1" s="535" t="s">
        <v>1</v>
      </c>
      <c r="E1" s="536" t="s">
        <v>216</v>
      </c>
      <c r="F1" s="536" t="s">
        <v>11</v>
      </c>
      <c r="G1" s="535" t="s">
        <v>2</v>
      </c>
      <c r="H1" s="536" t="s">
        <v>3</v>
      </c>
      <c r="I1" s="536" t="s">
        <v>12</v>
      </c>
      <c r="J1" s="536" t="s">
        <v>121</v>
      </c>
      <c r="K1" s="536" t="s">
        <v>4</v>
      </c>
      <c r="L1" s="536" t="s">
        <v>13</v>
      </c>
      <c r="M1" s="535" t="s">
        <v>5</v>
      </c>
      <c r="N1" s="536" t="s">
        <v>6</v>
      </c>
      <c r="O1" s="536" t="s">
        <v>220</v>
      </c>
      <c r="P1" s="536" t="s">
        <v>7</v>
      </c>
      <c r="Q1" s="534" t="s">
        <v>221</v>
      </c>
      <c r="R1" s="537" t="s">
        <v>9</v>
      </c>
    </row>
    <row r="2" spans="1:18" s="64" customFormat="1" ht="30" customHeight="1" thickBot="1">
      <c r="A2" s="538">
        <f>'Baseline calcs '!A38</f>
        <v>450</v>
      </c>
      <c r="B2" s="539">
        <f>'Baseline calcs '!B38</f>
        <v>10</v>
      </c>
      <c r="C2" s="540">
        <f>SUM(A2*B2)</f>
        <v>4500</v>
      </c>
      <c r="D2" s="541">
        <f>'Baseline calcs '!D38</f>
        <v>0.23</v>
      </c>
      <c r="E2" s="542">
        <f>'Baseline calcs '!E38</f>
        <v>103.5</v>
      </c>
      <c r="F2" s="543">
        <f>'Baseline calcs '!F38</f>
        <v>43.478260869565219</v>
      </c>
      <c r="G2" s="541">
        <f>'Baseline calcs '!G38</f>
        <v>0.88</v>
      </c>
      <c r="H2" s="542">
        <f>'Baseline calcs '!H38</f>
        <v>91.08</v>
      </c>
      <c r="I2" s="544">
        <f>'Baseline calcs '!I38</f>
        <v>49.40711462450593</v>
      </c>
      <c r="J2" s="542">
        <f>'Baseline calcs '!J38</f>
        <v>4.5540000000000003</v>
      </c>
      <c r="K2" s="542">
        <f>'Baseline calcs '!K38</f>
        <v>86.525999999999996</v>
      </c>
      <c r="L2" s="543">
        <f>'Baseline calcs '!L38</f>
        <v>52.007489078427298</v>
      </c>
      <c r="M2" s="542">
        <f>'Baseline calcs '!M38</f>
        <v>290</v>
      </c>
      <c r="N2" s="545">
        <f>'Baseline calcs '!N38</f>
        <v>25092.539999999997</v>
      </c>
      <c r="O2" s="543">
        <f>'Baseline calcs '!O38</f>
        <v>17.933616923595622</v>
      </c>
      <c r="P2" s="545">
        <f>'Baseline calcs '!P38</f>
        <v>250925.39999999997</v>
      </c>
      <c r="Q2" s="542">
        <f>'Baseline calcs '!Q38</f>
        <v>1.7933616923595619</v>
      </c>
      <c r="R2" s="546">
        <f>'Baseline calcs '!R38</f>
        <v>35638.981906415087</v>
      </c>
    </row>
    <row r="3" spans="1:18" ht="30" customHeight="1">
      <c r="A3" s="719" t="s">
        <v>130</v>
      </c>
      <c r="B3" s="720"/>
      <c r="C3" s="720"/>
      <c r="D3" s="720"/>
      <c r="E3" s="720"/>
      <c r="F3" s="720"/>
      <c r="G3" s="720"/>
      <c r="H3" s="720"/>
      <c r="I3" s="720"/>
      <c r="J3" s="721"/>
    </row>
    <row r="4" spans="1:18" ht="30" customHeight="1">
      <c r="A4" s="267">
        <f>P2</f>
        <v>250925.39999999997</v>
      </c>
      <c r="B4" s="260" t="s">
        <v>15</v>
      </c>
      <c r="C4" s="260">
        <f>A2</f>
        <v>450</v>
      </c>
      <c r="D4" s="260" t="s">
        <v>16</v>
      </c>
      <c r="E4" s="261">
        <v>0.42</v>
      </c>
      <c r="F4" s="260" t="s">
        <v>17</v>
      </c>
      <c r="G4" s="258">
        <f>SUM(A4/C4*E4)</f>
        <v>234.19703999999999</v>
      </c>
      <c r="H4" s="722" t="s">
        <v>131</v>
      </c>
      <c r="I4" s="722"/>
      <c r="J4" s="723"/>
    </row>
    <row r="5" spans="1:18" ht="30" customHeight="1">
      <c r="A5" s="724" t="s">
        <v>132</v>
      </c>
      <c r="B5" s="725"/>
      <c r="C5" s="725"/>
      <c r="D5" s="725"/>
      <c r="E5" s="725"/>
      <c r="F5" s="725"/>
      <c r="G5" s="725"/>
      <c r="H5" s="725"/>
      <c r="I5" s="725"/>
      <c r="J5" s="726"/>
    </row>
    <row r="6" spans="1:18" ht="30" customHeight="1">
      <c r="A6" s="267">
        <f>P2</f>
        <v>250925.39999999997</v>
      </c>
      <c r="B6" s="260" t="s">
        <v>15</v>
      </c>
      <c r="C6" s="260">
        <f>A2</f>
        <v>450</v>
      </c>
      <c r="D6" s="260" t="s">
        <v>16</v>
      </c>
      <c r="E6" s="261">
        <v>0.45</v>
      </c>
      <c r="F6" s="260" t="s">
        <v>17</v>
      </c>
      <c r="G6" s="258">
        <f>A6/C6*E6</f>
        <v>250.9254</v>
      </c>
      <c r="H6" s="722" t="s">
        <v>131</v>
      </c>
      <c r="I6" s="722"/>
      <c r="J6" s="723"/>
      <c r="K6" s="48"/>
      <c r="L6" s="48"/>
      <c r="M6" s="48"/>
      <c r="N6" s="48"/>
      <c r="O6" s="48"/>
      <c r="P6" s="48"/>
      <c r="Q6" s="48"/>
    </row>
    <row r="7" spans="1:18" ht="30" customHeight="1">
      <c r="A7" s="727" t="s">
        <v>133</v>
      </c>
      <c r="B7" s="728"/>
      <c r="C7" s="728"/>
      <c r="D7" s="728"/>
      <c r="E7" s="728"/>
      <c r="F7" s="729"/>
      <c r="G7" s="730"/>
      <c r="H7" s="730"/>
      <c r="I7" s="730"/>
      <c r="J7" s="731"/>
      <c r="K7" s="48"/>
      <c r="L7" s="48"/>
      <c r="M7" s="48"/>
      <c r="N7" s="48"/>
      <c r="O7" s="48"/>
      <c r="P7" s="48"/>
      <c r="Q7" s="48"/>
    </row>
    <row r="8" spans="1:18" s="48" customFormat="1" ht="30" customHeight="1">
      <c r="A8" s="265">
        <f>G4</f>
        <v>234.19703999999999</v>
      </c>
      <c r="B8" s="262" t="s">
        <v>64</v>
      </c>
      <c r="C8" s="262">
        <f>G6</f>
        <v>250.9254</v>
      </c>
      <c r="D8" s="262" t="s">
        <v>17</v>
      </c>
      <c r="E8" s="310">
        <f>A8+C8</f>
        <v>485.12243999999998</v>
      </c>
      <c r="F8" s="732"/>
      <c r="G8" s="733"/>
      <c r="H8" s="733"/>
      <c r="I8" s="733"/>
      <c r="J8" s="734"/>
      <c r="K8"/>
      <c r="L8"/>
      <c r="M8"/>
      <c r="N8"/>
      <c r="O8"/>
      <c r="P8"/>
      <c r="Q8"/>
    </row>
    <row r="9" spans="1:18" s="91" customFormat="1" ht="30" customHeight="1">
      <c r="A9" s="263" t="s">
        <v>159</v>
      </c>
      <c r="B9" s="264"/>
      <c r="C9" s="264"/>
      <c r="D9" s="735"/>
      <c r="E9" s="736"/>
      <c r="F9" s="736"/>
      <c r="G9" s="736"/>
      <c r="H9" s="736"/>
      <c r="I9" s="736"/>
      <c r="J9" s="737"/>
      <c r="K9" s="90"/>
      <c r="L9" s="90"/>
      <c r="M9" s="90"/>
      <c r="N9" s="90"/>
      <c r="O9" s="90"/>
      <c r="P9" s="90"/>
      <c r="Q9" s="90"/>
    </row>
    <row r="10" spans="1:18" s="91" customFormat="1" ht="30" customHeight="1">
      <c r="A10" s="265">
        <f>N2</f>
        <v>25092.539999999997</v>
      </c>
      <c r="B10" s="260" t="s">
        <v>15</v>
      </c>
      <c r="C10" s="266">
        <f>A2</f>
        <v>450</v>
      </c>
      <c r="D10" s="262" t="s">
        <v>17</v>
      </c>
      <c r="E10" s="310">
        <f>A10/C10</f>
        <v>55.761199999999995</v>
      </c>
      <c r="F10" s="547" t="s">
        <v>134</v>
      </c>
      <c r="G10" s="738"/>
      <c r="H10" s="739"/>
      <c r="I10" s="739"/>
      <c r="J10" s="740"/>
      <c r="K10" s="90"/>
      <c r="L10" s="90"/>
      <c r="M10" s="90"/>
      <c r="N10" s="90"/>
      <c r="O10" s="90"/>
      <c r="P10" s="90"/>
      <c r="Q10" s="90"/>
    </row>
    <row r="11" spans="1:18" s="48" customFormat="1" ht="30" customHeight="1">
      <c r="A11" s="724" t="s">
        <v>135</v>
      </c>
      <c r="B11" s="725"/>
      <c r="C11" s="725"/>
      <c r="D11" s="725"/>
      <c r="E11" s="725"/>
      <c r="F11" s="725"/>
      <c r="G11" s="725"/>
      <c r="H11" s="725"/>
      <c r="I11" s="725"/>
      <c r="J11" s="726"/>
      <c r="K11"/>
      <c r="L11"/>
      <c r="M11"/>
      <c r="N11"/>
      <c r="O11"/>
      <c r="P11"/>
      <c r="Q11"/>
    </row>
    <row r="12" spans="1:18" s="48" customFormat="1" ht="30" customHeight="1">
      <c r="A12" s="267">
        <f>R2</f>
        <v>35638.981906415087</v>
      </c>
      <c r="B12" s="260" t="s">
        <v>15</v>
      </c>
      <c r="C12" s="260">
        <f>A2</f>
        <v>450</v>
      </c>
      <c r="D12" s="260" t="s">
        <v>17</v>
      </c>
      <c r="E12" s="258">
        <f>A12/C12</f>
        <v>79.197737569811309</v>
      </c>
      <c r="F12" s="741" t="s">
        <v>136</v>
      </c>
      <c r="G12" s="742"/>
      <c r="H12" s="742"/>
      <c r="I12" s="742"/>
      <c r="J12" s="743"/>
    </row>
    <row r="13" spans="1:18" ht="30" customHeight="1">
      <c r="A13" s="663" t="s">
        <v>269</v>
      </c>
      <c r="B13" s="664"/>
      <c r="C13" s="664"/>
      <c r="D13" s="664"/>
      <c r="E13" s="664"/>
      <c r="F13" s="664"/>
      <c r="G13" s="664"/>
      <c r="H13" s="664"/>
      <c r="I13" s="664"/>
      <c r="J13" s="666"/>
    </row>
    <row r="14" spans="1:18" ht="30" customHeight="1">
      <c r="A14" s="663" t="s">
        <v>264</v>
      </c>
      <c r="B14" s="664"/>
      <c r="C14" s="664"/>
      <c r="D14" s="664"/>
      <c r="E14" s="664"/>
      <c r="F14" s="664"/>
      <c r="G14" s="698"/>
      <c r="H14" s="664"/>
      <c r="I14" s="664"/>
      <c r="J14" s="666"/>
    </row>
    <row r="15" spans="1:18" ht="30" customHeight="1">
      <c r="A15" s="268">
        <v>3000</v>
      </c>
      <c r="B15" s="269" t="s">
        <v>16</v>
      </c>
      <c r="C15" s="269">
        <v>8760</v>
      </c>
      <c r="D15" s="269" t="s">
        <v>16</v>
      </c>
      <c r="E15" s="270">
        <v>0.95</v>
      </c>
      <c r="F15" s="271" t="s">
        <v>17</v>
      </c>
      <c r="G15" s="272">
        <f>A15*C15*E15</f>
        <v>24966000</v>
      </c>
      <c r="H15" s="669" t="s">
        <v>65</v>
      </c>
      <c r="I15" s="669"/>
      <c r="J15" s="678"/>
    </row>
    <row r="16" spans="1:18" ht="30" customHeight="1">
      <c r="A16" s="702" t="s">
        <v>222</v>
      </c>
      <c r="B16" s="703"/>
      <c r="C16" s="703"/>
      <c r="D16" s="703"/>
      <c r="E16" s="703"/>
      <c r="F16" s="703"/>
      <c r="G16" s="704"/>
      <c r="H16" s="703"/>
      <c r="I16" s="703"/>
      <c r="J16" s="705"/>
    </row>
    <row r="17" spans="1:22" s="6" customFormat="1" ht="30" customHeight="1">
      <c r="A17" s="268">
        <v>3150</v>
      </c>
      <c r="B17" s="269" t="s">
        <v>16</v>
      </c>
      <c r="C17" s="269">
        <f>C15</f>
        <v>8760</v>
      </c>
      <c r="D17" s="269" t="s">
        <v>16</v>
      </c>
      <c r="E17" s="270">
        <f>E15</f>
        <v>0.95</v>
      </c>
      <c r="F17" s="269" t="s">
        <v>17</v>
      </c>
      <c r="G17" s="273">
        <f>A17*C17*E17</f>
        <v>26214300</v>
      </c>
      <c r="H17" s="677" t="s">
        <v>66</v>
      </c>
      <c r="I17" s="669"/>
      <c r="J17" s="678"/>
      <c r="K17"/>
      <c r="L17"/>
      <c r="M17"/>
      <c r="N17"/>
      <c r="O17"/>
      <c r="P17"/>
      <c r="Q17"/>
    </row>
    <row r="18" spans="1:22" s="6" customFormat="1" ht="30" customHeight="1">
      <c r="A18" s="706" t="s">
        <v>267</v>
      </c>
      <c r="B18" s="707"/>
      <c r="C18" s="707"/>
      <c r="D18" s="707"/>
      <c r="E18" s="707"/>
      <c r="F18" s="707"/>
      <c r="G18" s="707"/>
      <c r="H18" s="707"/>
      <c r="I18" s="707"/>
      <c r="J18" s="708"/>
      <c r="K18"/>
      <c r="L18"/>
      <c r="M18"/>
      <c r="N18"/>
      <c r="O18"/>
      <c r="P18"/>
      <c r="Q18"/>
    </row>
    <row r="19" spans="1:22" s="6" customFormat="1" ht="30" customHeight="1">
      <c r="A19" s="709">
        <f>G15</f>
        <v>24966000</v>
      </c>
      <c r="B19" s="710"/>
      <c r="C19" s="269" t="s">
        <v>64</v>
      </c>
      <c r="D19" s="711">
        <f>G17</f>
        <v>26214300</v>
      </c>
      <c r="E19" s="711"/>
      <c r="F19" s="274" t="s">
        <v>17</v>
      </c>
      <c r="G19" s="273">
        <f>SUM(A19,D19)</f>
        <v>51180300</v>
      </c>
      <c r="H19" s="677" t="s">
        <v>227</v>
      </c>
      <c r="I19" s="669"/>
      <c r="J19" s="678"/>
    </row>
    <row r="20" spans="1:22" ht="30" customHeight="1">
      <c r="A20" s="712" t="s">
        <v>265</v>
      </c>
      <c r="B20" s="713"/>
      <c r="C20" s="713"/>
      <c r="D20" s="713"/>
      <c r="E20" s="713"/>
      <c r="F20" s="713"/>
      <c r="G20" s="713"/>
      <c r="H20" s="713"/>
      <c r="I20" s="713"/>
      <c r="J20" s="714"/>
      <c r="K20" s="6"/>
      <c r="L20" s="6"/>
      <c r="M20" s="6"/>
      <c r="N20" s="6"/>
      <c r="O20" s="6"/>
      <c r="P20" s="6"/>
      <c r="Q20" s="6"/>
    </row>
    <row r="21" spans="1:22" ht="30" customHeight="1">
      <c r="A21" s="702" t="s">
        <v>266</v>
      </c>
      <c r="B21" s="715"/>
      <c r="C21" s="716"/>
      <c r="D21" s="717"/>
      <c r="E21" s="717"/>
      <c r="F21" s="717"/>
      <c r="G21" s="717"/>
      <c r="H21" s="717"/>
      <c r="I21" s="717"/>
      <c r="J21" s="718"/>
    </row>
    <row r="22" spans="1:22" ht="30" customHeight="1">
      <c r="A22" s="275">
        <f>G15</f>
        <v>24966000</v>
      </c>
      <c r="B22" s="269" t="s">
        <v>16</v>
      </c>
      <c r="C22" s="276">
        <v>0.06</v>
      </c>
      <c r="D22" s="269" t="s">
        <v>17</v>
      </c>
      <c r="E22" s="277">
        <f>SUM(A22*C22)</f>
        <v>1497960</v>
      </c>
      <c r="F22" s="682" t="s">
        <v>137</v>
      </c>
      <c r="G22" s="682"/>
      <c r="H22" s="682"/>
      <c r="I22" s="682"/>
      <c r="J22" s="683"/>
      <c r="L22" s="214"/>
    </row>
    <row r="23" spans="1:22" ht="30" customHeight="1">
      <c r="A23" s="275">
        <f>A22</f>
        <v>24966000</v>
      </c>
      <c r="B23" s="269" t="s">
        <v>67</v>
      </c>
      <c r="C23" s="278">
        <f>E22</f>
        <v>1497960</v>
      </c>
      <c r="D23" s="269" t="s">
        <v>17</v>
      </c>
      <c r="E23" s="277">
        <f>A23-C23</f>
        <v>23468040</v>
      </c>
      <c r="F23" s="682" t="s">
        <v>137</v>
      </c>
      <c r="G23" s="682"/>
      <c r="H23" s="682"/>
      <c r="I23" s="682"/>
      <c r="J23" s="683"/>
    </row>
    <row r="24" spans="1:22" ht="30" customHeight="1">
      <c r="A24" s="279" t="s">
        <v>268</v>
      </c>
      <c r="B24" s="269"/>
      <c r="C24" s="699"/>
      <c r="D24" s="700"/>
      <c r="E24" s="700"/>
      <c r="F24" s="700"/>
      <c r="G24" s="700"/>
      <c r="H24" s="700"/>
      <c r="I24" s="700"/>
      <c r="J24" s="701"/>
    </row>
    <row r="25" spans="1:22" ht="30" customHeight="1">
      <c r="A25" s="275">
        <f>G17</f>
        <v>26214300</v>
      </c>
      <c r="B25" s="269" t="s">
        <v>16</v>
      </c>
      <c r="C25" s="276">
        <v>0.3</v>
      </c>
      <c r="D25" s="269" t="s">
        <v>17</v>
      </c>
      <c r="E25" s="277">
        <f>A25*C25</f>
        <v>7864290</v>
      </c>
      <c r="F25" s="682" t="s">
        <v>138</v>
      </c>
      <c r="G25" s="682"/>
      <c r="H25" s="682"/>
      <c r="I25" s="682"/>
      <c r="J25" s="683"/>
    </row>
    <row r="26" spans="1:22" ht="30" customHeight="1" thickBot="1">
      <c r="A26" s="275">
        <f>A25</f>
        <v>26214300</v>
      </c>
      <c r="B26" s="269" t="s">
        <v>67</v>
      </c>
      <c r="C26" s="278">
        <f>E25</f>
        <v>7864290</v>
      </c>
      <c r="D26" s="269" t="s">
        <v>17</v>
      </c>
      <c r="E26" s="277">
        <f>A26-C26</f>
        <v>18350010</v>
      </c>
      <c r="F26" s="677" t="s">
        <v>138</v>
      </c>
      <c r="G26" s="669"/>
      <c r="H26" s="669"/>
      <c r="I26" s="669"/>
      <c r="J26" s="678"/>
      <c r="K26" s="218"/>
      <c r="L26" s="218"/>
      <c r="M26" s="218"/>
      <c r="N26" s="218"/>
    </row>
    <row r="27" spans="1:22" s="89" customFormat="1" ht="30" customHeight="1">
      <c r="A27" s="684" t="s">
        <v>223</v>
      </c>
      <c r="B27" s="685"/>
      <c r="C27" s="685"/>
      <c r="D27" s="685"/>
      <c r="E27" s="685"/>
      <c r="F27" s="685"/>
      <c r="G27" s="685"/>
      <c r="H27" s="685"/>
      <c r="I27" s="685"/>
      <c r="J27" s="686"/>
      <c r="K27" s="280"/>
      <c r="L27" s="221" t="s">
        <v>89</v>
      </c>
      <c r="M27" s="136"/>
      <c r="N27" s="136"/>
      <c r="O27" s="136"/>
      <c r="P27" s="136"/>
      <c r="Q27" s="137"/>
      <c r="R27" s="137"/>
      <c r="S27" s="137"/>
      <c r="T27" s="137"/>
      <c r="U27" s="137"/>
      <c r="V27" s="138"/>
    </row>
    <row r="28" spans="1:22" ht="30" customHeight="1">
      <c r="A28" s="281">
        <v>34000000</v>
      </c>
      <c r="B28" s="269" t="s">
        <v>15</v>
      </c>
      <c r="C28" s="278">
        <v>10</v>
      </c>
      <c r="D28" s="269" t="s">
        <v>17</v>
      </c>
      <c r="E28" s="273">
        <f>A28/C28</f>
        <v>3400000</v>
      </c>
      <c r="F28" s="677" t="s">
        <v>139</v>
      </c>
      <c r="G28" s="669"/>
      <c r="H28" s="669"/>
      <c r="I28" s="669"/>
      <c r="J28" s="678"/>
      <c r="K28" s="218"/>
      <c r="L28" s="222"/>
      <c r="M28" s="69"/>
      <c r="N28" s="69"/>
      <c r="O28" s="69"/>
      <c r="P28" s="69"/>
      <c r="Q28" s="69"/>
      <c r="R28" s="7"/>
      <c r="S28" s="69"/>
      <c r="T28" s="69"/>
      <c r="U28" s="69"/>
      <c r="V28" s="139"/>
    </row>
    <row r="29" spans="1:22" ht="30" customHeight="1">
      <c r="A29" s="693" t="s">
        <v>228</v>
      </c>
      <c r="B29" s="694"/>
      <c r="C29" s="694"/>
      <c r="D29" s="694"/>
      <c r="E29" s="694"/>
      <c r="F29" s="694"/>
      <c r="G29" s="694"/>
      <c r="H29" s="685"/>
      <c r="I29" s="685"/>
      <c r="J29" s="686"/>
      <c r="K29" s="218"/>
      <c r="L29" s="222"/>
      <c r="M29" s="69"/>
      <c r="N29" s="69"/>
      <c r="O29" s="69"/>
      <c r="P29" s="69"/>
      <c r="Q29" s="69"/>
      <c r="R29" s="7"/>
      <c r="S29" s="69"/>
      <c r="T29" s="69"/>
      <c r="U29" s="69"/>
      <c r="V29" s="139"/>
    </row>
    <row r="30" spans="1:22" ht="30" customHeight="1">
      <c r="A30" s="274">
        <f>E47*P2</f>
        <v>93442857.142857134</v>
      </c>
      <c r="B30" s="682" t="s">
        <v>160</v>
      </c>
      <c r="C30" s="682"/>
      <c r="D30" s="269" t="s">
        <v>16</v>
      </c>
      <c r="E30" s="276">
        <f>E4</f>
        <v>0.42</v>
      </c>
      <c r="F30" s="269" t="s">
        <v>17</v>
      </c>
      <c r="G30" s="273">
        <f>A30*E30/8760</f>
        <v>4480.1369863013688</v>
      </c>
      <c r="H30" s="298" t="s">
        <v>161</v>
      </c>
      <c r="I30" s="298"/>
      <c r="J30" s="299"/>
      <c r="K30" s="218"/>
      <c r="L30" s="222"/>
      <c r="M30" s="69"/>
      <c r="N30" s="69"/>
      <c r="O30" s="69"/>
      <c r="P30" s="69"/>
      <c r="Q30" s="69"/>
      <c r="R30" s="7"/>
      <c r="S30" s="69"/>
      <c r="T30" s="69"/>
      <c r="U30" s="69"/>
      <c r="V30" s="139"/>
    </row>
    <row r="31" spans="1:22" ht="30" customHeight="1">
      <c r="A31" s="685" t="s">
        <v>258</v>
      </c>
      <c r="B31" s="685"/>
      <c r="C31" s="685"/>
      <c r="D31" s="685"/>
      <c r="E31" s="685"/>
      <c r="F31" s="590"/>
      <c r="G31" s="591"/>
      <c r="H31" s="587"/>
      <c r="I31" s="587"/>
      <c r="J31" s="588"/>
      <c r="K31" s="218"/>
      <c r="L31" s="222"/>
      <c r="M31" s="69"/>
      <c r="N31" s="69"/>
      <c r="O31" s="69"/>
      <c r="P31" s="69"/>
      <c r="Q31" s="69"/>
      <c r="R31" s="7"/>
      <c r="S31" s="69"/>
      <c r="T31" s="69"/>
      <c r="U31" s="69"/>
      <c r="V31" s="139"/>
    </row>
    <row r="32" spans="1:22" ht="30" customHeight="1">
      <c r="A32" s="589">
        <f>G30</f>
        <v>4480.1369863013688</v>
      </c>
      <c r="B32" s="269" t="s">
        <v>16</v>
      </c>
      <c r="C32" s="594">
        <v>3300</v>
      </c>
      <c r="D32" s="269" t="s">
        <v>17</v>
      </c>
      <c r="E32" s="592">
        <f>A32*C32</f>
        <v>14784452.054794516</v>
      </c>
      <c r="F32" s="590"/>
      <c r="G32" s="591"/>
      <c r="H32" s="587"/>
      <c r="I32" s="587"/>
      <c r="J32" s="588"/>
      <c r="K32" s="218"/>
      <c r="L32" s="222"/>
      <c r="M32" s="69"/>
      <c r="N32" s="69"/>
      <c r="O32" s="69"/>
      <c r="P32" s="69"/>
      <c r="Q32" s="69"/>
      <c r="R32" s="7"/>
      <c r="S32" s="69"/>
      <c r="T32" s="69"/>
      <c r="U32" s="69"/>
      <c r="V32" s="139"/>
    </row>
    <row r="33" spans="1:22" ht="30" customHeight="1">
      <c r="A33" s="687" t="s">
        <v>224</v>
      </c>
      <c r="B33" s="688"/>
      <c r="C33" s="688"/>
      <c r="D33" s="688"/>
      <c r="E33" s="688"/>
      <c r="F33" s="688"/>
      <c r="G33" s="688"/>
      <c r="H33" s="689"/>
      <c r="I33" s="689"/>
      <c r="J33" s="690"/>
      <c r="K33" s="282"/>
      <c r="L33" s="222"/>
      <c r="M33" s="69"/>
      <c r="N33" s="69"/>
      <c r="O33" s="69"/>
      <c r="P33" s="69"/>
      <c r="Q33" s="69"/>
      <c r="R33" s="69"/>
      <c r="S33" s="69"/>
      <c r="T33" s="69"/>
      <c r="U33" s="69"/>
      <c r="V33" s="139"/>
    </row>
    <row r="34" spans="1:22" ht="30" customHeight="1">
      <c r="A34" s="312">
        <f>E12</f>
        <v>79.197737569811309</v>
      </c>
      <c r="B34" s="283" t="s">
        <v>16</v>
      </c>
      <c r="C34" s="274">
        <f>E41</f>
        <v>167576.84042462707</v>
      </c>
      <c r="D34" s="274" t="s">
        <v>17</v>
      </c>
      <c r="E34" s="273">
        <f>SUM(A34*C34)</f>
        <v>13271706.630727762</v>
      </c>
      <c r="F34" s="691" t="s">
        <v>61</v>
      </c>
      <c r="G34" s="691"/>
      <c r="H34" s="691"/>
      <c r="I34" s="691"/>
      <c r="J34" s="692"/>
      <c r="K34" s="284"/>
      <c r="L34" s="222"/>
      <c r="M34" s="69"/>
      <c r="N34" s="69"/>
      <c r="O34" s="69"/>
      <c r="P34" s="69"/>
      <c r="Q34" s="69"/>
      <c r="R34" s="69"/>
      <c r="S34" s="69"/>
      <c r="T34" s="69"/>
      <c r="U34" s="69"/>
      <c r="V34" s="139"/>
    </row>
    <row r="35" spans="1:22" ht="30" customHeight="1">
      <c r="A35" s="695" t="s">
        <v>140</v>
      </c>
      <c r="B35" s="696"/>
      <c r="C35" s="696"/>
      <c r="D35" s="696"/>
      <c r="E35" s="696"/>
      <c r="F35" s="696"/>
      <c r="G35" s="696"/>
      <c r="H35" s="696"/>
      <c r="I35" s="696"/>
      <c r="J35" s="697"/>
      <c r="K35" s="285"/>
      <c r="L35" s="222"/>
      <c r="M35" s="69"/>
      <c r="N35" s="69"/>
      <c r="O35" s="69"/>
      <c r="P35" s="69"/>
      <c r="Q35" s="69"/>
      <c r="R35" s="69"/>
      <c r="S35" s="69"/>
      <c r="T35" s="69"/>
      <c r="U35" s="69"/>
      <c r="V35" s="139"/>
    </row>
    <row r="36" spans="1:22" s="7" customFormat="1" ht="30" customHeight="1">
      <c r="A36" s="663" t="s">
        <v>141</v>
      </c>
      <c r="B36" s="664"/>
      <c r="C36" s="664"/>
      <c r="D36" s="664"/>
      <c r="E36" s="698"/>
      <c r="F36" s="664"/>
      <c r="G36" s="664"/>
      <c r="H36" s="664"/>
      <c r="I36" s="664"/>
      <c r="J36" s="666"/>
      <c r="K36" s="286"/>
      <c r="L36" s="222"/>
      <c r="M36" s="69"/>
      <c r="N36" s="69"/>
      <c r="O36" s="69"/>
      <c r="P36" s="69"/>
      <c r="Q36" s="69"/>
      <c r="R36" s="69"/>
      <c r="V36" s="140"/>
    </row>
    <row r="37" spans="1:22" ht="30" customHeight="1">
      <c r="A37" s="275">
        <f>G15</f>
        <v>24966000</v>
      </c>
      <c r="B37" s="269" t="s">
        <v>142</v>
      </c>
      <c r="C37" s="269" t="s">
        <v>15</v>
      </c>
      <c r="D37" s="311">
        <f>G4</f>
        <v>234.19703999999999</v>
      </c>
      <c r="E37" s="287" t="s">
        <v>17</v>
      </c>
      <c r="F37" s="352">
        <f>A37/D37</f>
        <v>106602.54288440196</v>
      </c>
      <c r="G37" s="677" t="s">
        <v>19</v>
      </c>
      <c r="H37" s="669"/>
      <c r="I37" s="669"/>
      <c r="J37" s="678"/>
      <c r="K37" s="218"/>
      <c r="L37" s="222"/>
      <c r="M37" s="69"/>
      <c r="N37" s="69"/>
      <c r="O37" s="69"/>
      <c r="P37" s="69"/>
      <c r="Q37" s="69"/>
      <c r="R37" s="69"/>
      <c r="S37" s="69"/>
      <c r="T37" s="69"/>
      <c r="U37" s="69"/>
      <c r="V37" s="139"/>
    </row>
    <row r="38" spans="1:22" ht="30" customHeight="1">
      <c r="A38" s="279" t="s">
        <v>225</v>
      </c>
      <c r="B38" s="269"/>
      <c r="C38" s="269"/>
      <c r="D38" s="288"/>
      <c r="E38" s="289"/>
      <c r="F38" s="679"/>
      <c r="G38" s="680"/>
      <c r="H38" s="680"/>
      <c r="I38" s="680"/>
      <c r="J38" s="681"/>
      <c r="K38" s="290"/>
      <c r="L38" s="222"/>
      <c r="M38" s="69"/>
      <c r="N38" s="69"/>
      <c r="O38" s="69"/>
      <c r="P38" s="69"/>
      <c r="Q38" s="69"/>
      <c r="R38" s="69"/>
      <c r="S38" s="69"/>
      <c r="T38" s="69"/>
      <c r="U38" s="69"/>
      <c r="V38" s="139"/>
    </row>
    <row r="39" spans="1:22" ht="30" customHeight="1">
      <c r="A39" s="275">
        <f>E28</f>
        <v>3400000</v>
      </c>
      <c r="B39" s="269" t="s">
        <v>143</v>
      </c>
      <c r="C39" s="269" t="s">
        <v>15</v>
      </c>
      <c r="D39" s="291">
        <f>E10</f>
        <v>55.761199999999995</v>
      </c>
      <c r="E39" s="291" t="s">
        <v>17</v>
      </c>
      <c r="F39" s="292">
        <f>A39/D39</f>
        <v>60974.29754022511</v>
      </c>
      <c r="G39" s="677" t="s">
        <v>19</v>
      </c>
      <c r="H39" s="669"/>
      <c r="I39" s="669"/>
      <c r="J39" s="678"/>
      <c r="K39" s="218"/>
      <c r="L39" s="222"/>
      <c r="M39" s="69"/>
      <c r="N39" s="69"/>
      <c r="O39" s="69"/>
      <c r="P39" s="69"/>
      <c r="Q39" s="69"/>
      <c r="R39" s="69"/>
      <c r="S39" s="69"/>
      <c r="T39" s="69"/>
      <c r="U39" s="69"/>
      <c r="V39" s="139"/>
    </row>
    <row r="40" spans="1:22" ht="30" customHeight="1">
      <c r="A40" s="279" t="s">
        <v>144</v>
      </c>
      <c r="B40" s="269"/>
      <c r="C40" s="269"/>
      <c r="D40" s="293"/>
      <c r="E40" s="677" t="s">
        <v>145</v>
      </c>
      <c r="F40" s="669"/>
      <c r="G40" s="669"/>
      <c r="H40" s="669"/>
      <c r="I40" s="669"/>
      <c r="J40" s="678"/>
      <c r="K40" s="218"/>
      <c r="L40" s="222"/>
      <c r="M40" s="69"/>
      <c r="N40" s="69"/>
      <c r="O40" s="69"/>
      <c r="P40" s="69"/>
      <c r="Q40" s="69"/>
      <c r="R40" s="69"/>
      <c r="S40" s="69"/>
      <c r="T40" s="69"/>
      <c r="U40" s="69"/>
      <c r="V40" s="139"/>
    </row>
    <row r="41" spans="1:22" ht="30" customHeight="1">
      <c r="A41" s="275">
        <f>F37</f>
        <v>106602.54288440196</v>
      </c>
      <c r="B41" s="274" t="s">
        <v>64</v>
      </c>
      <c r="C41" s="274">
        <f>F39</f>
        <v>60974.29754022511</v>
      </c>
      <c r="D41" s="274" t="s">
        <v>17</v>
      </c>
      <c r="E41" s="273">
        <f>A41+C41</f>
        <v>167576.84042462707</v>
      </c>
      <c r="F41" s="677" t="s">
        <v>19</v>
      </c>
      <c r="G41" s="669"/>
      <c r="H41" s="669"/>
      <c r="I41" s="669"/>
      <c r="J41" s="678"/>
      <c r="K41" s="218"/>
      <c r="L41" s="222"/>
      <c r="M41" s="69"/>
      <c r="N41" s="69"/>
      <c r="O41" s="69"/>
      <c r="P41" s="69"/>
      <c r="Q41" s="69"/>
      <c r="R41" s="69"/>
      <c r="S41" s="69"/>
      <c r="T41" s="69"/>
      <c r="U41" s="69"/>
      <c r="V41" s="139"/>
    </row>
    <row r="42" spans="1:22" s="68" customFormat="1" ht="30" customHeight="1" thickBot="1">
      <c r="A42" s="663" t="s">
        <v>146</v>
      </c>
      <c r="B42" s="664"/>
      <c r="C42" s="664"/>
      <c r="D42" s="664"/>
      <c r="E42" s="664"/>
      <c r="F42" s="664"/>
      <c r="G42" s="664"/>
      <c r="H42" s="664"/>
      <c r="I42" s="664"/>
      <c r="J42" s="666"/>
      <c r="K42" s="286"/>
      <c r="L42" s="223"/>
      <c r="M42" s="95"/>
      <c r="N42" s="95"/>
      <c r="O42" s="95"/>
      <c r="P42" s="95"/>
      <c r="Q42" s="95"/>
      <c r="R42" s="95"/>
      <c r="S42" s="95"/>
      <c r="T42" s="95"/>
      <c r="U42" s="95"/>
      <c r="V42" s="141"/>
    </row>
    <row r="43" spans="1:22" s="67" customFormat="1" ht="30" customHeight="1">
      <c r="A43" s="275">
        <f>E41</f>
        <v>167576.84042462707</v>
      </c>
      <c r="B43" s="269" t="s">
        <v>15</v>
      </c>
      <c r="C43" s="269">
        <v>365</v>
      </c>
      <c r="D43" s="269" t="s">
        <v>17</v>
      </c>
      <c r="E43" s="258">
        <f>A43/C43</f>
        <v>459.11463130034815</v>
      </c>
      <c r="F43" s="677" t="s">
        <v>147</v>
      </c>
      <c r="G43" s="669"/>
      <c r="H43" s="669"/>
      <c r="I43" s="669"/>
      <c r="J43" s="678"/>
      <c r="K43" s="218"/>
      <c r="L43" s="219" t="s">
        <v>81</v>
      </c>
      <c r="M43" s="129"/>
      <c r="N43" s="129"/>
      <c r="O43" s="130" t="s">
        <v>95</v>
      </c>
      <c r="P43" s="129"/>
      <c r="Q43" s="131"/>
      <c r="R43" s="225"/>
      <c r="S43" s="226"/>
      <c r="T43" s="226"/>
      <c r="U43" s="226"/>
      <c r="V43" s="227"/>
    </row>
    <row r="44" spans="1:22" s="67" customFormat="1" ht="30" customHeight="1">
      <c r="A44" s="279" t="s">
        <v>148</v>
      </c>
      <c r="B44" s="269"/>
      <c r="C44" s="269"/>
      <c r="D44" s="679"/>
      <c r="E44" s="680"/>
      <c r="F44" s="680"/>
      <c r="G44" s="680"/>
      <c r="H44" s="680"/>
      <c r="I44" s="680"/>
      <c r="J44" s="681"/>
      <c r="K44" s="290"/>
      <c r="L44" s="675" t="s">
        <v>82</v>
      </c>
      <c r="M44" s="676"/>
      <c r="N44" s="233"/>
      <c r="O44" s="93" t="s">
        <v>83</v>
      </c>
      <c r="P44" s="233"/>
      <c r="Q44" s="132"/>
      <c r="R44" s="225"/>
      <c r="S44" s="226"/>
      <c r="T44" s="226"/>
      <c r="U44" s="226"/>
      <c r="V44" s="227"/>
    </row>
    <row r="45" spans="1:22" s="67" customFormat="1" ht="30" customHeight="1">
      <c r="A45" s="312">
        <f>E43</f>
        <v>459.11463130034815</v>
      </c>
      <c r="B45" s="269" t="s">
        <v>16</v>
      </c>
      <c r="C45" s="294">
        <f>D2</f>
        <v>0.23</v>
      </c>
      <c r="D45" s="269" t="s">
        <v>17</v>
      </c>
      <c r="E45" s="258">
        <f>A45*C45</f>
        <v>105.59636519908008</v>
      </c>
      <c r="F45" s="672" t="s">
        <v>147</v>
      </c>
      <c r="G45" s="673"/>
      <c r="H45" s="673"/>
      <c r="I45" s="673"/>
      <c r="J45" s="674"/>
      <c r="K45" s="295"/>
      <c r="L45" s="675" t="s">
        <v>84</v>
      </c>
      <c r="M45" s="676"/>
      <c r="N45" s="233"/>
      <c r="O45" s="659" t="s">
        <v>85</v>
      </c>
      <c r="P45" s="659"/>
      <c r="Q45" s="132"/>
      <c r="R45" s="225"/>
      <c r="S45" s="226"/>
      <c r="T45" s="226"/>
      <c r="U45" s="226"/>
      <c r="V45" s="227"/>
    </row>
    <row r="46" spans="1:22" ht="30" customHeight="1">
      <c r="A46" s="279" t="s">
        <v>149</v>
      </c>
      <c r="B46" s="296"/>
      <c r="C46" s="297"/>
      <c r="D46" s="298"/>
      <c r="E46" s="298"/>
      <c r="F46" s="669"/>
      <c r="G46" s="669"/>
      <c r="H46" s="669"/>
      <c r="I46" s="669"/>
      <c r="J46" s="313"/>
      <c r="K46" s="218"/>
      <c r="L46" s="232" t="s">
        <v>86</v>
      </c>
      <c r="M46" s="233"/>
      <c r="N46" s="93"/>
      <c r="O46" s="231" t="s">
        <v>87</v>
      </c>
      <c r="P46" s="94"/>
      <c r="Q46" s="132"/>
      <c r="R46" s="228"/>
      <c r="S46" s="228"/>
      <c r="T46" s="228"/>
      <c r="U46" s="228"/>
      <c r="V46" s="229"/>
    </row>
    <row r="47" spans="1:22" ht="30" customHeight="1">
      <c r="A47" s="362">
        <f>E41</f>
        <v>167576.84042462707</v>
      </c>
      <c r="B47" s="300" t="s">
        <v>15</v>
      </c>
      <c r="C47" s="300">
        <f>A2</f>
        <v>450</v>
      </c>
      <c r="D47" s="300" t="s">
        <v>17</v>
      </c>
      <c r="E47" s="361">
        <f>A47/C47</f>
        <v>372.39297872139349</v>
      </c>
      <c r="F47" s="670"/>
      <c r="G47" s="671"/>
      <c r="H47" s="671"/>
      <c r="I47" s="671"/>
      <c r="J47" s="301"/>
      <c r="K47" s="302"/>
      <c r="L47" s="660" t="s">
        <v>88</v>
      </c>
      <c r="M47" s="661"/>
      <c r="N47" s="661"/>
      <c r="O47" s="662" t="s">
        <v>108</v>
      </c>
      <c r="P47" s="662"/>
      <c r="Q47" s="132"/>
      <c r="R47" s="96"/>
      <c r="S47" s="69"/>
      <c r="T47" s="69"/>
      <c r="U47" s="69"/>
      <c r="V47" s="139"/>
    </row>
    <row r="48" spans="1:22" ht="30" customHeight="1" thickBot="1">
      <c r="A48" s="663" t="s">
        <v>226</v>
      </c>
      <c r="B48" s="664"/>
      <c r="C48" s="664"/>
      <c r="D48" s="664"/>
      <c r="E48" s="664"/>
      <c r="F48" s="665"/>
      <c r="G48" s="665"/>
      <c r="H48" s="665"/>
      <c r="I48" s="665"/>
      <c r="J48" s="666"/>
      <c r="K48" s="286"/>
      <c r="L48" s="220" t="s">
        <v>101</v>
      </c>
      <c r="M48" s="133"/>
      <c r="N48" s="133"/>
      <c r="O48" s="133"/>
      <c r="P48" s="134"/>
      <c r="Q48" s="135"/>
      <c r="R48" s="69"/>
      <c r="S48" s="69"/>
      <c r="T48" s="69"/>
      <c r="U48" s="69"/>
      <c r="V48" s="139"/>
    </row>
    <row r="49" spans="1:22" ht="30" customHeight="1" thickBot="1">
      <c r="A49" s="303">
        <f>E41</f>
        <v>167576.84042462707</v>
      </c>
      <c r="B49" s="304" t="s">
        <v>16</v>
      </c>
      <c r="C49" s="576">
        <f>B2</f>
        <v>10</v>
      </c>
      <c r="D49" s="304" t="s">
        <v>17</v>
      </c>
      <c r="E49" s="259">
        <f>A49*C49</f>
        <v>1675768.4042462707</v>
      </c>
      <c r="F49" s="667"/>
      <c r="G49" s="667"/>
      <c r="H49" s="667"/>
      <c r="I49" s="667"/>
      <c r="J49" s="668"/>
      <c r="K49" s="305"/>
      <c r="L49" s="224"/>
      <c r="M49" s="142"/>
      <c r="N49" s="142"/>
      <c r="O49" s="142"/>
      <c r="P49" s="142"/>
      <c r="Q49" s="142"/>
      <c r="R49" s="142"/>
      <c r="S49" s="142"/>
      <c r="T49" s="142"/>
      <c r="U49" s="142"/>
      <c r="V49" s="143"/>
    </row>
    <row r="50" spans="1:22" ht="30" customHeight="1">
      <c r="A50" s="6"/>
      <c r="B50" s="6"/>
      <c r="C50" s="6"/>
      <c r="D50" s="6"/>
      <c r="E50" s="6"/>
      <c r="F50" s="6"/>
      <c r="G50" s="6"/>
      <c r="H50" s="6"/>
      <c r="I50" s="6"/>
      <c r="L50" s="305"/>
      <c r="M50" s="305"/>
      <c r="Q50" s="69"/>
      <c r="R50" s="69"/>
      <c r="S50" s="69"/>
      <c r="T50" s="69"/>
      <c r="U50" s="69"/>
    </row>
    <row r="51" spans="1:22">
      <c r="I51" s="306" t="s">
        <v>150</v>
      </c>
      <c r="J51" s="307" t="s">
        <v>151</v>
      </c>
    </row>
    <row r="52" spans="1:22">
      <c r="A52" s="308" t="s">
        <v>152</v>
      </c>
      <c r="B52" s="306" t="s">
        <v>153</v>
      </c>
      <c r="C52" s="306"/>
      <c r="D52" s="306" t="s">
        <v>154</v>
      </c>
      <c r="E52" s="593" t="s">
        <v>257</v>
      </c>
      <c r="F52" s="309" t="s">
        <v>155</v>
      </c>
      <c r="I52" s="3">
        <v>0.02</v>
      </c>
      <c r="J52" s="3">
        <v>0.1</v>
      </c>
    </row>
    <row r="53" spans="1:22">
      <c r="A53">
        <v>0</v>
      </c>
      <c r="B53" s="3">
        <v>0.4</v>
      </c>
      <c r="D53" s="3">
        <v>0.85</v>
      </c>
      <c r="E53" s="575">
        <v>0</v>
      </c>
      <c r="F53">
        <v>2500</v>
      </c>
      <c r="I53" s="3">
        <v>0.03</v>
      </c>
      <c r="J53" s="3">
        <v>0.11</v>
      </c>
    </row>
    <row r="54" spans="1:22">
      <c r="A54" s="230">
        <v>10000000</v>
      </c>
      <c r="B54" s="3">
        <v>0.41</v>
      </c>
      <c r="D54" s="3">
        <v>0.86</v>
      </c>
      <c r="E54" s="575">
        <v>3000</v>
      </c>
      <c r="F54">
        <v>2550</v>
      </c>
      <c r="I54" s="3">
        <v>0.04</v>
      </c>
      <c r="J54" s="3">
        <v>0.12</v>
      </c>
    </row>
    <row r="55" spans="1:22">
      <c r="A55" s="230">
        <v>11000000</v>
      </c>
      <c r="B55" s="3">
        <v>0.42</v>
      </c>
      <c r="D55" s="3">
        <v>0.87</v>
      </c>
      <c r="E55" s="575">
        <v>3100</v>
      </c>
      <c r="F55">
        <v>2600</v>
      </c>
      <c r="I55" s="3">
        <v>0.05</v>
      </c>
      <c r="J55" s="3">
        <v>0.13</v>
      </c>
    </row>
    <row r="56" spans="1:22">
      <c r="A56" s="230">
        <v>12000000</v>
      </c>
      <c r="B56" s="3">
        <v>0.43</v>
      </c>
      <c r="D56" s="3">
        <v>0.88</v>
      </c>
      <c r="E56" s="575">
        <v>3200</v>
      </c>
      <c r="F56">
        <v>2650</v>
      </c>
      <c r="I56" s="3">
        <v>0.06</v>
      </c>
      <c r="J56" s="3">
        <v>0.14000000000000001</v>
      </c>
    </row>
    <row r="57" spans="1:22">
      <c r="A57" s="230">
        <v>13000000</v>
      </c>
      <c r="B57" s="3">
        <v>0.44</v>
      </c>
      <c r="D57" s="3">
        <v>0.89</v>
      </c>
      <c r="E57" s="575">
        <v>3300</v>
      </c>
      <c r="F57">
        <v>2700</v>
      </c>
      <c r="I57" s="3">
        <v>7.0000000000000007E-2</v>
      </c>
      <c r="J57" s="3">
        <v>0.15</v>
      </c>
    </row>
    <row r="58" spans="1:22">
      <c r="A58" s="230">
        <v>14000000</v>
      </c>
      <c r="B58" s="3">
        <v>0.45</v>
      </c>
      <c r="D58" s="3">
        <v>0.9</v>
      </c>
      <c r="E58" s="575">
        <v>3400</v>
      </c>
      <c r="F58">
        <v>2750</v>
      </c>
      <c r="I58" s="3">
        <v>0.08</v>
      </c>
      <c r="J58" s="3">
        <v>0.16</v>
      </c>
    </row>
    <row r="59" spans="1:22">
      <c r="A59" s="230">
        <v>15000000</v>
      </c>
      <c r="B59" s="3">
        <v>0.46</v>
      </c>
      <c r="D59" s="3">
        <v>0.91</v>
      </c>
      <c r="E59" s="575">
        <v>3500</v>
      </c>
      <c r="F59">
        <v>2800</v>
      </c>
      <c r="I59" s="3">
        <v>0.09</v>
      </c>
      <c r="J59" s="3">
        <v>0.17</v>
      </c>
    </row>
    <row r="60" spans="1:22">
      <c r="A60" s="230">
        <v>16000000</v>
      </c>
      <c r="B60" s="3">
        <v>0.47</v>
      </c>
      <c r="D60" s="3">
        <v>0.92</v>
      </c>
      <c r="E60" s="575">
        <v>3600</v>
      </c>
      <c r="F60">
        <v>2850</v>
      </c>
      <c r="I60" s="3">
        <v>0.1</v>
      </c>
      <c r="J60" s="3">
        <v>0.18</v>
      </c>
    </row>
    <row r="61" spans="1:22">
      <c r="A61" s="230">
        <v>17000000</v>
      </c>
      <c r="B61" s="3">
        <v>0.48</v>
      </c>
      <c r="D61" s="3">
        <v>0.93</v>
      </c>
      <c r="E61" s="575">
        <v>3700</v>
      </c>
      <c r="F61">
        <v>2900</v>
      </c>
      <c r="J61" s="3">
        <v>0.19</v>
      </c>
    </row>
    <row r="62" spans="1:22">
      <c r="A62" s="230">
        <v>18000000</v>
      </c>
      <c r="B62" s="3">
        <v>0.49</v>
      </c>
      <c r="D62" s="3">
        <v>0.94</v>
      </c>
      <c r="E62" s="575">
        <v>3800</v>
      </c>
      <c r="F62">
        <v>2950</v>
      </c>
      <c r="J62" s="3">
        <v>0.2</v>
      </c>
    </row>
    <row r="63" spans="1:22">
      <c r="A63" s="230">
        <v>19000000</v>
      </c>
      <c r="B63" s="3">
        <v>0.5</v>
      </c>
      <c r="D63" s="3">
        <v>0.95</v>
      </c>
      <c r="E63" s="575">
        <v>3900</v>
      </c>
      <c r="F63">
        <v>3000</v>
      </c>
      <c r="J63" s="3">
        <v>0.21</v>
      </c>
    </row>
    <row r="64" spans="1:22">
      <c r="A64" s="230">
        <v>20000000</v>
      </c>
      <c r="D64" s="3">
        <v>0.96</v>
      </c>
      <c r="E64" s="575">
        <v>4000</v>
      </c>
      <c r="F64">
        <v>3050</v>
      </c>
      <c r="J64" s="3">
        <v>0.22</v>
      </c>
    </row>
    <row r="65" spans="1:10">
      <c r="A65" s="230">
        <v>21000000</v>
      </c>
      <c r="D65" s="3">
        <v>0.97</v>
      </c>
      <c r="F65">
        <v>3100</v>
      </c>
      <c r="J65" s="3">
        <v>0.23</v>
      </c>
    </row>
    <row r="66" spans="1:10">
      <c r="A66" s="230">
        <v>22000000</v>
      </c>
      <c r="D66" s="3">
        <v>0.98</v>
      </c>
      <c r="F66">
        <v>3150</v>
      </c>
      <c r="J66" s="3">
        <v>0.24</v>
      </c>
    </row>
    <row r="67" spans="1:10">
      <c r="A67" s="230">
        <v>23000000</v>
      </c>
      <c r="F67">
        <v>3200</v>
      </c>
      <c r="J67" s="3">
        <v>0.25</v>
      </c>
    </row>
    <row r="68" spans="1:10">
      <c r="A68" s="230">
        <v>24000000</v>
      </c>
      <c r="F68">
        <v>3250</v>
      </c>
      <c r="J68" s="3">
        <v>0.26</v>
      </c>
    </row>
    <row r="69" spans="1:10">
      <c r="A69" s="230">
        <v>25000000</v>
      </c>
      <c r="F69">
        <v>3300</v>
      </c>
      <c r="J69" s="3">
        <v>0.27</v>
      </c>
    </row>
    <row r="70" spans="1:10">
      <c r="A70" s="230">
        <v>26000000</v>
      </c>
      <c r="F70">
        <v>3350</v>
      </c>
      <c r="J70" s="3">
        <v>0.28000000000000003</v>
      </c>
    </row>
    <row r="71" spans="1:10">
      <c r="A71" s="230">
        <v>27000000</v>
      </c>
      <c r="F71">
        <v>3400</v>
      </c>
      <c r="J71" s="3">
        <v>0.28999999999999998</v>
      </c>
    </row>
    <row r="72" spans="1:10">
      <c r="A72" s="230">
        <v>28000000</v>
      </c>
      <c r="F72">
        <v>3450</v>
      </c>
      <c r="J72" s="3">
        <v>0.3</v>
      </c>
    </row>
    <row r="73" spans="1:10">
      <c r="A73" s="230">
        <v>29000000</v>
      </c>
      <c r="F73">
        <v>3500</v>
      </c>
      <c r="J73" s="3">
        <v>0.31</v>
      </c>
    </row>
    <row r="74" spans="1:10">
      <c r="A74" s="230">
        <v>30000000</v>
      </c>
      <c r="F74">
        <v>3550</v>
      </c>
      <c r="J74" s="3">
        <v>0.32</v>
      </c>
    </row>
    <row r="75" spans="1:10">
      <c r="A75" s="230">
        <v>31000000</v>
      </c>
      <c r="F75">
        <v>3600</v>
      </c>
      <c r="J75" s="3">
        <v>0.33</v>
      </c>
    </row>
    <row r="76" spans="1:10">
      <c r="A76" s="230">
        <v>32000000</v>
      </c>
      <c r="F76">
        <v>3650</v>
      </c>
      <c r="J76" s="3">
        <v>0.34</v>
      </c>
    </row>
    <row r="77" spans="1:10">
      <c r="A77" s="230">
        <v>33000000</v>
      </c>
      <c r="F77">
        <v>3700</v>
      </c>
      <c r="J77" s="3">
        <v>0.35</v>
      </c>
    </row>
    <row r="78" spans="1:10">
      <c r="A78" s="230">
        <v>34000000</v>
      </c>
      <c r="F78">
        <v>3750</v>
      </c>
      <c r="J78" s="3">
        <v>0.36</v>
      </c>
    </row>
    <row r="79" spans="1:10">
      <c r="A79" s="230">
        <v>35000000</v>
      </c>
      <c r="F79">
        <v>3800</v>
      </c>
      <c r="J79" s="3">
        <v>0.37</v>
      </c>
    </row>
    <row r="80" spans="1:10">
      <c r="A80" s="230">
        <v>36000000</v>
      </c>
      <c r="F80">
        <v>3850</v>
      </c>
      <c r="J80" s="3">
        <v>0.38</v>
      </c>
    </row>
    <row r="81" spans="1:10">
      <c r="A81" s="230">
        <v>37000000</v>
      </c>
      <c r="F81">
        <v>3900</v>
      </c>
      <c r="J81" s="3">
        <v>0.39</v>
      </c>
    </row>
    <row r="82" spans="1:10">
      <c r="A82" s="230">
        <v>38000000</v>
      </c>
      <c r="F82">
        <v>3950</v>
      </c>
      <c r="J82" s="3">
        <v>0.4</v>
      </c>
    </row>
    <row r="83" spans="1:10">
      <c r="A83" s="230">
        <v>39000000</v>
      </c>
      <c r="F83">
        <v>4000</v>
      </c>
      <c r="J83" s="3">
        <v>0.41</v>
      </c>
    </row>
    <row r="84" spans="1:10">
      <c r="A84" s="230">
        <v>40000000</v>
      </c>
      <c r="F84">
        <v>4050</v>
      </c>
      <c r="J84" s="3">
        <v>0.42</v>
      </c>
    </row>
    <row r="85" spans="1:10">
      <c r="F85">
        <v>4100</v>
      </c>
      <c r="J85" s="3">
        <v>0.43</v>
      </c>
    </row>
    <row r="86" spans="1:10">
      <c r="F86">
        <v>4150</v>
      </c>
      <c r="J86" s="3">
        <v>0.44</v>
      </c>
    </row>
    <row r="87" spans="1:10">
      <c r="F87">
        <v>4200</v>
      </c>
      <c r="J87" s="3">
        <v>0.45</v>
      </c>
    </row>
    <row r="88" spans="1:10">
      <c r="F88">
        <v>4250</v>
      </c>
      <c r="J88" s="3">
        <v>0.46</v>
      </c>
    </row>
    <row r="89" spans="1:10">
      <c r="F89">
        <v>4300</v>
      </c>
      <c r="J89" s="3">
        <v>0.47</v>
      </c>
    </row>
    <row r="90" spans="1:10">
      <c r="F90">
        <v>4350</v>
      </c>
      <c r="J90" s="3">
        <v>0.48</v>
      </c>
    </row>
    <row r="91" spans="1:10">
      <c r="F91">
        <v>4400</v>
      </c>
      <c r="J91" s="3">
        <v>0.49</v>
      </c>
    </row>
    <row r="92" spans="1:10">
      <c r="F92">
        <v>4450</v>
      </c>
      <c r="J92" s="3">
        <v>0.5</v>
      </c>
    </row>
    <row r="93" spans="1:10">
      <c r="F93">
        <v>4500</v>
      </c>
    </row>
    <row r="94" spans="1:10">
      <c r="F94">
        <v>4550</v>
      </c>
    </row>
    <row r="95" spans="1:10">
      <c r="F95">
        <v>4600</v>
      </c>
    </row>
    <row r="96" spans="1:10">
      <c r="F96">
        <v>4650</v>
      </c>
    </row>
    <row r="97" spans="6:6">
      <c r="F97">
        <v>4700</v>
      </c>
    </row>
    <row r="98" spans="6:6">
      <c r="F98">
        <v>4750</v>
      </c>
    </row>
    <row r="99" spans="6:6">
      <c r="F99">
        <v>4800</v>
      </c>
    </row>
    <row r="100" spans="6:6">
      <c r="F100">
        <v>4850</v>
      </c>
    </row>
    <row r="101" spans="6:6">
      <c r="F101">
        <v>4900</v>
      </c>
    </row>
    <row r="102" spans="6:6">
      <c r="F102">
        <v>4950</v>
      </c>
    </row>
    <row r="103" spans="6:6">
      <c r="F103">
        <v>5000</v>
      </c>
    </row>
    <row r="104" spans="6:6">
      <c r="F104">
        <v>5050</v>
      </c>
    </row>
    <row r="105" spans="6:6">
      <c r="F105">
        <v>5100</v>
      </c>
    </row>
    <row r="106" spans="6:6">
      <c r="F106">
        <v>5150</v>
      </c>
    </row>
    <row r="107" spans="6:6">
      <c r="F107">
        <v>5200</v>
      </c>
    </row>
    <row r="108" spans="6:6">
      <c r="F108">
        <v>5250</v>
      </c>
    </row>
    <row r="109" spans="6:6">
      <c r="F109">
        <v>5300</v>
      </c>
    </row>
    <row r="110" spans="6:6">
      <c r="F110">
        <v>5350</v>
      </c>
    </row>
    <row r="111" spans="6:6">
      <c r="F111">
        <v>5400</v>
      </c>
    </row>
    <row r="112" spans="6:6">
      <c r="F112">
        <v>5450</v>
      </c>
    </row>
    <row r="113" spans="6:6">
      <c r="F113">
        <v>5500</v>
      </c>
    </row>
    <row r="114" spans="6:6">
      <c r="F114">
        <v>5550</v>
      </c>
    </row>
    <row r="115" spans="6:6">
      <c r="F115">
        <v>5600</v>
      </c>
    </row>
    <row r="116" spans="6:6">
      <c r="F116">
        <v>5650</v>
      </c>
    </row>
    <row r="117" spans="6:6">
      <c r="F117">
        <v>5700</v>
      </c>
    </row>
    <row r="118" spans="6:6">
      <c r="F118">
        <v>5750</v>
      </c>
    </row>
    <row r="119" spans="6:6">
      <c r="F119">
        <v>5800</v>
      </c>
    </row>
    <row r="120" spans="6:6">
      <c r="F120">
        <v>5850</v>
      </c>
    </row>
    <row r="121" spans="6:6">
      <c r="F121">
        <v>5900</v>
      </c>
    </row>
    <row r="122" spans="6:6">
      <c r="F122">
        <v>5950</v>
      </c>
    </row>
    <row r="123" spans="6:6">
      <c r="F123">
        <v>6000</v>
      </c>
    </row>
    <row r="124" spans="6:6">
      <c r="F124">
        <v>6050</v>
      </c>
    </row>
    <row r="125" spans="6:6">
      <c r="F125">
        <v>6100</v>
      </c>
    </row>
    <row r="126" spans="6:6">
      <c r="F126">
        <v>6150</v>
      </c>
    </row>
    <row r="127" spans="6:6">
      <c r="F127">
        <v>6200</v>
      </c>
    </row>
    <row r="128" spans="6:6">
      <c r="F128">
        <v>6250</v>
      </c>
    </row>
    <row r="129" spans="6:6">
      <c r="F129">
        <v>6300</v>
      </c>
    </row>
    <row r="130" spans="6:6">
      <c r="F130">
        <v>6350</v>
      </c>
    </row>
    <row r="131" spans="6:6">
      <c r="F131">
        <v>6400</v>
      </c>
    </row>
    <row r="132" spans="6:6">
      <c r="F132">
        <v>6450</v>
      </c>
    </row>
    <row r="133" spans="6:6">
      <c r="F133">
        <v>6500</v>
      </c>
    </row>
    <row r="134" spans="6:6">
      <c r="F134">
        <v>6550</v>
      </c>
    </row>
    <row r="135" spans="6:6">
      <c r="F135">
        <v>6600</v>
      </c>
    </row>
    <row r="136" spans="6:6">
      <c r="F136">
        <v>6650</v>
      </c>
    </row>
    <row r="137" spans="6:6">
      <c r="F137">
        <v>6700</v>
      </c>
    </row>
    <row r="138" spans="6:6">
      <c r="F138">
        <v>6750</v>
      </c>
    </row>
    <row r="139" spans="6:6">
      <c r="F139">
        <v>6800</v>
      </c>
    </row>
    <row r="140" spans="6:6">
      <c r="F140">
        <v>6850</v>
      </c>
    </row>
    <row r="141" spans="6:6">
      <c r="F141">
        <v>6900</v>
      </c>
    </row>
    <row r="142" spans="6:6">
      <c r="F142">
        <v>6950</v>
      </c>
    </row>
    <row r="143" spans="6:6">
      <c r="F143">
        <v>7000</v>
      </c>
    </row>
    <row r="144" spans="6:6">
      <c r="F144">
        <v>7050</v>
      </c>
    </row>
    <row r="145" spans="6:6">
      <c r="F145">
        <v>7100</v>
      </c>
    </row>
    <row r="146" spans="6:6">
      <c r="F146">
        <v>7150</v>
      </c>
    </row>
    <row r="147" spans="6:6">
      <c r="F147">
        <v>7200</v>
      </c>
    </row>
    <row r="148" spans="6:6">
      <c r="F148">
        <v>7250</v>
      </c>
    </row>
    <row r="149" spans="6:6">
      <c r="F149">
        <v>7300</v>
      </c>
    </row>
    <row r="150" spans="6:6">
      <c r="F150">
        <v>7350</v>
      </c>
    </row>
    <row r="151" spans="6:6">
      <c r="F151">
        <v>7400</v>
      </c>
    </row>
    <row r="152" spans="6:6">
      <c r="F152">
        <v>7450</v>
      </c>
    </row>
    <row r="153" spans="6:6">
      <c r="F153">
        <v>7500</v>
      </c>
    </row>
    <row r="154" spans="6:6">
      <c r="F154">
        <v>7550</v>
      </c>
    </row>
    <row r="155" spans="6:6">
      <c r="F155">
        <v>7600</v>
      </c>
    </row>
    <row r="156" spans="6:6">
      <c r="F156">
        <v>7650</v>
      </c>
    </row>
    <row r="157" spans="6:6">
      <c r="F157">
        <v>7700</v>
      </c>
    </row>
    <row r="158" spans="6:6">
      <c r="F158">
        <v>7750</v>
      </c>
    </row>
    <row r="159" spans="6:6">
      <c r="F159">
        <v>7800</v>
      </c>
    </row>
    <row r="160" spans="6:6">
      <c r="F160">
        <v>7850</v>
      </c>
    </row>
    <row r="161" spans="6:6">
      <c r="F161">
        <v>7900</v>
      </c>
    </row>
    <row r="162" spans="6:6">
      <c r="F162">
        <v>7950</v>
      </c>
    </row>
    <row r="163" spans="6:6">
      <c r="F163">
        <v>8000</v>
      </c>
    </row>
    <row r="164" spans="6:6">
      <c r="F164">
        <v>8050</v>
      </c>
    </row>
    <row r="165" spans="6:6">
      <c r="F165">
        <v>8100</v>
      </c>
    </row>
    <row r="166" spans="6:6">
      <c r="F166">
        <v>8150</v>
      </c>
    </row>
    <row r="167" spans="6:6">
      <c r="F167">
        <v>8200</v>
      </c>
    </row>
    <row r="168" spans="6:6">
      <c r="F168">
        <v>8250</v>
      </c>
    </row>
    <row r="169" spans="6:6">
      <c r="F169">
        <v>8300</v>
      </c>
    </row>
    <row r="170" spans="6:6">
      <c r="F170">
        <v>8350</v>
      </c>
    </row>
    <row r="171" spans="6:6">
      <c r="F171">
        <v>8400</v>
      </c>
    </row>
    <row r="172" spans="6:6">
      <c r="F172">
        <v>8450</v>
      </c>
    </row>
    <row r="173" spans="6:6">
      <c r="F173">
        <v>8500</v>
      </c>
    </row>
    <row r="174" spans="6:6">
      <c r="F174">
        <v>8550</v>
      </c>
    </row>
    <row r="175" spans="6:6">
      <c r="F175">
        <v>8600</v>
      </c>
    </row>
    <row r="176" spans="6:6">
      <c r="F176">
        <v>8650</v>
      </c>
    </row>
    <row r="177" spans="6:6">
      <c r="F177">
        <v>8700</v>
      </c>
    </row>
    <row r="178" spans="6:6">
      <c r="F178">
        <v>8750</v>
      </c>
    </row>
    <row r="179" spans="6:6">
      <c r="F179">
        <v>8800</v>
      </c>
    </row>
    <row r="180" spans="6:6">
      <c r="F180">
        <v>8850</v>
      </c>
    </row>
    <row r="181" spans="6:6">
      <c r="F181">
        <v>8900</v>
      </c>
    </row>
    <row r="182" spans="6:6">
      <c r="F182">
        <v>8950</v>
      </c>
    </row>
    <row r="183" spans="6:6">
      <c r="F183">
        <v>9000</v>
      </c>
    </row>
    <row r="184" spans="6:6">
      <c r="F184">
        <v>9050</v>
      </c>
    </row>
    <row r="185" spans="6:6">
      <c r="F185">
        <v>9100</v>
      </c>
    </row>
    <row r="186" spans="6:6">
      <c r="F186">
        <v>9150</v>
      </c>
    </row>
    <row r="187" spans="6:6">
      <c r="F187">
        <v>9200</v>
      </c>
    </row>
    <row r="188" spans="6:6">
      <c r="F188">
        <v>9250</v>
      </c>
    </row>
    <row r="189" spans="6:6">
      <c r="F189">
        <v>9300</v>
      </c>
    </row>
    <row r="190" spans="6:6">
      <c r="F190">
        <v>9350</v>
      </c>
    </row>
    <row r="191" spans="6:6">
      <c r="F191">
        <v>9400</v>
      </c>
    </row>
    <row r="192" spans="6:6">
      <c r="F192">
        <v>9450</v>
      </c>
    </row>
    <row r="193" spans="6:6">
      <c r="F193">
        <v>9500</v>
      </c>
    </row>
    <row r="194" spans="6:6">
      <c r="F194">
        <v>9550</v>
      </c>
    </row>
    <row r="195" spans="6:6">
      <c r="F195">
        <v>9600</v>
      </c>
    </row>
    <row r="196" spans="6:6">
      <c r="F196">
        <v>9650</v>
      </c>
    </row>
    <row r="197" spans="6:6">
      <c r="F197">
        <v>9700</v>
      </c>
    </row>
    <row r="198" spans="6:6">
      <c r="F198">
        <v>9750</v>
      </c>
    </row>
    <row r="199" spans="6:6">
      <c r="F199">
        <v>9800</v>
      </c>
    </row>
    <row r="200" spans="6:6">
      <c r="F200">
        <v>9850</v>
      </c>
    </row>
    <row r="201" spans="6:6">
      <c r="F201">
        <v>9900</v>
      </c>
    </row>
    <row r="202" spans="6:6">
      <c r="F202">
        <v>9950</v>
      </c>
    </row>
    <row r="203" spans="6:6">
      <c r="F203">
        <v>10000</v>
      </c>
    </row>
  </sheetData>
  <sheetProtection algorithmName="SHA-512" hashValue="eba7JWENReK0StUjM9Smz8wnXlxG/GiPOyYqoDPtztOxwubZ9poUz0+Myy0yssysWZe7yUOVwf5JoxS16Bi77g==" saltValue="V4Ja90XS0VHoBvAMHqVeNw==" spinCount="100000" sheet="1" objects="1" scenarios="1" selectLockedCells="1" selectUnlockedCells="1"/>
  <mergeCells count="55">
    <mergeCell ref="A13:J13"/>
    <mergeCell ref="A3:J3"/>
    <mergeCell ref="H4:J4"/>
    <mergeCell ref="A5:J5"/>
    <mergeCell ref="H6:J6"/>
    <mergeCell ref="A7:E7"/>
    <mergeCell ref="F7:J7"/>
    <mergeCell ref="F8:J8"/>
    <mergeCell ref="D9:J9"/>
    <mergeCell ref="G10:J10"/>
    <mergeCell ref="A11:J11"/>
    <mergeCell ref="F12:J12"/>
    <mergeCell ref="C24:J24"/>
    <mergeCell ref="A14:J14"/>
    <mergeCell ref="H15:J15"/>
    <mergeCell ref="A16:J16"/>
    <mergeCell ref="H17:J17"/>
    <mergeCell ref="A18:J18"/>
    <mergeCell ref="A19:B19"/>
    <mergeCell ref="D19:E19"/>
    <mergeCell ref="H19:J19"/>
    <mergeCell ref="A20:J20"/>
    <mergeCell ref="A21:B21"/>
    <mergeCell ref="C21:J21"/>
    <mergeCell ref="F22:J22"/>
    <mergeCell ref="F23:J23"/>
    <mergeCell ref="E40:J40"/>
    <mergeCell ref="F25:J25"/>
    <mergeCell ref="F26:J26"/>
    <mergeCell ref="A27:J27"/>
    <mergeCell ref="F28:J28"/>
    <mergeCell ref="A33:J33"/>
    <mergeCell ref="F34:J34"/>
    <mergeCell ref="A29:J29"/>
    <mergeCell ref="B30:C30"/>
    <mergeCell ref="A35:J35"/>
    <mergeCell ref="A36:J36"/>
    <mergeCell ref="G37:J37"/>
    <mergeCell ref="F38:J38"/>
    <mergeCell ref="G39:J39"/>
    <mergeCell ref="A31:E31"/>
    <mergeCell ref="F41:J41"/>
    <mergeCell ref="A42:J42"/>
    <mergeCell ref="F43:J43"/>
    <mergeCell ref="D44:J44"/>
    <mergeCell ref="L44:M44"/>
    <mergeCell ref="O45:P45"/>
    <mergeCell ref="L47:N47"/>
    <mergeCell ref="O47:P47"/>
    <mergeCell ref="A48:J48"/>
    <mergeCell ref="F49:J49"/>
    <mergeCell ref="F46:I46"/>
    <mergeCell ref="F47:I47"/>
    <mergeCell ref="F45:J45"/>
    <mergeCell ref="L45:M45"/>
  </mergeCells>
  <dataValidations count="9">
    <dataValidation type="list" allowBlank="1" showInputMessage="1" showErrorMessage="1" sqref="A28" xr:uid="{00000000-0002-0000-0700-000000000000}">
      <formula1>$A$53:$A$84</formula1>
    </dataValidation>
    <dataValidation type="list" allowBlank="1" showInputMessage="1" showErrorMessage="1" sqref="C22" xr:uid="{00000000-0002-0000-0700-000001000000}">
      <formula1>$I$52:$I$60</formula1>
    </dataValidation>
    <dataValidation type="list" allowBlank="1" showInputMessage="1" showErrorMessage="1" sqref="A17 A15" xr:uid="{00000000-0002-0000-0700-000002000000}">
      <formula1>$F$53:$F$203</formula1>
    </dataValidation>
    <dataValidation showDropDown="1" showInputMessage="1" showErrorMessage="1" sqref="A2 D2:Q2" xr:uid="{00000000-0002-0000-0700-000003000000}"/>
    <dataValidation type="list" allowBlank="1" showInputMessage="1" showErrorMessage="1" sqref="C25" xr:uid="{00000000-0002-0000-0700-000004000000}">
      <formula1>$J$52:$J$92</formula1>
    </dataValidation>
    <dataValidation type="list" allowBlank="1" showInputMessage="1" showErrorMessage="1" sqref="C24" xr:uid="{00000000-0002-0000-0700-000005000000}">
      <formula1>$I$52:$I$56</formula1>
    </dataValidation>
    <dataValidation type="list" allowBlank="1" showInputMessage="1" showErrorMessage="1" sqref="E15 E17" xr:uid="{00000000-0002-0000-0700-000006000000}">
      <formula1>$D$53:$D$66</formula1>
    </dataValidation>
    <dataValidation type="list" allowBlank="1" showInputMessage="1" showErrorMessage="1" sqref="E6 E4" xr:uid="{00000000-0002-0000-0700-000007000000}">
      <formula1>$B$53:$B$63</formula1>
    </dataValidation>
    <dataValidation type="list" allowBlank="1" showInputMessage="1" showErrorMessage="1" sqref="C32" xr:uid="{00000000-0002-0000-0700-000008000000}">
      <formula1>$E$53:$E$64</formula1>
    </dataValidation>
  </dataValidations>
  <pageMargins left="0.7" right="0.7" top="0.75" bottom="0.75" header="0.3" footer="0.3"/>
  <pageSetup paperSize="9" scale="125" orientation="portrait" r:id="rId1"/>
  <ignoredErrors>
    <ignoredError sqref="A4 A6 A10"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9"/>
  <sheetViews>
    <sheetView workbookViewId="0">
      <selection activeCell="F27" sqref="F27"/>
    </sheetView>
  </sheetViews>
  <sheetFormatPr defaultColWidth="9.140625" defaultRowHeight="15"/>
  <cols>
    <col min="1" max="1" width="10.7109375" customWidth="1"/>
    <col min="2" max="4" width="15.7109375" customWidth="1"/>
    <col min="5" max="5" width="25.7109375" customWidth="1"/>
    <col min="6" max="7" width="18.140625" customWidth="1"/>
    <col min="8" max="8" width="10.7109375" customWidth="1"/>
    <col min="9" max="9" width="7.5703125" customWidth="1"/>
    <col min="10" max="10" width="9.5703125" bestFit="1" customWidth="1"/>
  </cols>
  <sheetData>
    <row r="1" spans="1:20" ht="15" customHeight="1">
      <c r="A1" s="744"/>
      <c r="B1" s="744"/>
      <c r="C1" s="744"/>
      <c r="D1" s="744"/>
      <c r="E1" s="744"/>
      <c r="F1" s="744"/>
      <c r="G1" s="744"/>
      <c r="H1" s="744"/>
      <c r="I1" s="745"/>
    </row>
    <row r="2" spans="1:20">
      <c r="A2" s="234"/>
      <c r="B2" s="234"/>
      <c r="C2" s="234"/>
      <c r="D2" s="234"/>
      <c r="E2" s="234"/>
      <c r="F2" s="234"/>
      <c r="G2" s="234"/>
      <c r="H2" s="234"/>
      <c r="I2" s="235"/>
    </row>
    <row r="3" spans="1:20">
      <c r="A3" s="234"/>
      <c r="B3" s="234"/>
      <c r="C3" s="234"/>
      <c r="D3" s="234"/>
      <c r="E3" s="234"/>
      <c r="F3" s="234"/>
      <c r="G3" s="234"/>
      <c r="H3" s="234"/>
      <c r="I3" s="235"/>
    </row>
    <row r="4" spans="1:20">
      <c r="A4" s="234"/>
      <c r="B4" s="234"/>
      <c r="C4" s="234"/>
      <c r="D4" s="234"/>
      <c r="E4" s="234"/>
      <c r="F4" s="234"/>
      <c r="G4" s="234"/>
      <c r="H4" s="234"/>
      <c r="I4" s="235"/>
    </row>
    <row r="5" spans="1:20">
      <c r="A5" s="234"/>
      <c r="B5" s="234"/>
      <c r="C5" s="234"/>
      <c r="D5" s="234"/>
      <c r="E5" s="234"/>
      <c r="F5" s="234"/>
      <c r="G5" s="234"/>
      <c r="H5" s="234"/>
      <c r="I5" s="235"/>
    </row>
    <row r="6" spans="1:20">
      <c r="A6" s="234"/>
      <c r="B6" s="234"/>
      <c r="C6" s="234"/>
      <c r="D6" s="234"/>
      <c r="E6" s="234"/>
      <c r="F6" s="234"/>
      <c r="G6" s="234"/>
      <c r="H6" s="234"/>
      <c r="I6" s="235"/>
      <c r="N6" s="230"/>
    </row>
    <row r="7" spans="1:20">
      <c r="A7" s="234"/>
      <c r="B7" s="234"/>
      <c r="C7" s="234"/>
      <c r="D7" s="234"/>
      <c r="E7" s="234"/>
      <c r="F7" s="234"/>
      <c r="G7" s="234"/>
      <c r="H7" s="234"/>
      <c r="I7" s="235"/>
      <c r="N7" s="230"/>
      <c r="T7" s="230"/>
    </row>
    <row r="8" spans="1:20">
      <c r="A8" s="234"/>
      <c r="B8" s="234"/>
      <c r="C8" s="234"/>
      <c r="D8" s="234"/>
      <c r="E8" s="234"/>
      <c r="F8" s="234"/>
      <c r="G8" s="234"/>
      <c r="H8" s="234"/>
      <c r="I8" s="235"/>
    </row>
    <row r="9" spans="1:20">
      <c r="A9" s="234"/>
      <c r="B9" s="234"/>
      <c r="C9" s="234"/>
      <c r="D9" s="234"/>
      <c r="E9" s="234"/>
      <c r="F9" s="234"/>
      <c r="G9" s="234"/>
      <c r="H9" s="234"/>
      <c r="I9" s="235"/>
    </row>
    <row r="10" spans="1:20">
      <c r="A10" s="234"/>
      <c r="B10" s="234"/>
      <c r="C10" s="234"/>
      <c r="D10" s="234"/>
      <c r="E10" s="234"/>
      <c r="F10" s="234"/>
      <c r="G10" s="234"/>
      <c r="H10" s="234"/>
      <c r="I10" s="235"/>
    </row>
    <row r="11" spans="1:20">
      <c r="A11" s="234"/>
      <c r="B11" s="234"/>
      <c r="C11" s="234"/>
      <c r="D11" s="234"/>
      <c r="E11" s="234"/>
      <c r="F11" s="234"/>
      <c r="G11" s="234"/>
      <c r="H11" s="234"/>
      <c r="I11" s="235"/>
    </row>
    <row r="12" spans="1:20">
      <c r="A12" s="234"/>
      <c r="B12" s="234"/>
      <c r="C12" s="234"/>
      <c r="D12" s="234"/>
      <c r="E12" s="234"/>
      <c r="F12" s="234"/>
      <c r="G12" s="234"/>
      <c r="H12" s="234"/>
      <c r="I12" s="235"/>
    </row>
    <row r="13" spans="1:20">
      <c r="A13" s="234"/>
      <c r="B13" s="234"/>
      <c r="C13" s="234"/>
      <c r="D13" s="234"/>
      <c r="E13" s="234"/>
      <c r="F13" s="234"/>
      <c r="G13" s="234"/>
      <c r="H13" s="234"/>
      <c r="I13" s="235"/>
    </row>
    <row r="14" spans="1:20">
      <c r="A14" s="234"/>
      <c r="B14" s="234"/>
      <c r="C14" s="234"/>
      <c r="D14" s="234"/>
      <c r="E14" s="234"/>
      <c r="F14" s="234"/>
      <c r="G14" s="234"/>
      <c r="H14" s="234"/>
      <c r="I14" s="235"/>
    </row>
    <row r="15" spans="1:20">
      <c r="A15" s="234"/>
      <c r="B15" s="234"/>
      <c r="C15" s="234"/>
      <c r="D15" s="234"/>
      <c r="E15" s="234"/>
      <c r="F15" s="234"/>
      <c r="G15" s="234"/>
      <c r="H15" s="234"/>
      <c r="I15" s="235"/>
    </row>
    <row r="16" spans="1:20">
      <c r="A16" s="234"/>
      <c r="B16" s="234"/>
      <c r="C16" s="234"/>
      <c r="D16" s="234"/>
      <c r="E16" s="234"/>
      <c r="F16" s="234"/>
      <c r="G16" s="234"/>
      <c r="H16" s="234"/>
      <c r="I16" s="235"/>
    </row>
    <row r="17" spans="1:10">
      <c r="A17" s="234"/>
      <c r="B17" s="234"/>
      <c r="C17" s="234"/>
      <c r="D17" s="234"/>
      <c r="E17" s="234"/>
      <c r="F17" s="234"/>
      <c r="G17" s="234"/>
      <c r="H17" s="234"/>
      <c r="I17" s="235"/>
    </row>
    <row r="18" spans="1:10">
      <c r="A18" s="234"/>
      <c r="B18" s="234"/>
      <c r="C18" s="234"/>
      <c r="D18" s="234"/>
      <c r="E18" s="234"/>
      <c r="F18" s="234"/>
      <c r="G18" s="234"/>
      <c r="H18" s="234"/>
      <c r="I18" s="235"/>
    </row>
    <row r="19" spans="1:10">
      <c r="A19" s="234"/>
      <c r="B19" s="234"/>
      <c r="C19" s="234"/>
      <c r="D19" s="234"/>
      <c r="E19" s="234"/>
      <c r="F19" s="234"/>
      <c r="G19" s="234"/>
      <c r="H19" s="234"/>
      <c r="I19" s="235"/>
    </row>
    <row r="20" spans="1:10" ht="15.75" thickBot="1">
      <c r="A20" s="234"/>
      <c r="B20" s="234"/>
      <c r="C20" s="234"/>
      <c r="D20" s="234"/>
      <c r="E20" s="234"/>
      <c r="F20" s="234"/>
      <c r="G20" s="234"/>
      <c r="H20" s="234"/>
      <c r="I20" s="235"/>
    </row>
    <row r="21" spans="1:10" ht="15.75">
      <c r="A21" s="746" t="s">
        <v>157</v>
      </c>
      <c r="B21" s="747"/>
      <c r="C21" s="747"/>
      <c r="D21" s="747"/>
      <c r="E21" s="236">
        <v>7758</v>
      </c>
      <c r="F21" s="237"/>
      <c r="G21" s="237"/>
      <c r="H21" s="234"/>
      <c r="I21" s="235"/>
    </row>
    <row r="22" spans="1:10" ht="15.75">
      <c r="A22" s="748" t="s">
        <v>156</v>
      </c>
      <c r="B22" s="749"/>
      <c r="C22" s="749"/>
      <c r="D22" s="749"/>
      <c r="E22" s="238">
        <f>'Model inputs '!E47</f>
        <v>372.39297872139349</v>
      </c>
      <c r="F22" s="237"/>
      <c r="G22" s="237"/>
      <c r="H22" s="234"/>
      <c r="I22" s="235"/>
    </row>
    <row r="23" spans="1:10" ht="15.75">
      <c r="A23" s="748" t="s">
        <v>158</v>
      </c>
      <c r="B23" s="749"/>
      <c r="C23" s="749"/>
      <c r="D23" s="749"/>
      <c r="E23" s="314">
        <f>E22/E21</f>
        <v>4.800115735001205E-2</v>
      </c>
      <c r="F23" s="237"/>
      <c r="G23" s="237"/>
      <c r="H23" s="234"/>
      <c r="I23" s="235"/>
    </row>
    <row r="24" spans="1:10" ht="16.5" thickBot="1">
      <c r="A24" s="241"/>
      <c r="B24" s="241"/>
      <c r="C24" s="241"/>
      <c r="D24" s="241"/>
      <c r="E24" s="242"/>
      <c r="F24" s="239"/>
      <c r="G24" s="239"/>
      <c r="H24" s="234"/>
      <c r="I24" s="235"/>
    </row>
    <row r="25" spans="1:10">
      <c r="J25" s="240"/>
    </row>
    <row r="26" spans="1:10" ht="15.75">
      <c r="A26" s="243"/>
      <c r="B26" s="243"/>
      <c r="C26" s="243"/>
      <c r="D26" s="243"/>
      <c r="F26" s="99"/>
      <c r="G26" s="99"/>
    </row>
    <row r="27" spans="1:10" ht="15.75">
      <c r="A27" s="243"/>
      <c r="B27" s="243"/>
      <c r="C27" s="243"/>
      <c r="D27" s="243"/>
      <c r="F27" s="99"/>
      <c r="G27" s="99"/>
    </row>
    <row r="28" spans="1:10" ht="15.75">
      <c r="A28" s="243"/>
      <c r="B28" s="243"/>
      <c r="C28" s="243"/>
      <c r="D28" s="243"/>
      <c r="F28" s="99"/>
      <c r="G28" s="99"/>
    </row>
    <row r="29" spans="1:10">
      <c r="A29" s="244"/>
      <c r="B29" s="244"/>
      <c r="C29" s="244"/>
      <c r="D29" s="244"/>
      <c r="F29" s="99"/>
      <c r="G29" s="99"/>
    </row>
    <row r="30" spans="1:10" ht="15.75">
      <c r="A30" s="225"/>
      <c r="B30" s="225"/>
      <c r="C30" s="225"/>
      <c r="D30" s="225"/>
      <c r="F30" s="99"/>
      <c r="G30" s="99"/>
    </row>
    <row r="31" spans="1:10">
      <c r="A31" s="99"/>
      <c r="B31" s="99"/>
      <c r="C31" s="99"/>
      <c r="D31" s="99"/>
      <c r="F31" s="99"/>
      <c r="G31" s="99"/>
    </row>
    <row r="35" ht="15" customHeight="1"/>
    <row r="39" ht="15" customHeight="1"/>
  </sheetData>
  <sheetProtection algorithmName="SHA-512" hashValue="hAnN058P/pGxEozWMefRWUvRbKtw5LLGqbsJLcKy9mQA02V00QyCnozGNZZtlv0wmDiipO+7rKQjiN4gRA/CqA==" saltValue="e7oNWQYmgGMwiaFJ3FZ5uA==" spinCount="100000" sheet="1" objects="1" scenarios="1" selectLockedCells="1" selectUnlockedCells="1"/>
  <mergeCells count="4">
    <mergeCell ref="A1:I1"/>
    <mergeCell ref="A21:D21"/>
    <mergeCell ref="A22:D22"/>
    <mergeCell ref="A23:D23"/>
  </mergeCell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Baseline calcs </vt:lpstr>
      <vt:lpstr>Crude oil comparison1</vt:lpstr>
      <vt:lpstr>Crude oil comparison2</vt:lpstr>
      <vt:lpstr>Crude oil comparison3</vt:lpstr>
      <vt:lpstr>2017 &amp; 2030 Energy flows</vt:lpstr>
      <vt:lpstr> HTG silage strategic reserve</vt:lpstr>
      <vt:lpstr>Model inputs </vt:lpstr>
      <vt:lpstr>Tonnes and Hectares of HTG</vt:lpstr>
      <vt:lpstr>CAPEX Perspectives</vt:lpstr>
      <vt:lpstr>CAPEX</vt:lpstr>
      <vt:lpstr>Economic Model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Sanita</dc:creator>
  <cp:lastModifiedBy>Ken</cp:lastModifiedBy>
  <cp:lastPrinted>2019-11-26T23:42:06Z</cp:lastPrinted>
  <dcterms:created xsi:type="dcterms:W3CDTF">2019-10-07T23:09:35Z</dcterms:created>
  <dcterms:modified xsi:type="dcterms:W3CDTF">2021-05-06T02:51:47Z</dcterms:modified>
</cp:coreProperties>
</file>