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mc:AlternateContent xmlns:mc="http://schemas.openxmlformats.org/markup-compatibility/2006">
    <mc:Choice Requires="x15">
      <x15ac:absPath xmlns:x15ac="http://schemas.microsoft.com/office/spreadsheetml/2010/11/ac" url="Y:\Länder\Neuseeland-Australien\Tonga\UNIDO\doc\Del3\"/>
    </mc:Choice>
  </mc:AlternateContent>
  <xr:revisionPtr revIDLastSave="0" documentId="13_ncr:1_{AF64221A-E1C3-4C44-B711-4B5CF1BFFC40}" xr6:coauthVersionLast="47" xr6:coauthVersionMax="47" xr10:uidLastSave="{00000000-0000-0000-0000-000000000000}"/>
  <bookViews>
    <workbookView xWindow="-120" yWindow="-120" windowWidth="29040" windowHeight="15840" tabRatio="712" xr2:uid="{00000000-000D-0000-FFFF-FFFF00000000}"/>
  </bookViews>
  <sheets>
    <sheet name="Cover" sheetId="4" r:id="rId1"/>
    <sheet name="Substrates inputs" sheetId="29" r:id="rId2"/>
    <sheet name="Tonnes and Hectares of HTG" sheetId="21" r:id="rId3"/>
    <sheet name="2017 &amp; 2030 Energy flows" sheetId="20" r:id="rId4"/>
    <sheet name=" HTG silage strategic reserve" sheetId="15" r:id="rId5"/>
    <sheet name="CAPEX Perspectives" sheetId="17" r:id="rId6"/>
    <sheet name="CAPEX " sheetId="26" r:id="rId7"/>
    <sheet name="Economic Model " sheetId="24" r:id="rId8"/>
  </sheets>
  <definedNames>
    <definedName name="CURRENTYEAR" localSheetId="6">#REF!</definedName>
    <definedName name="CURRENTYEAR" localSheetId="7">#REF!</definedName>
    <definedName name="CURRENTYEAR">#REF!</definedName>
    <definedName name="jan" localSheetId="6">#REF!</definedName>
    <definedName name="jan" localSheetId="7">#REF!</definedName>
    <definedName name="jan">#REF!</definedName>
    <definedName name="LOOKUPMTH" localSheetId="6">#REF!</definedName>
    <definedName name="LOOKUPMTH" localSheetId="7">#REF!</definedName>
    <definedName name="LOOKUPMTH">#REF!</definedName>
    <definedName name="Month" localSheetId="6">#REF!</definedName>
    <definedName name="Month" localSheetId="7">#REF!</definedName>
    <definedName name="Month">#REF!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24" l="1"/>
  <c r="K22" i="15"/>
  <c r="F39" i="24"/>
  <c r="F25" i="21" l="1"/>
  <c r="A22" i="15" l="1"/>
  <c r="G14" i="29" l="1"/>
  <c r="F32" i="21" l="1"/>
  <c r="F33" i="21" s="1"/>
  <c r="B5" i="29" l="1"/>
  <c r="B12" i="29" s="1"/>
  <c r="G5" i="29" l="1"/>
  <c r="I5" i="29" s="1"/>
  <c r="J5" i="29" s="1"/>
  <c r="C6" i="29"/>
  <c r="C7" i="29"/>
  <c r="C8" i="29"/>
  <c r="C9" i="29"/>
  <c r="C10" i="29"/>
  <c r="C11" i="29"/>
  <c r="C4" i="29"/>
  <c r="O12" i="29"/>
  <c r="D12" i="29"/>
  <c r="G6" i="29"/>
  <c r="I6" i="29" s="1"/>
  <c r="J6" i="29" s="1"/>
  <c r="G4" i="29"/>
  <c r="I4" i="29" s="1"/>
  <c r="G11" i="29"/>
  <c r="I11" i="29" s="1"/>
  <c r="J11" i="29" s="1"/>
  <c r="G10" i="29"/>
  <c r="I10" i="29" s="1"/>
  <c r="J10" i="29" s="1"/>
  <c r="G9" i="29"/>
  <c r="I9" i="29" s="1"/>
  <c r="J9" i="29" s="1"/>
  <c r="G8" i="29"/>
  <c r="I8" i="29" s="1"/>
  <c r="J8" i="29" s="1"/>
  <c r="G7" i="29"/>
  <c r="I7" i="29" s="1"/>
  <c r="J7" i="29" s="1"/>
  <c r="F21" i="21" l="1"/>
  <c r="F26" i="21" s="1"/>
  <c r="F28" i="21" s="1"/>
  <c r="J4" i="29"/>
  <c r="F22" i="21" s="1"/>
  <c r="F27" i="21" s="1"/>
  <c r="F29" i="21" s="1"/>
  <c r="C5" i="29"/>
  <c r="H39" i="24"/>
  <c r="C12" i="29"/>
  <c r="G12" i="29"/>
  <c r="G16" i="29" s="1"/>
  <c r="G17" i="29" s="1"/>
  <c r="H41" i="24" l="1"/>
  <c r="G19" i="29"/>
  <c r="G20" i="29" s="1"/>
  <c r="B45" i="24" s="1"/>
  <c r="A39" i="29"/>
  <c r="C3" i="26"/>
  <c r="C5" i="26" s="1"/>
  <c r="C7" i="26" l="1"/>
  <c r="E1" i="26" s="1"/>
  <c r="E2" i="26" l="1"/>
  <c r="E8" i="26" s="1"/>
  <c r="E11" i="26" l="1"/>
  <c r="D12" i="26" s="1"/>
  <c r="D14" i="26" l="1"/>
  <c r="D15" i="26" s="1"/>
  <c r="B6" i="24" s="1"/>
  <c r="H49" i="24"/>
  <c r="B55" i="24"/>
  <c r="B51" i="24" l="1"/>
  <c r="B47" i="24"/>
  <c r="B71" i="24"/>
  <c r="B68" i="24"/>
  <c r="B65" i="24"/>
  <c r="B59" i="24"/>
  <c r="A97" i="24"/>
  <c r="H62" i="24"/>
  <c r="G60" i="24"/>
  <c r="R35" i="24" s="1"/>
  <c r="H52" i="24"/>
  <c r="H48" i="24"/>
  <c r="H43" i="24"/>
  <c r="M35" i="24"/>
  <c r="K33" i="24"/>
  <c r="I34" i="24" s="1"/>
  <c r="B25" i="24"/>
  <c r="B24" i="24"/>
  <c r="B23" i="24"/>
  <c r="B22" i="24"/>
  <c r="B21" i="24"/>
  <c r="C12" i="24"/>
  <c r="C11" i="24"/>
  <c r="B97" i="24" s="1"/>
  <c r="D11" i="24" l="1"/>
  <c r="C97" i="24" s="1"/>
  <c r="B42" i="24"/>
  <c r="D12" i="24"/>
  <c r="E12" i="24" s="1"/>
  <c r="F12" i="24" s="1"/>
  <c r="G12" i="24" s="1"/>
  <c r="H12" i="24" s="1"/>
  <c r="I12" i="24" s="1"/>
  <c r="J12" i="24" s="1"/>
  <c r="K12" i="24" s="1"/>
  <c r="L12" i="24" s="1"/>
  <c r="M12" i="24" s="1"/>
  <c r="N12" i="24" s="1"/>
  <c r="O12" i="24" s="1"/>
  <c r="P12" i="24" s="1"/>
  <c r="Q12" i="24" s="1"/>
  <c r="R12" i="24" s="1"/>
  <c r="S12" i="24" s="1"/>
  <c r="T12" i="24" s="1"/>
  <c r="U12" i="24" s="1"/>
  <c r="V12" i="24" s="1"/>
  <c r="E11" i="24" l="1"/>
  <c r="D97" i="24"/>
  <c r="F11" i="24"/>
  <c r="E97" i="24" l="1"/>
  <c r="G11" i="24"/>
  <c r="F97" i="24" l="1"/>
  <c r="H11" i="24"/>
  <c r="G97" i="24" l="1"/>
  <c r="I11" i="24"/>
  <c r="J11" i="24" l="1"/>
  <c r="H97" i="24"/>
  <c r="I97" i="24" l="1"/>
  <c r="K11" i="24"/>
  <c r="J97" i="24" l="1"/>
  <c r="L11" i="24"/>
  <c r="K97" i="24" l="1"/>
  <c r="M11" i="24"/>
  <c r="L97" i="24" l="1"/>
  <c r="N11" i="24"/>
  <c r="M97" i="24" l="1"/>
  <c r="O11" i="24"/>
  <c r="N97" i="24" l="1"/>
  <c r="P11" i="24"/>
  <c r="O97" i="24" l="1"/>
  <c r="Q11" i="24"/>
  <c r="R11" i="24" l="1"/>
  <c r="P97" i="24"/>
  <c r="Q97" i="24" l="1"/>
  <c r="S11" i="24"/>
  <c r="R97" i="24" l="1"/>
  <c r="T11" i="24"/>
  <c r="S97" i="24" l="1"/>
  <c r="U11" i="24"/>
  <c r="T97" i="24" l="1"/>
  <c r="V11" i="24"/>
  <c r="U97" i="24" s="1"/>
  <c r="B78" i="24" l="1"/>
  <c r="C38" i="24" s="1"/>
  <c r="C13" i="24" s="1"/>
  <c r="D13" i="24" l="1"/>
  <c r="B98" i="24"/>
  <c r="C98" i="24" l="1"/>
  <c r="E13" i="24"/>
  <c r="F13" i="24" l="1"/>
  <c r="D98" i="24"/>
  <c r="E98" i="24" l="1"/>
  <c r="G13" i="24"/>
  <c r="F98" i="24" l="1"/>
  <c r="H13" i="24"/>
  <c r="H57" i="24"/>
  <c r="H38" i="24"/>
  <c r="C14" i="24" s="1"/>
  <c r="B16" i="24"/>
  <c r="A101" i="24"/>
  <c r="B20" i="24"/>
  <c r="H61" i="24"/>
  <c r="B18" i="24"/>
  <c r="O43" i="24" l="1"/>
  <c r="N43" i="24" s="1"/>
  <c r="G100" i="24" s="1"/>
  <c r="P53" i="24"/>
  <c r="M53" i="24" s="1"/>
  <c r="P50" i="24"/>
  <c r="M50" i="24" s="1"/>
  <c r="O45" i="24"/>
  <c r="N45" i="24" s="1"/>
  <c r="I100" i="24" s="1"/>
  <c r="O48" i="24"/>
  <c r="N48" i="24" s="1"/>
  <c r="L100" i="24" s="1"/>
  <c r="O52" i="24"/>
  <c r="N52" i="24" s="1"/>
  <c r="P100" i="24" s="1"/>
  <c r="O38" i="24"/>
  <c r="N38" i="24" s="1"/>
  <c r="O53" i="24"/>
  <c r="N53" i="24" s="1"/>
  <c r="Q100" i="24" s="1"/>
  <c r="O50" i="24"/>
  <c r="N50" i="24" s="1"/>
  <c r="N100" i="24" s="1"/>
  <c r="O49" i="24"/>
  <c r="N49" i="24" s="1"/>
  <c r="M100" i="24" s="1"/>
  <c r="O51" i="24"/>
  <c r="N51" i="24" s="1"/>
  <c r="O100" i="24" s="1"/>
  <c r="P40" i="24"/>
  <c r="M40" i="24" s="1"/>
  <c r="P38" i="24"/>
  <c r="M38" i="24" s="1"/>
  <c r="P42" i="24"/>
  <c r="M42" i="24" s="1"/>
  <c r="O57" i="24"/>
  <c r="N57" i="24" s="1"/>
  <c r="U100" i="24" s="1"/>
  <c r="P44" i="24"/>
  <c r="M44" i="24" s="1"/>
  <c r="P51" i="24"/>
  <c r="M51" i="24" s="1"/>
  <c r="O47" i="24"/>
  <c r="N47" i="24" s="1"/>
  <c r="K100" i="24" s="1"/>
  <c r="O46" i="24"/>
  <c r="N46" i="24" s="1"/>
  <c r="J100" i="24" s="1"/>
  <c r="P45" i="24"/>
  <c r="M45" i="24" s="1"/>
  <c r="P49" i="24"/>
  <c r="M49" i="24" s="1"/>
  <c r="O56" i="24"/>
  <c r="N56" i="24" s="1"/>
  <c r="T100" i="24" s="1"/>
  <c r="P52" i="24"/>
  <c r="M52" i="24" s="1"/>
  <c r="O55" i="24"/>
  <c r="N55" i="24" s="1"/>
  <c r="S100" i="24" s="1"/>
  <c r="P41" i="24"/>
  <c r="M41" i="24" s="1"/>
  <c r="O41" i="24"/>
  <c r="N41" i="24" s="1"/>
  <c r="E100" i="24" s="1"/>
  <c r="O42" i="24"/>
  <c r="N42" i="24" s="1"/>
  <c r="F100" i="24" s="1"/>
  <c r="O44" i="24"/>
  <c r="N44" i="24" s="1"/>
  <c r="H100" i="24" s="1"/>
  <c r="P43" i="24"/>
  <c r="M43" i="24" s="1"/>
  <c r="O40" i="24"/>
  <c r="N40" i="24" s="1"/>
  <c r="D100" i="24" s="1"/>
  <c r="O54" i="24"/>
  <c r="N54" i="24" s="1"/>
  <c r="R100" i="24" s="1"/>
  <c r="P55" i="24"/>
  <c r="M55" i="24" s="1"/>
  <c r="O39" i="24"/>
  <c r="N39" i="24" s="1"/>
  <c r="C100" i="24" s="1"/>
  <c r="P56" i="24"/>
  <c r="M56" i="24" s="1"/>
  <c r="P57" i="24"/>
  <c r="M57" i="24" s="1"/>
  <c r="P39" i="24"/>
  <c r="M39" i="24" s="1"/>
  <c r="P47" i="24"/>
  <c r="M47" i="24" s="1"/>
  <c r="P48" i="24"/>
  <c r="M48" i="24" s="1"/>
  <c r="P54" i="24"/>
  <c r="M54" i="24" s="1"/>
  <c r="P46" i="24"/>
  <c r="M46" i="24" s="1"/>
  <c r="R57" i="24"/>
  <c r="R47" i="24"/>
  <c r="R43" i="24"/>
  <c r="R42" i="24"/>
  <c r="R38" i="24"/>
  <c r="S56" i="24"/>
  <c r="R48" i="24"/>
  <c r="S57" i="24"/>
  <c r="R40" i="24"/>
  <c r="S41" i="24"/>
  <c r="S45" i="24"/>
  <c r="S53" i="24"/>
  <c r="S47" i="24"/>
  <c r="R41" i="24"/>
  <c r="R39" i="24"/>
  <c r="R56" i="24"/>
  <c r="S49" i="24"/>
  <c r="R46" i="24"/>
  <c r="R50" i="24"/>
  <c r="S44" i="24"/>
  <c r="S52" i="24"/>
  <c r="R53" i="24"/>
  <c r="R54" i="24"/>
  <c r="S42" i="24"/>
  <c r="R45" i="24"/>
  <c r="S39" i="24"/>
  <c r="S51" i="24"/>
  <c r="S38" i="24"/>
  <c r="R52" i="24"/>
  <c r="R49" i="24"/>
  <c r="R55" i="24"/>
  <c r="R51" i="24"/>
  <c r="S50" i="24"/>
  <c r="S40" i="24"/>
  <c r="S46" i="24"/>
  <c r="S48" i="24"/>
  <c r="B28" i="24"/>
  <c r="S54" i="24"/>
  <c r="R44" i="24"/>
  <c r="S55" i="24"/>
  <c r="S43" i="24"/>
  <c r="G98" i="24"/>
  <c r="I13" i="24"/>
  <c r="B99" i="24"/>
  <c r="D14" i="24"/>
  <c r="H98" i="24" l="1"/>
  <c r="J13" i="24"/>
  <c r="T46" i="24"/>
  <c r="K17" i="24"/>
  <c r="T51" i="24"/>
  <c r="P17" i="24"/>
  <c r="T45" i="24"/>
  <c r="J17" i="24"/>
  <c r="D15" i="24"/>
  <c r="D16" i="24" s="1"/>
  <c r="Q39" i="24"/>
  <c r="I15" i="24"/>
  <c r="Q44" i="24"/>
  <c r="T40" i="24"/>
  <c r="E17" i="24"/>
  <c r="T41" i="24"/>
  <c r="F17" i="24"/>
  <c r="S15" i="24"/>
  <c r="Q54" i="24"/>
  <c r="N59" i="24"/>
  <c r="B100" i="24"/>
  <c r="B101" i="24" s="1"/>
  <c r="C99" i="24"/>
  <c r="C101" i="24" s="1"/>
  <c r="E14" i="24"/>
  <c r="O17" i="24"/>
  <c r="T50" i="24"/>
  <c r="T52" i="24"/>
  <c r="Q17" i="24"/>
  <c r="U15" i="24"/>
  <c r="Q56" i="24"/>
  <c r="G15" i="24"/>
  <c r="Q42" i="24"/>
  <c r="Q53" i="24"/>
  <c r="R15" i="24"/>
  <c r="Q46" i="24"/>
  <c r="K15" i="24"/>
  <c r="T15" i="24"/>
  <c r="Q55" i="24"/>
  <c r="Q45" i="24"/>
  <c r="J15" i="24"/>
  <c r="E15" i="24"/>
  <c r="Q40" i="24"/>
  <c r="T54" i="24"/>
  <c r="S17" i="24"/>
  <c r="T39" i="24"/>
  <c r="D17" i="24"/>
  <c r="U17" i="24"/>
  <c r="T56" i="24"/>
  <c r="Q57" i="24"/>
  <c r="V15" i="24"/>
  <c r="Q52" i="24"/>
  <c r="Q15" i="24"/>
  <c r="O15" i="24"/>
  <c r="Q50" i="24"/>
  <c r="T43" i="24"/>
  <c r="H17" i="24"/>
  <c r="T49" i="24"/>
  <c r="N17" i="24"/>
  <c r="L17" i="24"/>
  <c r="T47" i="24"/>
  <c r="R59" i="24"/>
  <c r="M15" i="24"/>
  <c r="Q48" i="24"/>
  <c r="T17" i="24"/>
  <c r="T55" i="24"/>
  <c r="T48" i="24"/>
  <c r="M17" i="24"/>
  <c r="S59" i="24"/>
  <c r="T38" i="24"/>
  <c r="C17" i="24"/>
  <c r="T42" i="24"/>
  <c r="G17" i="24"/>
  <c r="I17" i="24"/>
  <c r="T44" i="24"/>
  <c r="R17" i="24"/>
  <c r="T53" i="24"/>
  <c r="T57" i="24"/>
  <c r="V17" i="24"/>
  <c r="L15" i="24"/>
  <c r="Q47" i="24"/>
  <c r="Q43" i="24"/>
  <c r="H15" i="24"/>
  <c r="F15" i="24"/>
  <c r="Q41" i="24"/>
  <c r="N15" i="24"/>
  <c r="Q49" i="24"/>
  <c r="Q51" i="24"/>
  <c r="P15" i="24"/>
  <c r="M59" i="24"/>
  <c r="H59" i="24" s="1"/>
  <c r="C15" i="24"/>
  <c r="Q38" i="24"/>
  <c r="D18" i="24" l="1"/>
  <c r="D19" i="24" s="1"/>
  <c r="D21" i="24" s="1"/>
  <c r="Q59" i="24"/>
  <c r="W17" i="24"/>
  <c r="I98" i="24"/>
  <c r="K13" i="24"/>
  <c r="D99" i="24"/>
  <c r="D101" i="24" s="1"/>
  <c r="E16" i="24"/>
  <c r="E18" i="24" s="1"/>
  <c r="F14" i="24"/>
  <c r="W15" i="24"/>
  <c r="C16" i="24"/>
  <c r="C18" i="24" s="1"/>
  <c r="T59" i="24"/>
  <c r="D20" i="24" l="1"/>
  <c r="D22" i="24" s="1"/>
  <c r="D23" i="24" s="1"/>
  <c r="D25" i="24" s="1"/>
  <c r="E19" i="24"/>
  <c r="E21" i="24" s="1"/>
  <c r="C19" i="24"/>
  <c r="C21" i="24" s="1"/>
  <c r="J98" i="24"/>
  <c r="L13" i="24"/>
  <c r="F16" i="24"/>
  <c r="F18" i="24" s="1"/>
  <c r="E99" i="24"/>
  <c r="E101" i="24" s="1"/>
  <c r="G14" i="24"/>
  <c r="E20" i="24" l="1"/>
  <c r="E22" i="24" s="1"/>
  <c r="E23" i="24" s="1"/>
  <c r="E25" i="24" s="1"/>
  <c r="C20" i="24"/>
  <c r="C22" i="24" s="1"/>
  <c r="C23" i="24" s="1"/>
  <c r="F19" i="24"/>
  <c r="F21" i="24" s="1"/>
  <c r="F99" i="24"/>
  <c r="F101" i="24" s="1"/>
  <c r="H14" i="24"/>
  <c r="G16" i="24"/>
  <c r="G18" i="24" s="1"/>
  <c r="G19" i="24" s="1"/>
  <c r="K98" i="24"/>
  <c r="M13" i="24"/>
  <c r="F20" i="24" l="1"/>
  <c r="F22" i="24" s="1"/>
  <c r="F23" i="24" s="1"/>
  <c r="F25" i="24" s="1"/>
  <c r="C25" i="24"/>
  <c r="G99" i="24"/>
  <c r="G101" i="24" s="1"/>
  <c r="I14" i="24"/>
  <c r="H16" i="24"/>
  <c r="H18" i="24" s="1"/>
  <c r="N13" i="24"/>
  <c r="L98" i="24"/>
  <c r="G20" i="24"/>
  <c r="G21" i="24"/>
  <c r="A95" i="24" l="1"/>
  <c r="D24" i="24"/>
  <c r="G22" i="24"/>
  <c r="G23" i="24" s="1"/>
  <c r="G25" i="24" s="1"/>
  <c r="H19" i="24"/>
  <c r="H21" i="24" s="1"/>
  <c r="M98" i="24"/>
  <c r="O13" i="24"/>
  <c r="H99" i="24"/>
  <c r="H101" i="24" s="1"/>
  <c r="J14" i="24"/>
  <c r="I16" i="24"/>
  <c r="I18" i="24" s="1"/>
  <c r="B95" i="24" l="1"/>
  <c r="E24" i="24"/>
  <c r="I99" i="24"/>
  <c r="I101" i="24" s="1"/>
  <c r="K14" i="24"/>
  <c r="J16" i="24"/>
  <c r="J18" i="24" s="1"/>
  <c r="N98" i="24"/>
  <c r="P13" i="24"/>
  <c r="H20" i="24"/>
  <c r="H22" i="24" s="1"/>
  <c r="H23" i="24" s="1"/>
  <c r="H25" i="24" s="1"/>
  <c r="I19" i="24"/>
  <c r="I21" i="24" s="1"/>
  <c r="I20" i="24" l="1"/>
  <c r="I22" i="24" s="1"/>
  <c r="I23" i="24" s="1"/>
  <c r="I25" i="24" s="1"/>
  <c r="C95" i="24"/>
  <c r="F24" i="24"/>
  <c r="J19" i="24"/>
  <c r="J21" i="24" s="1"/>
  <c r="L14" i="24"/>
  <c r="J99" i="24"/>
  <c r="J101" i="24" s="1"/>
  <c r="K16" i="24"/>
  <c r="K18" i="24" s="1"/>
  <c r="O98" i="24"/>
  <c r="Q13" i="24"/>
  <c r="J20" i="24" l="1"/>
  <c r="J22" i="24" s="1"/>
  <c r="J23" i="24" s="1"/>
  <c r="J25" i="24" s="1"/>
  <c r="D95" i="24"/>
  <c r="G24" i="24"/>
  <c r="P98" i="24"/>
  <c r="R13" i="24"/>
  <c r="M14" i="24"/>
  <c r="K99" i="24"/>
  <c r="K101" i="24" s="1"/>
  <c r="L16" i="24"/>
  <c r="L18" i="24" s="1"/>
  <c r="K19" i="24"/>
  <c r="K21" i="24" s="1"/>
  <c r="E95" i="24" l="1"/>
  <c r="H24" i="24"/>
  <c r="K20" i="24"/>
  <c r="K22" i="24" s="1"/>
  <c r="L99" i="24"/>
  <c r="L101" i="24" s="1"/>
  <c r="N14" i="24"/>
  <c r="M16" i="24"/>
  <c r="M18" i="24" s="1"/>
  <c r="Q98" i="24"/>
  <c r="S13" i="24"/>
  <c r="L19" i="24"/>
  <c r="L21" i="24" s="1"/>
  <c r="K23" i="24" l="1"/>
  <c r="K25" i="24" s="1"/>
  <c r="F95" i="24"/>
  <c r="I24" i="24"/>
  <c r="R98" i="24"/>
  <c r="T13" i="24"/>
  <c r="M99" i="24"/>
  <c r="M101" i="24" s="1"/>
  <c r="N16" i="24"/>
  <c r="N18" i="24" s="1"/>
  <c r="O14" i="24"/>
  <c r="L20" i="24"/>
  <c r="M19" i="24"/>
  <c r="M21" i="24" s="1"/>
  <c r="M20" i="24" l="1"/>
  <c r="M22" i="24" s="1"/>
  <c r="M23" i="24" s="1"/>
  <c r="M25" i="24" s="1"/>
  <c r="J24" i="24"/>
  <c r="G95" i="24"/>
  <c r="N19" i="24"/>
  <c r="N21" i="24" s="1"/>
  <c r="L22" i="24"/>
  <c r="L23" i="24" s="1"/>
  <c r="L25" i="24" s="1"/>
  <c r="S98" i="24"/>
  <c r="U13" i="24"/>
  <c r="P14" i="24"/>
  <c r="O16" i="24"/>
  <c r="O18" i="24" s="1"/>
  <c r="N99" i="24"/>
  <c r="N101" i="24" s="1"/>
  <c r="N20" i="24" l="1"/>
  <c r="N22" i="24" s="1"/>
  <c r="N23" i="24" s="1"/>
  <c r="N25" i="24" s="1"/>
  <c r="H95" i="24"/>
  <c r="K24" i="24"/>
  <c r="I95" i="24" s="1"/>
  <c r="O19" i="24"/>
  <c r="O21" i="24" s="1"/>
  <c r="O99" i="24"/>
  <c r="O101" i="24" s="1"/>
  <c r="P16" i="24"/>
  <c r="P18" i="24" s="1"/>
  <c r="Q14" i="24"/>
  <c r="V13" i="24"/>
  <c r="T98" i="24"/>
  <c r="L24" i="24" l="1"/>
  <c r="B34" i="24" s="1"/>
  <c r="O20" i="24"/>
  <c r="O22" i="24" s="1"/>
  <c r="O23" i="24" s="1"/>
  <c r="O25" i="24" s="1"/>
  <c r="J94" i="24"/>
  <c r="P19" i="24"/>
  <c r="P21" i="24" s="1"/>
  <c r="U98" i="24"/>
  <c r="W13" i="24"/>
  <c r="R14" i="24"/>
  <c r="P99" i="24"/>
  <c r="P101" i="24" s="1"/>
  <c r="Q16" i="24"/>
  <c r="Q18" i="24" s="1"/>
  <c r="J85" i="24" l="1"/>
  <c r="M24" i="24"/>
  <c r="N24" i="24" s="1"/>
  <c r="O24" i="24" s="1"/>
  <c r="G34" i="24"/>
  <c r="L34" i="24" s="1"/>
  <c r="P20" i="24"/>
  <c r="P22" i="24" s="1"/>
  <c r="P23" i="24" s="1"/>
  <c r="Q99" i="24"/>
  <c r="Q101" i="24" s="1"/>
  <c r="S14" i="24"/>
  <c r="R16" i="24"/>
  <c r="R18" i="24" s="1"/>
  <c r="Q19" i="24"/>
  <c r="Q21" i="24" s="1"/>
  <c r="Q20" i="24" l="1"/>
  <c r="Q22" i="24" s="1"/>
  <c r="Q23" i="24" s="1"/>
  <c r="Q25" i="24" s="1"/>
  <c r="P25" i="24"/>
  <c r="P24" i="24"/>
  <c r="R99" i="24"/>
  <c r="R101" i="24" s="1"/>
  <c r="T14" i="24"/>
  <c r="S16" i="24"/>
  <c r="S18" i="24" s="1"/>
  <c r="R19" i="24"/>
  <c r="R21" i="24" s="1"/>
  <c r="Q24" i="24" l="1"/>
  <c r="R20" i="24"/>
  <c r="R22" i="24" s="1"/>
  <c r="R23" i="24" s="1"/>
  <c r="R25" i="24" s="1"/>
  <c r="S99" i="24"/>
  <c r="S101" i="24" s="1"/>
  <c r="T16" i="24"/>
  <c r="U14" i="24"/>
  <c r="S19" i="24"/>
  <c r="S21" i="24" s="1"/>
  <c r="R24" i="24" l="1"/>
  <c r="S20" i="24"/>
  <c r="S22" i="24" s="1"/>
  <c r="S23" i="24" s="1"/>
  <c r="T18" i="24"/>
  <c r="T99" i="24"/>
  <c r="T101" i="24" s="1"/>
  <c r="V14" i="24"/>
  <c r="U16" i="24"/>
  <c r="U18" i="24" s="1"/>
  <c r="S24" i="24" l="1"/>
  <c r="S25" i="24"/>
  <c r="V16" i="24"/>
  <c r="V18" i="24" s="1"/>
  <c r="V19" i="24" s="1"/>
  <c r="U99" i="24"/>
  <c r="U101" i="24" s="1"/>
  <c r="A102" i="24" s="1"/>
  <c r="B33" i="24" s="1"/>
  <c r="T19" i="24"/>
  <c r="T20" i="24" s="1"/>
  <c r="U19" i="24"/>
  <c r="U21" i="24" s="1"/>
  <c r="W14" i="24"/>
  <c r="W18" i="24" l="1"/>
  <c r="W16" i="24"/>
  <c r="U20" i="24"/>
  <c r="U22" i="24" s="1"/>
  <c r="U23" i="24" s="1"/>
  <c r="U25" i="24" s="1"/>
  <c r="T22" i="24"/>
  <c r="T23" i="24" s="1"/>
  <c r="T21" i="24"/>
  <c r="W19" i="24"/>
  <c r="V20" i="24"/>
  <c r="V22" i="24" s="1"/>
  <c r="V23" i="24" s="1"/>
  <c r="V21" i="24"/>
  <c r="W21" i="24" l="1"/>
  <c r="B29" i="24" s="1"/>
  <c r="B30" i="24" s="1"/>
  <c r="W20" i="24"/>
  <c r="V25" i="24"/>
  <c r="T25" i="24"/>
  <c r="T24" i="24"/>
  <c r="U24" i="24" s="1"/>
  <c r="V24" i="24" s="1"/>
  <c r="W24" i="24" s="1"/>
  <c r="B31" i="24" l="1"/>
  <c r="W25" i="24"/>
  <c r="B32" i="24" s="1"/>
  <c r="D31" i="24" s="1"/>
  <c r="W22" i="24"/>
  <c r="W23" i="24" s="1"/>
  <c r="B27" i="24" l="1"/>
  <c r="H6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author>
  </authors>
  <commentList>
    <comment ref="A22" authorId="0" shapeId="0" xr:uid="{00000000-0006-0000-0400-000001000000}">
      <text>
        <r>
          <rPr>
            <b/>
            <sz val="9"/>
            <color indexed="81"/>
            <rFont val="Tahoma"/>
            <family val="2"/>
          </rPr>
          <t>Ken:</t>
        </r>
        <r>
          <rPr>
            <sz val="9"/>
            <color indexed="81"/>
            <rFont val="Tahoma"/>
            <family val="2"/>
          </rPr>
          <t xml:space="preserve">
</t>
        </r>
        <r>
          <rPr>
            <sz val="12"/>
            <color indexed="81"/>
            <rFont val="Verdana"/>
            <family val="2"/>
          </rPr>
          <t xml:space="preserve">Dry matter/day  </t>
        </r>
      </text>
    </comment>
    <comment ref="H22" authorId="0" shapeId="0" xr:uid="{00000000-0006-0000-0400-000002000000}">
      <text>
        <r>
          <rPr>
            <sz val="12"/>
            <color indexed="81"/>
            <rFont val="Verdana"/>
            <family val="2"/>
          </rPr>
          <t xml:space="preserve">Ken:
This relates to 370kg of dry-matter stored in each m3 of silage clamp space.
In Tonga, we would look to increase this dry-matter amount/m3 to further protect against aerobic degradation.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Sanita</author>
  </authors>
  <commentList>
    <comment ref="A17" authorId="0" shapeId="0" xr:uid="{00000000-0006-0000-0700-000001000000}">
      <text>
        <r>
          <rPr>
            <b/>
            <sz val="9"/>
            <color indexed="81"/>
            <rFont val="Tahoma"/>
            <family val="2"/>
          </rPr>
          <t>Ken:</t>
        </r>
        <r>
          <rPr>
            <sz val="9"/>
            <color indexed="81"/>
            <rFont val="Tahoma"/>
            <family val="2"/>
          </rPr>
          <t xml:space="preserve">
</t>
        </r>
        <r>
          <rPr>
            <sz val="12"/>
            <color indexed="81"/>
            <rFont val="Verdana"/>
            <family val="2"/>
          </rPr>
          <t xml:space="preserve">This fixed portion of the return to equity investors equals what would have been paid to the debt financier had the equity investment been covered by debt financing. </t>
        </r>
      </text>
    </comment>
    <comment ref="A20" authorId="0" shapeId="0" xr:uid="{00000000-0006-0000-0700-000002000000}">
      <text>
        <r>
          <rPr>
            <b/>
            <sz val="9"/>
            <color indexed="81"/>
            <rFont val="Tahoma"/>
            <family val="2"/>
          </rPr>
          <t xml:space="preserve">Ken:
</t>
        </r>
        <r>
          <rPr>
            <sz val="12"/>
            <color indexed="81"/>
            <rFont val="Verdana"/>
            <family val="2"/>
          </rPr>
          <t>The profit held over by the company will be determined by the directors of the company each year in consultation with the equity investors. This decision will be influenced by tax considerations and reinvestment considerations to grow the company.</t>
        </r>
      </text>
    </comment>
    <comment ref="A22" authorId="0" shapeId="0" xr:uid="{00000000-0006-0000-0700-000003000000}">
      <text>
        <r>
          <rPr>
            <b/>
            <sz val="9"/>
            <color indexed="81"/>
            <rFont val="Tahoma"/>
            <family val="2"/>
          </rPr>
          <t>Ken:</t>
        </r>
        <r>
          <rPr>
            <sz val="9"/>
            <color indexed="81"/>
            <rFont val="Tahoma"/>
            <family val="2"/>
          </rPr>
          <t xml:space="preserve">
</t>
        </r>
        <r>
          <rPr>
            <sz val="12"/>
            <color indexed="81"/>
            <rFont val="Verdana"/>
            <family val="2"/>
          </rPr>
          <t xml:space="preserve">In addition to the substrate suppliers being paid for the provision of substrates, a further financial reward is provided by a discretionary annual return from the company annual profits.
</t>
        </r>
      </text>
    </comment>
    <comment ref="A23" authorId="0" shapeId="0" xr:uid="{00000000-0006-0000-0700-000004000000}">
      <text>
        <r>
          <rPr>
            <b/>
            <sz val="9"/>
            <color indexed="81"/>
            <rFont val="Tahoma"/>
            <family val="2"/>
          </rPr>
          <t xml:space="preserve">Ken:
</t>
        </r>
        <r>
          <rPr>
            <sz val="12"/>
            <color indexed="81"/>
            <rFont val="Verdana"/>
            <family val="2"/>
          </rPr>
          <t>The profit held over by the company will be determined by the directors of the company each year in consultation with the equity investors. This decision will be influenced by tax considerations and reinvestment considerations to grow the company.</t>
        </r>
      </text>
    </comment>
    <comment ref="H60" authorId="0" shapeId="0" xr:uid="{00000000-0006-0000-0700-000005000000}">
      <text>
        <r>
          <rPr>
            <b/>
            <sz val="9"/>
            <color indexed="81"/>
            <rFont val="Tahoma"/>
            <family val="2"/>
          </rPr>
          <t>Ken:</t>
        </r>
        <r>
          <rPr>
            <sz val="9"/>
            <color indexed="81"/>
            <rFont val="Tahoma"/>
            <family val="2"/>
          </rPr>
          <t xml:space="preserve">
</t>
        </r>
        <r>
          <rPr>
            <sz val="12"/>
            <color indexed="81"/>
            <rFont val="Verdana"/>
            <family val="2"/>
          </rPr>
          <t xml:space="preserve">This % relates to the discretionary return to the equity investors. 
This discretionary return is in addition to the fixed return captured within line 17 of the analysis.
This % will be determined by the directors of the company each year in consultation with the investors. This decision will be influenced by tax considerations and reinvestment considerations to grow the company.
</t>
        </r>
      </text>
    </comment>
  </commentList>
</comments>
</file>

<file path=xl/sharedStrings.xml><?xml version="1.0" encoding="utf-8"?>
<sst xmlns="http://schemas.openxmlformats.org/spreadsheetml/2006/main" count="285" uniqueCount="216">
  <si>
    <t>÷</t>
  </si>
  <si>
    <t>x</t>
  </si>
  <si>
    <t>=</t>
  </si>
  <si>
    <t>kWh/year</t>
  </si>
  <si>
    <t>tonnes/year</t>
  </si>
  <si>
    <t>Annual treatment capacity</t>
  </si>
  <si>
    <t>Gatefee</t>
  </si>
  <si>
    <t>Annual output</t>
  </si>
  <si>
    <t>Selling price</t>
  </si>
  <si>
    <t>Average interest from loan</t>
  </si>
  <si>
    <t>years</t>
  </si>
  <si>
    <t>Loan payback time</t>
  </si>
  <si>
    <t>Total loan (% from investment)</t>
  </si>
  <si>
    <t>Revenue from thermal energy</t>
  </si>
  <si>
    <t>%/year</t>
  </si>
  <si>
    <t>Loan interest</t>
  </si>
  <si>
    <t>Thermal enery</t>
  </si>
  <si>
    <t>Revenue from electricity</t>
  </si>
  <si>
    <t>Total labour cost</t>
  </si>
  <si>
    <t>day/year</t>
  </si>
  <si>
    <t>Number of days</t>
  </si>
  <si>
    <t>Electricity</t>
  </si>
  <si>
    <t>h/day</t>
  </si>
  <si>
    <t>Operating hour/day</t>
  </si>
  <si>
    <t>Energy</t>
  </si>
  <si>
    <t>Loan payback</t>
  </si>
  <si>
    <t>Total</t>
  </si>
  <si>
    <t>Expense</t>
  </si>
  <si>
    <t>Financial cost</t>
  </si>
  <si>
    <t>Interest</t>
  </si>
  <si>
    <t>Annual financial cost including interest</t>
  </si>
  <si>
    <t>Year</t>
  </si>
  <si>
    <t>YEAR</t>
  </si>
  <si>
    <t>The initial bank loan period is</t>
  </si>
  <si>
    <t>IRR</t>
  </si>
  <si>
    <t>Additional analysis</t>
  </si>
  <si>
    <t>Net Present Value</t>
  </si>
  <si>
    <t>Present Value</t>
  </si>
  <si>
    <t>Year #</t>
  </si>
  <si>
    <t>Annual change in expense (+ for increase; - for decrease)</t>
  </si>
  <si>
    <t>Annual change in revenue (+ for increase; - for decrease)</t>
  </si>
  <si>
    <t>Inflation rate (%)</t>
  </si>
  <si>
    <t>Data in blue cells can be edited</t>
  </si>
  <si>
    <t>tonnes/yr</t>
  </si>
  <si>
    <t xml:space="preserve">Carbon Dioxide  </t>
  </si>
  <si>
    <t xml:space="preserve">Annual CO2 production </t>
  </si>
  <si>
    <t>kg/year</t>
  </si>
  <si>
    <t>Revenue from selling CO2</t>
  </si>
  <si>
    <t>PROJECT PAYBACK (YEARS) =</t>
  </si>
  <si>
    <t>kWhe/year</t>
  </si>
  <si>
    <t>-</t>
  </si>
  <si>
    <t>Number of employees</t>
  </si>
  <si>
    <t xml:space="preserve">Solid digestate </t>
  </si>
  <si>
    <t xml:space="preserve">Liquid digestate </t>
  </si>
  <si>
    <t>Revenues</t>
  </si>
  <si>
    <t>OPEX</t>
  </si>
  <si>
    <t>Total including interest</t>
  </si>
  <si>
    <t xml:space="preserve">Net thermal enery/year </t>
  </si>
  <si>
    <t xml:space="preserve">Revenues and expenses </t>
  </si>
  <si>
    <t xml:space="preserve">CHP maintenance </t>
  </si>
  <si>
    <t>Annual cost of CHP maintenance</t>
  </si>
  <si>
    <t>Model developed by:</t>
  </si>
  <si>
    <t>days</t>
  </si>
  <si>
    <t>m3</t>
  </si>
  <si>
    <t>Revenue from gatefee</t>
  </si>
  <si>
    <t xml:space="preserve">Revenue from selling biomethane </t>
  </si>
  <si>
    <t>Selling price US cents/kg</t>
  </si>
  <si>
    <t>US cents/kg</t>
  </si>
  <si>
    <t>Biomethane</t>
  </si>
  <si>
    <t>US cents/kWh</t>
  </si>
  <si>
    <t>Selling price US cents/kWhe</t>
  </si>
  <si>
    <t>Selling price US cents/kWhth</t>
  </si>
  <si>
    <t>Maintenance cost in cents/kWhe</t>
  </si>
  <si>
    <t>2017 and 2030 Energy Flows</t>
  </si>
  <si>
    <t xml:space="preserve"> </t>
  </si>
  <si>
    <t>Fallow land on Tongatapu in hectares</t>
  </si>
  <si>
    <t>% of fallow land used for HTG</t>
  </si>
  <si>
    <t>Servicing debt financing principal + interest</t>
  </si>
  <si>
    <t>Gross Profit</t>
  </si>
  <si>
    <t>Fixed portion of the return to equity investors</t>
  </si>
  <si>
    <t>Profit after fixed portion of the return to equity investors</t>
  </si>
  <si>
    <t>Total amount directed to equity investors</t>
  </si>
  <si>
    <t>Final Profit held over by the company (see note)</t>
  </si>
  <si>
    <t>Accumulated</t>
  </si>
  <si>
    <r>
      <t xml:space="preserve">Total return of profit to </t>
    </r>
    <r>
      <rPr>
        <b/>
        <sz val="14"/>
        <color rgb="FFFF0000"/>
        <rFont val="Verdana"/>
        <family val="2"/>
      </rPr>
      <t>substrate</t>
    </r>
    <r>
      <rPr>
        <b/>
        <sz val="14"/>
        <rFont val="Verdana"/>
        <family val="2"/>
      </rPr>
      <t xml:space="preserve"> suppliers</t>
    </r>
  </si>
  <si>
    <r>
      <t xml:space="preserve">% increase on </t>
    </r>
    <r>
      <rPr>
        <b/>
        <sz val="14"/>
        <color rgb="FFFF0000"/>
        <rFont val="Verdana"/>
        <family val="2"/>
      </rPr>
      <t>equity</t>
    </r>
    <r>
      <rPr>
        <b/>
        <sz val="14"/>
        <rFont val="Verdana"/>
        <family val="2"/>
      </rPr>
      <t xml:space="preserve"> investment</t>
    </r>
  </si>
  <si>
    <t>Equal to a compound interest rate of</t>
  </si>
  <si>
    <r>
      <t xml:space="preserve">Number of years until Accumulated income becomes positive, </t>
    </r>
    <r>
      <rPr>
        <sz val="12"/>
        <color theme="1"/>
        <rFont val="Verdana"/>
        <family val="2"/>
      </rPr>
      <t>if this value = 0 (zero), it means there is loan money involved</t>
    </r>
  </si>
  <si>
    <t>Annual financial cost excluding interest (principal)</t>
  </si>
  <si>
    <t>Annual Cost including interest</t>
  </si>
  <si>
    <t>Principal</t>
  </si>
  <si>
    <t>Revenue                                                                                    Total</t>
  </si>
  <si>
    <t>Labour cost for biogas plant and supply chains</t>
  </si>
  <si>
    <t>Net electricity/year for grid export</t>
  </si>
  <si>
    <t>Processing plant labour</t>
  </si>
  <si>
    <t>Employees</t>
  </si>
  <si>
    <t>Other OPEX</t>
  </si>
  <si>
    <t xml:space="preserve">Digestate </t>
  </si>
  <si>
    <t>Equity investor returns</t>
  </si>
  <si>
    <t>Total equity (% from equity investment)</t>
  </si>
  <si>
    <t>Discretionary return on investment</t>
  </si>
  <si>
    <t>Nitrogen</t>
  </si>
  <si>
    <t>Revenue from selling nitrogen</t>
  </si>
  <si>
    <t>Phospherous</t>
  </si>
  <si>
    <t>Revenue from selling phospherous</t>
  </si>
  <si>
    <t>Potassium</t>
  </si>
  <si>
    <t>Revenue fron selling potassium</t>
  </si>
  <si>
    <t xml:space="preserve">Annual Biochar production potential </t>
  </si>
  <si>
    <t>Revenue from selling Biochar</t>
  </si>
  <si>
    <t>CO2</t>
  </si>
  <si>
    <t>CHP maintenance</t>
  </si>
  <si>
    <t>Opex</t>
  </si>
  <si>
    <t>Themal</t>
  </si>
  <si>
    <t>Loan payback years</t>
  </si>
  <si>
    <t>Labor</t>
  </si>
  <si>
    <t>Investment</t>
  </si>
  <si>
    <t>Selling price for digestate+NPK+biochar</t>
  </si>
  <si>
    <t>P/P/Labor</t>
  </si>
  <si>
    <t>Annual biomethane to replace LPG</t>
  </si>
  <si>
    <t>US$/year</t>
  </si>
  <si>
    <t>Selling price UScents/kWh</t>
  </si>
  <si>
    <t>US$/tonne</t>
  </si>
  <si>
    <t>Handling fee in US$/tonne</t>
  </si>
  <si>
    <t>Carbon abatement estimate</t>
  </si>
  <si>
    <t>CAPEX USD</t>
  </si>
  <si>
    <t>Other labour</t>
  </si>
  <si>
    <r>
      <t xml:space="preserve">Original </t>
    </r>
    <r>
      <rPr>
        <b/>
        <sz val="14"/>
        <color rgb="FFFF0000"/>
        <rFont val="Verdana"/>
        <family val="2"/>
      </rPr>
      <t>equity</t>
    </r>
    <r>
      <rPr>
        <b/>
        <sz val="14"/>
        <rFont val="Verdana"/>
        <family val="2"/>
      </rPr>
      <t xml:space="preserve"> investment from investers in USD</t>
    </r>
  </si>
  <si>
    <r>
      <t xml:space="preserve">Total return on original </t>
    </r>
    <r>
      <rPr>
        <b/>
        <sz val="14"/>
        <color rgb="FFFF0000"/>
        <rFont val="Verdana"/>
        <family val="2"/>
      </rPr>
      <t>equity</t>
    </r>
    <r>
      <rPr>
        <b/>
        <sz val="14"/>
        <rFont val="Verdana"/>
        <family val="2"/>
      </rPr>
      <t xml:space="preserve"> investments in USD</t>
    </r>
  </si>
  <si>
    <t>US$/hour</t>
  </si>
  <si>
    <t>US$</t>
  </si>
  <si>
    <t>US$/20 years</t>
  </si>
  <si>
    <t>Revenue from selling solid digestate</t>
  </si>
  <si>
    <t>Revenue from selling liquid digestate</t>
  </si>
  <si>
    <t>Selling price US$/tonne</t>
  </si>
  <si>
    <t>Substrates cost/year</t>
  </si>
  <si>
    <t xml:space="preserve">OPEX for maintenance (% CAPEX/yr) </t>
  </si>
  <si>
    <t>Substrate suppliers return (%  profit)</t>
  </si>
  <si>
    <t>Discretionary return of profit to substrate suppliers</t>
  </si>
  <si>
    <t>Discretionary return of profit to equity investors</t>
  </si>
  <si>
    <t>Profit after discretionary return to equity investors</t>
  </si>
  <si>
    <t>B: Detailed planning &amp; engineering</t>
  </si>
  <si>
    <t>C1: Biological, Technical &amp; Construction</t>
  </si>
  <si>
    <t>Biological, Technical &amp; Construction</t>
  </si>
  <si>
    <t>D1: Civils</t>
  </si>
  <si>
    <t>Civils</t>
  </si>
  <si>
    <t>Biogas subtotal</t>
  </si>
  <si>
    <t>Contingency allowance %</t>
  </si>
  <si>
    <t>Contingency allowance amount</t>
  </si>
  <si>
    <t>TOTAL</t>
  </si>
  <si>
    <t>CAPEX SUPPORT %</t>
  </si>
  <si>
    <t>CAPEX SUPPORT $</t>
  </si>
  <si>
    <t>TOTAL CAPEX MINUS CAPEX SUPPORT</t>
  </si>
  <si>
    <t>Civils + CAPEX support</t>
  </si>
  <si>
    <t>Contigencies</t>
  </si>
  <si>
    <t xml:space="preserve">Wet Digester Bilogic/Tech </t>
  </si>
  <si>
    <t>Conceptual &amp; detailed planning allowance</t>
  </si>
  <si>
    <t>Pig manure</t>
  </si>
  <si>
    <t>FM Input daily</t>
  </si>
  <si>
    <t>DM</t>
  </si>
  <si>
    <t>VS</t>
  </si>
  <si>
    <t>Gas output</t>
  </si>
  <si>
    <t>CH4</t>
  </si>
  <si>
    <t>N</t>
  </si>
  <si>
    <t>P</t>
  </si>
  <si>
    <t>K</t>
  </si>
  <si>
    <t>t/d</t>
  </si>
  <si>
    <t>% FM</t>
  </si>
  <si>
    <t>% DM</t>
  </si>
  <si>
    <t>l/kg oDM</t>
  </si>
  <si>
    <t>m³/d</t>
  </si>
  <si>
    <t>%</t>
  </si>
  <si>
    <t>g/kg DM</t>
  </si>
  <si>
    <t>Cattle solid manure</t>
  </si>
  <si>
    <t>Pineapple leaves</t>
  </si>
  <si>
    <t>n/a</t>
  </si>
  <si>
    <t>Peelings</t>
  </si>
  <si>
    <t>Food waste</t>
  </si>
  <si>
    <t>Freshly wilted grass</t>
  </si>
  <si>
    <t>HTG</t>
  </si>
  <si>
    <t>h/a</t>
  </si>
  <si>
    <t>t/year</t>
  </si>
  <si>
    <t>t/day</t>
  </si>
  <si>
    <t>HTG/ha</t>
  </si>
  <si>
    <t>Ken Davey, Sanita Naiovi &amp; Moses Chandra (Excel Master and lecturer: University of the South Pacific) with the assistance of BSW Energy Malaysia</t>
  </si>
  <si>
    <t>HTG silage seepage</t>
  </si>
  <si>
    <t xml:space="preserve">Allocation for the establishment of HTG &amp; supply chain logistics </t>
  </si>
  <si>
    <t>Gross electricity gen/year</t>
  </si>
  <si>
    <t>kWh</t>
  </si>
  <si>
    <t>cost of HTG substrates</t>
  </si>
  <si>
    <t>Estimated annual operation time CHP</t>
  </si>
  <si>
    <t>Electrical efficiency CHP</t>
  </si>
  <si>
    <t>Self consumption %</t>
  </si>
  <si>
    <t>Self consumption amount</t>
  </si>
  <si>
    <t>Net electricity for sale</t>
  </si>
  <si>
    <t>Electrical generation capacity CHP</t>
  </si>
  <si>
    <t>kWe</t>
  </si>
  <si>
    <t>% self consump</t>
  </si>
  <si>
    <t>Hectares of HTG</t>
  </si>
  <si>
    <t>500kWe biogas plant for Tonga</t>
  </si>
  <si>
    <t>Subtotal INCLUDING conceptual planning, detailed planning &amp; engineering</t>
  </si>
  <si>
    <t xml:space="preserve">A: Conceptual planning </t>
  </si>
  <si>
    <t>Profitability calculation -500kWe biogas plant for Tonga</t>
  </si>
  <si>
    <t>Gross return to farmers in USD/hectare</t>
  </si>
  <si>
    <t>Renewable CO2 yields/hectare in kgs</t>
  </si>
  <si>
    <t>price paid/ton HTG</t>
  </si>
  <si>
    <t>m³/yr</t>
  </si>
  <si>
    <t>Energy as CH4</t>
  </si>
  <si>
    <t>kWh/yr</t>
  </si>
  <si>
    <t>Potential renewable methane yields/hectare/year in m3</t>
  </si>
  <si>
    <t>Potential renewable methane yields/hectare/year in kWh</t>
  </si>
  <si>
    <t>Substrate cost expressed as UScents/m3 of methane</t>
  </si>
  <si>
    <t>Substrate cost expressed as UScents/kWh of methane</t>
  </si>
  <si>
    <t>Yield of HTG in tonnes/ha</t>
  </si>
  <si>
    <t>Cost paid to farmers for HTG in USD/tonne</t>
  </si>
  <si>
    <t>m3 of methane/tonne of HTG</t>
  </si>
  <si>
    <t>kWh of methane/tonne of HTG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</si>
</sst>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quot;$&quot;* #,##0.00_-;\-&quot;$&quot;* #,##0.00_-;_-&quot;$&quot;* &quot;-&quot;??_-;_-@_-"/>
    <numFmt numFmtId="165" formatCode="0.0"/>
    <numFmt numFmtId="166" formatCode="&quot;$&quot;#,##0.00"/>
    <numFmt numFmtId="167" formatCode="0.000"/>
    <numFmt numFmtId="168" formatCode="_(* #,##0_);_(* \(#,##0\);_(* &quot;-&quot;??_);_(@_)"/>
    <numFmt numFmtId="169" formatCode="_(* #,##0.00_);_(* \(#,##0.00\);_(* &quot;-&quot;??_);_(@_)"/>
    <numFmt numFmtId="170" formatCode="0.0%"/>
    <numFmt numFmtId="171" formatCode="#,##0.00_ ;\-#,##0.00\ "/>
    <numFmt numFmtId="172" formatCode="#,##0.000_ ;\-#,##0.000\ "/>
    <numFmt numFmtId="173" formatCode="_(* #,##0.0_);_(* \(#,##0.0\);_(* &quot;-&quot;??_);_(@_)"/>
    <numFmt numFmtId="174" formatCode="#,##0.0"/>
    <numFmt numFmtId="175" formatCode="0.000%"/>
    <numFmt numFmtId="176" formatCode="_-* #,##0_-;\-* #,##0_-;_-* &quot;-&quot;??_-;_-@_-"/>
    <numFmt numFmtId="177" formatCode="#,##0.000"/>
    <numFmt numFmtId="178" formatCode="#,##0.0000"/>
  </numFmts>
  <fonts count="63" x14ac:knownFonts="1">
    <font>
      <sz val="11"/>
      <color theme="1"/>
      <name val="Calibri"/>
      <family val="2"/>
      <charset val="1"/>
      <scheme val="minor"/>
    </font>
    <font>
      <sz val="11"/>
      <color theme="1"/>
      <name val="Calibri"/>
      <family val="2"/>
      <charset val="1"/>
      <scheme val="minor"/>
    </font>
    <font>
      <sz val="12"/>
      <color theme="1"/>
      <name val="Verdana"/>
      <family val="2"/>
    </font>
    <font>
      <sz val="7"/>
      <name val="Prestige 15cpi"/>
    </font>
    <font>
      <b/>
      <sz val="12"/>
      <color theme="1"/>
      <name val="Verdana"/>
      <family val="2"/>
    </font>
    <font>
      <b/>
      <sz val="12"/>
      <name val="Verdana"/>
      <family val="2"/>
    </font>
    <font>
      <sz val="12"/>
      <name val="Verdana"/>
      <family val="2"/>
    </font>
    <font>
      <b/>
      <sz val="14"/>
      <color theme="1"/>
      <name val="Verdana"/>
      <family val="2"/>
    </font>
    <font>
      <sz val="11"/>
      <color theme="1"/>
      <name val="Calibri"/>
      <family val="2"/>
      <scheme val="minor"/>
    </font>
    <font>
      <sz val="11"/>
      <color theme="0"/>
      <name val="Calibri"/>
      <family val="2"/>
      <scheme val="minor"/>
    </font>
    <font>
      <b/>
      <sz val="11"/>
      <color theme="1"/>
      <name val="Calibri"/>
      <family val="2"/>
      <scheme val="minor"/>
    </font>
    <font>
      <sz val="11"/>
      <name val="Calibri"/>
      <family val="2"/>
      <scheme val="minor"/>
    </font>
    <font>
      <u/>
      <sz val="11"/>
      <color theme="10"/>
      <name val="Calibri"/>
      <family val="2"/>
    </font>
    <font>
      <b/>
      <sz val="20"/>
      <color theme="1"/>
      <name val="Verdana"/>
      <family val="2"/>
    </font>
    <font>
      <b/>
      <sz val="11"/>
      <color theme="1"/>
      <name val="Verdana"/>
      <family val="2"/>
    </font>
    <font>
      <sz val="11"/>
      <color theme="1"/>
      <name val="Verdana"/>
      <family val="2"/>
    </font>
    <font>
      <b/>
      <sz val="12"/>
      <color theme="1"/>
      <name val="Calibri"/>
      <family val="2"/>
      <scheme val="minor"/>
    </font>
    <font>
      <sz val="12"/>
      <color theme="1"/>
      <name val="Calibri"/>
      <family val="2"/>
      <scheme val="minor"/>
    </font>
    <font>
      <u/>
      <sz val="12"/>
      <color theme="10"/>
      <name val="Calibri"/>
      <family val="2"/>
    </font>
    <font>
      <b/>
      <sz val="12"/>
      <color rgb="FFFF0000"/>
      <name val="Verdana"/>
      <family val="2"/>
    </font>
    <font>
      <sz val="11"/>
      <name val="Verdana"/>
      <family val="2"/>
    </font>
    <font>
      <b/>
      <sz val="12"/>
      <color theme="4" tint="-0.249977111117893"/>
      <name val="Verdana"/>
      <family val="2"/>
    </font>
    <font>
      <sz val="14"/>
      <color theme="1"/>
      <name val="Verdana"/>
      <family val="2"/>
    </font>
    <font>
      <b/>
      <sz val="12"/>
      <color rgb="FF0000FF"/>
      <name val="Verdana"/>
      <family val="2"/>
    </font>
    <font>
      <sz val="11"/>
      <name val="Calibri"/>
      <family val="2"/>
      <charset val="1"/>
      <scheme val="minor"/>
    </font>
    <font>
      <b/>
      <sz val="12"/>
      <color theme="0"/>
      <name val="Verdana"/>
      <family val="2"/>
    </font>
    <font>
      <b/>
      <sz val="12"/>
      <color theme="0"/>
      <name val="Calibri"/>
      <family val="2"/>
      <scheme val="minor"/>
    </font>
    <font>
      <b/>
      <sz val="22"/>
      <color theme="1"/>
      <name val="Verdana"/>
      <family val="2"/>
    </font>
    <font>
      <b/>
      <sz val="26"/>
      <color theme="1"/>
      <name val="Verdana"/>
      <family val="2"/>
    </font>
    <font>
      <sz val="12"/>
      <color rgb="FFFF0000"/>
      <name val="Verdana"/>
      <family val="2"/>
    </font>
    <font>
      <b/>
      <sz val="16"/>
      <color theme="1"/>
      <name val="Verdana"/>
      <family val="2"/>
    </font>
    <font>
      <sz val="9"/>
      <color indexed="81"/>
      <name val="Tahoma"/>
      <family val="2"/>
    </font>
    <font>
      <b/>
      <sz val="9"/>
      <color indexed="81"/>
      <name val="Tahoma"/>
      <family val="2"/>
    </font>
    <font>
      <sz val="12"/>
      <color indexed="81"/>
      <name val="Verdana"/>
      <family val="2"/>
    </font>
    <font>
      <sz val="48"/>
      <color theme="1"/>
      <name val="Verdana"/>
      <family val="2"/>
    </font>
    <font>
      <b/>
      <sz val="14"/>
      <name val="Verdana"/>
      <family val="2"/>
    </font>
    <font>
      <b/>
      <sz val="16"/>
      <color rgb="FFFF0000"/>
      <name val="Verdana"/>
      <family val="2"/>
    </font>
    <font>
      <b/>
      <sz val="22"/>
      <color rgb="FFFF0000"/>
      <name val="Verdana"/>
      <family val="2"/>
    </font>
    <font>
      <sz val="11"/>
      <color theme="0"/>
      <name val="Calibri"/>
      <family val="2"/>
      <charset val="1"/>
      <scheme val="minor"/>
    </font>
    <font>
      <sz val="16"/>
      <color theme="1"/>
      <name val="Verdana"/>
      <family val="2"/>
    </font>
    <font>
      <sz val="12"/>
      <color theme="0"/>
      <name val="Verdana"/>
      <family val="2"/>
    </font>
    <font>
      <sz val="12"/>
      <color theme="1"/>
      <name val="Calibri"/>
      <family val="2"/>
      <charset val="1"/>
      <scheme val="minor"/>
    </font>
    <font>
      <sz val="10"/>
      <color theme="1"/>
      <name val="Verdana"/>
      <family val="2"/>
    </font>
    <font>
      <b/>
      <sz val="16"/>
      <name val="Verdana"/>
      <family val="2"/>
    </font>
    <font>
      <sz val="11"/>
      <color rgb="FF006100"/>
      <name val="Calibri"/>
      <family val="2"/>
      <scheme val="minor"/>
    </font>
    <font>
      <b/>
      <sz val="12"/>
      <color rgb="FF006100"/>
      <name val="Verdana"/>
      <family val="2"/>
    </font>
    <font>
      <sz val="11"/>
      <color rgb="FF006100"/>
      <name val="Verdana"/>
      <family val="2"/>
    </font>
    <font>
      <b/>
      <sz val="11"/>
      <color rgb="FF006100"/>
      <name val="Verdana"/>
      <family val="2"/>
    </font>
    <font>
      <sz val="11"/>
      <color rgb="FF9C5700"/>
      <name val="Calibri"/>
      <family val="2"/>
      <scheme val="minor"/>
    </font>
    <font>
      <b/>
      <sz val="11"/>
      <color rgb="FFFF0000"/>
      <name val="Verdana"/>
      <family val="2"/>
    </font>
    <font>
      <b/>
      <sz val="12"/>
      <color rgb="FFFF0000"/>
      <name val="Calibri"/>
      <family val="2"/>
      <scheme val="minor"/>
    </font>
    <font>
      <b/>
      <sz val="14"/>
      <color rgb="FFFF0000"/>
      <name val="Verdana"/>
      <family val="2"/>
    </font>
    <font>
      <b/>
      <sz val="14"/>
      <color theme="1"/>
      <name val="Calibri"/>
      <family val="2"/>
      <scheme val="minor"/>
    </font>
    <font>
      <b/>
      <sz val="14"/>
      <color theme="0"/>
      <name val="Calibri"/>
      <family val="2"/>
      <scheme val="minor"/>
    </font>
    <font>
      <b/>
      <sz val="18"/>
      <name val="Verdana"/>
      <family val="2"/>
    </font>
    <font>
      <b/>
      <sz val="18"/>
      <color rgb="FFFF0000"/>
      <name val="Verdana"/>
      <family val="2"/>
    </font>
    <font>
      <b/>
      <sz val="10"/>
      <name val="Verdana"/>
      <family val="2"/>
    </font>
    <font>
      <sz val="10"/>
      <name val="Verdana"/>
      <family val="2"/>
    </font>
    <font>
      <sz val="10"/>
      <name val="Arial"/>
    </font>
    <font>
      <sz val="10"/>
      <name val="MS Sans Serif"/>
      <family val="2"/>
    </font>
    <font>
      <b/>
      <sz val="11"/>
      <name val="Verdana"/>
      <family val="2"/>
    </font>
    <font>
      <sz val="9"/>
      <color theme="1"/>
      <name val="Verdana"/>
      <family val="2"/>
    </font>
    <font>
      <b/>
      <sz val="36"/>
      <color theme="1"/>
      <name val="Verdana"/>
      <family val="2"/>
    </font>
  </fonts>
  <fills count="25">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0000FF"/>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C6EFCE"/>
      </patternFill>
    </fill>
    <fill>
      <patternFill patternType="solid">
        <fgColor rgb="FFFFEB9C"/>
      </patternFill>
    </fill>
    <fill>
      <patternFill patternType="solid">
        <fgColor theme="4"/>
        <bgColor indexed="64"/>
      </patternFill>
    </fill>
    <fill>
      <patternFill patternType="solid">
        <fgColor theme="2" tint="-0.749992370372631"/>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8" tint="0.39997558519241921"/>
        <bgColor indexed="64"/>
      </patternFill>
    </fill>
  </fills>
  <borders count="6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right style="thin">
        <color theme="1"/>
      </right>
      <top style="thin">
        <color theme="1"/>
      </top>
      <bottom style="thin">
        <color theme="1"/>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medium">
        <color theme="9" tint="-0.499984740745262"/>
      </left>
      <right style="medium">
        <color theme="9" tint="-0.499984740745262"/>
      </right>
      <top style="medium">
        <color theme="9" tint="-0.499984740745262"/>
      </top>
      <bottom/>
      <diagonal/>
    </border>
    <border>
      <left style="medium">
        <color theme="9" tint="-0.499984740745262"/>
      </left>
      <right style="medium">
        <color theme="9" tint="-0.499984740745262"/>
      </right>
      <top/>
      <bottom style="medium">
        <color theme="9" tint="-0.499984740745262"/>
      </bottom>
      <diagonal/>
    </border>
    <border>
      <left style="thin">
        <color theme="9" tint="-0.249977111117893"/>
      </left>
      <right style="thin">
        <color theme="9" tint="-0.249977111117893"/>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style="thin">
        <color theme="9" tint="-0.249977111117893"/>
      </right>
      <top style="medium">
        <color theme="9" tint="-0.249977111117893"/>
      </top>
      <bottom style="medium">
        <color theme="9" tint="-0.249977111117893"/>
      </bottom>
      <diagonal/>
    </border>
    <border>
      <left style="thin">
        <color theme="9" tint="-0.249977111117893"/>
      </left>
      <right style="thin">
        <color theme="9" tint="-0.249977111117893"/>
      </right>
      <top style="medium">
        <color theme="9" tint="-0.249977111117893"/>
      </top>
      <bottom style="medium">
        <color theme="9" tint="-0.249977111117893"/>
      </bottom>
      <diagonal/>
    </border>
    <border>
      <left style="thin">
        <color theme="9" tint="-0.249977111117893"/>
      </left>
      <right style="medium">
        <color theme="9" tint="-0.249977111117893"/>
      </right>
      <top style="medium">
        <color theme="9" tint="-0.249977111117893"/>
      </top>
      <bottom style="medium">
        <color theme="9" tint="-0.249977111117893"/>
      </bottom>
      <diagonal/>
    </border>
    <border>
      <left style="thin">
        <color indexed="64"/>
      </left>
      <right style="thin">
        <color indexed="64"/>
      </right>
      <top style="thin">
        <color indexed="64"/>
      </top>
      <bottom style="thin">
        <color indexed="64"/>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right/>
      <top style="thin">
        <color indexed="64"/>
      </top>
      <bottom/>
      <diagonal/>
    </border>
    <border>
      <left style="medium">
        <color theme="9" tint="-0.499984740745262"/>
      </left>
      <right style="thin">
        <color theme="9" tint="-0.249977111117893"/>
      </right>
      <top style="thin">
        <color theme="9" tint="-0.249977111117893"/>
      </top>
      <bottom style="thin">
        <color theme="9" tint="-0.249977111117893"/>
      </bottom>
      <diagonal/>
    </border>
    <border>
      <left style="thin">
        <color theme="9" tint="-0.249977111117893"/>
      </left>
      <right style="medium">
        <color theme="9" tint="-0.499984740745262"/>
      </right>
      <top style="thin">
        <color theme="9" tint="-0.249977111117893"/>
      </top>
      <bottom style="thin">
        <color theme="9" tint="-0.249977111117893"/>
      </bottom>
      <diagonal/>
    </border>
    <border>
      <left style="medium">
        <color theme="9" tint="-0.499984740745262"/>
      </left>
      <right style="thin">
        <color theme="9" tint="-0.249977111117893"/>
      </right>
      <top style="thin">
        <color theme="9" tint="-0.249977111117893"/>
      </top>
      <bottom style="medium">
        <color theme="9" tint="-0.499984740745262"/>
      </bottom>
      <diagonal/>
    </border>
    <border>
      <left style="thin">
        <color theme="9" tint="-0.249977111117893"/>
      </left>
      <right style="medium">
        <color theme="9" tint="-0.499984740745262"/>
      </right>
      <top style="thin">
        <color theme="9" tint="-0.249977111117893"/>
      </top>
      <bottom style="medium">
        <color theme="9" tint="-0.499984740745262"/>
      </bottom>
      <diagonal/>
    </border>
    <border>
      <left style="medium">
        <color theme="9" tint="-0.499984740745262"/>
      </left>
      <right style="medium">
        <color theme="9" tint="-0.499984740745262"/>
      </right>
      <top/>
      <bottom style="thin">
        <color indexed="64"/>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style="medium">
        <color theme="9" tint="-0.249977111117893"/>
      </left>
      <right style="medium">
        <color theme="9" tint="-0.249977111117893"/>
      </right>
      <top style="medium">
        <color theme="9" tint="-0.24994659260841701"/>
      </top>
      <bottom style="medium">
        <color theme="9" tint="-0.249977111117893"/>
      </bottom>
      <diagonal/>
    </border>
    <border>
      <left/>
      <right style="medium">
        <color theme="9" tint="-0.249977111117893"/>
      </right>
      <top style="medium">
        <color theme="9" tint="-0.24994659260841701"/>
      </top>
      <bottom/>
      <diagonal/>
    </border>
    <border>
      <left style="medium">
        <color theme="9" tint="-0.24994659260841701"/>
      </left>
      <right/>
      <top/>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77111117893"/>
      </right>
      <top/>
      <bottom style="medium">
        <color theme="9" tint="-0.24994659260841701"/>
      </bottom>
      <diagonal/>
    </border>
    <border>
      <left style="thin">
        <color theme="9" tint="-0.249977111117893"/>
      </left>
      <right/>
      <top/>
      <bottom/>
      <diagonal/>
    </border>
    <border>
      <left/>
      <right style="thin">
        <color theme="9" tint="-0.249977111117893"/>
      </right>
      <top/>
      <bottom/>
      <diagonal/>
    </border>
    <border>
      <left style="thin">
        <color theme="9" tint="-0.249977111117893"/>
      </left>
      <right/>
      <top style="thin">
        <color theme="9" tint="-0.249977111117893"/>
      </top>
      <bottom/>
      <diagonal/>
    </border>
    <border>
      <left style="thin">
        <color theme="9" tint="-0.249977111117893"/>
      </left>
      <right/>
      <top/>
      <bottom style="thin">
        <color theme="9" tint="-0.24997711111789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9" tint="-0.249977111117893"/>
      </left>
      <right style="thin">
        <color theme="9" tint="-0.249977111117893"/>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xf numFmtId="169" fontId="8" fillId="0" borderId="0" applyFont="0" applyFill="0" applyBorder="0" applyAlignment="0" applyProtection="0"/>
    <xf numFmtId="9" fontId="8" fillId="0" borderId="0" applyFont="0" applyFill="0" applyBorder="0" applyAlignment="0" applyProtection="0"/>
    <xf numFmtId="0" fontId="12" fillId="0" borderId="0" applyNumberFormat="0" applyFill="0" applyBorder="0" applyAlignment="0" applyProtection="0">
      <alignment vertical="top"/>
      <protection locked="0"/>
    </xf>
    <xf numFmtId="43" fontId="1" fillId="0" borderId="0" applyFont="0" applyFill="0" applyBorder="0" applyAlignment="0" applyProtection="0"/>
    <xf numFmtId="0" fontId="44" fillId="18" borderId="0" applyNumberFormat="0" applyBorder="0" applyAlignment="0" applyProtection="0"/>
    <xf numFmtId="0" fontId="48" fillId="19" borderId="0" applyNumberFormat="0" applyBorder="0" applyAlignment="0" applyProtection="0"/>
    <xf numFmtId="0" fontId="58" fillId="0" borderId="0"/>
    <xf numFmtId="0" fontId="59" fillId="0" borderId="0"/>
  </cellStyleXfs>
  <cellXfs count="513">
    <xf numFmtId="0" fontId="0" fillId="0" borderId="0" xfId="0"/>
    <xf numFmtId="0" fontId="3" fillId="0" borderId="0" xfId="3"/>
    <xf numFmtId="0" fontId="2" fillId="0" borderId="0" xfId="0" applyFont="1"/>
    <xf numFmtId="0" fontId="8" fillId="0" borderId="0" xfId="4"/>
    <xf numFmtId="0" fontId="8" fillId="0" borderId="0" xfId="4" applyProtection="1">
      <protection hidden="1"/>
    </xf>
    <xf numFmtId="168" fontId="0" fillId="0" borderId="0" xfId="5" applyNumberFormat="1" applyFont="1" applyFill="1" applyAlignment="1" applyProtection="1">
      <alignment horizontal="right"/>
      <protection hidden="1"/>
    </xf>
    <xf numFmtId="168" fontId="0" fillId="0" borderId="0" xfId="5" applyNumberFormat="1" applyFont="1" applyFill="1" applyAlignment="1" applyProtection="1">
      <protection hidden="1"/>
    </xf>
    <xf numFmtId="0" fontId="8" fillId="0" borderId="0" xfId="4" applyFill="1"/>
    <xf numFmtId="168" fontId="11" fillId="0" borderId="0" xfId="5" applyNumberFormat="1" applyFont="1" applyFill="1" applyProtection="1">
      <protection hidden="1"/>
    </xf>
    <xf numFmtId="168" fontId="0" fillId="0" borderId="0" xfId="5" applyNumberFormat="1" applyFont="1" applyFill="1" applyProtection="1">
      <protection hidden="1"/>
    </xf>
    <xf numFmtId="0" fontId="8" fillId="0" borderId="0" xfId="4" applyFont="1"/>
    <xf numFmtId="0" fontId="9" fillId="0" borderId="0" xfId="4" applyFont="1"/>
    <xf numFmtId="0" fontId="9" fillId="0" borderId="0" xfId="4" applyFont="1" applyProtection="1">
      <protection hidden="1"/>
    </xf>
    <xf numFmtId="0" fontId="8" fillId="0" borderId="0" xfId="4" applyFont="1" applyProtection="1">
      <protection hidden="1"/>
    </xf>
    <xf numFmtId="168" fontId="9" fillId="0" borderId="0" xfId="4" applyNumberFormat="1" applyFont="1"/>
    <xf numFmtId="168" fontId="9" fillId="0" borderId="0" xfId="4" applyNumberFormat="1" applyFont="1" applyProtection="1">
      <protection hidden="1"/>
    </xf>
    <xf numFmtId="0" fontId="14" fillId="0" borderId="4" xfId="4" applyFont="1" applyBorder="1" applyProtection="1">
      <protection hidden="1"/>
    </xf>
    <xf numFmtId="0" fontId="14" fillId="0" borderId="4" xfId="4" applyFont="1" applyBorder="1" applyAlignment="1" applyProtection="1">
      <alignment horizontal="right"/>
      <protection hidden="1"/>
    </xf>
    <xf numFmtId="0" fontId="17" fillId="0" borderId="0" xfId="4" applyFont="1" applyProtection="1">
      <protection hidden="1"/>
    </xf>
    <xf numFmtId="0" fontId="16" fillId="0" borderId="0" xfId="4" applyFont="1" applyAlignment="1" applyProtection="1">
      <alignment horizontal="left"/>
      <protection hidden="1"/>
    </xf>
    <xf numFmtId="0" fontId="17" fillId="0" borderId="0" xfId="4" applyFont="1" applyAlignment="1" applyProtection="1">
      <alignment horizontal="left"/>
      <protection hidden="1"/>
    </xf>
    <xf numFmtId="168" fontId="17" fillId="0" borderId="0" xfId="5" applyNumberFormat="1" applyFont="1" applyFill="1" applyProtection="1">
      <protection hidden="1"/>
    </xf>
    <xf numFmtId="0" fontId="17" fillId="0" borderId="0" xfId="4" applyFont="1"/>
    <xf numFmtId="0" fontId="17" fillId="0" borderId="0" xfId="4" applyFont="1" applyFill="1"/>
    <xf numFmtId="0" fontId="16" fillId="0" borderId="0" xfId="4" applyFont="1" applyProtection="1">
      <protection hidden="1"/>
    </xf>
    <xf numFmtId="0" fontId="17" fillId="0" borderId="0" xfId="4" applyFont="1" applyAlignment="1" applyProtection="1">
      <alignment horizontal="right"/>
      <protection hidden="1"/>
    </xf>
    <xf numFmtId="0" fontId="17" fillId="0" borderId="0" xfId="4" applyFont="1" applyFill="1" applyProtection="1">
      <protection hidden="1"/>
    </xf>
    <xf numFmtId="0" fontId="16" fillId="0" borderId="0" xfId="4" applyFont="1" applyFill="1" applyAlignment="1" applyProtection="1">
      <alignment horizontal="center" vertical="center"/>
      <protection hidden="1"/>
    </xf>
    <xf numFmtId="9" fontId="17" fillId="0" borderId="0" xfId="6" applyFont="1" applyFill="1" applyProtection="1">
      <protection hidden="1"/>
    </xf>
    <xf numFmtId="0" fontId="2" fillId="0" borderId="0" xfId="4" applyFont="1" applyProtection="1">
      <protection hidden="1"/>
    </xf>
    <xf numFmtId="0" fontId="19" fillId="0" borderId="0" xfId="4" applyFont="1" applyAlignment="1" applyProtection="1">
      <protection hidden="1"/>
    </xf>
    <xf numFmtId="0" fontId="4" fillId="0" borderId="0" xfId="4" applyFont="1" applyProtection="1">
      <protection hidden="1"/>
    </xf>
    <xf numFmtId="168" fontId="4" fillId="0" borderId="0" xfId="5" applyNumberFormat="1" applyFont="1" applyFill="1" applyProtection="1">
      <protection hidden="1"/>
    </xf>
    <xf numFmtId="0" fontId="4" fillId="0" borderId="5" xfId="4" applyFont="1" applyBorder="1" applyProtection="1">
      <protection hidden="1"/>
    </xf>
    <xf numFmtId="0" fontId="4" fillId="0" borderId="4" xfId="4" applyFont="1" applyBorder="1" applyProtection="1">
      <protection hidden="1"/>
    </xf>
    <xf numFmtId="0" fontId="2" fillId="0" borderId="0" xfId="4" applyFont="1"/>
    <xf numFmtId="0" fontId="2" fillId="0" borderId="0" xfId="4" applyFont="1" applyBorder="1" applyProtection="1">
      <protection hidden="1"/>
    </xf>
    <xf numFmtId="0" fontId="2" fillId="0" borderId="0" xfId="4" applyFont="1" applyFill="1" applyBorder="1" applyProtection="1">
      <protection hidden="1"/>
    </xf>
    <xf numFmtId="0" fontId="22" fillId="0" borderId="0" xfId="4" applyFont="1" applyBorder="1" applyProtection="1">
      <protection hidden="1"/>
    </xf>
    <xf numFmtId="0" fontId="7" fillId="0" borderId="0" xfId="4" applyFont="1" applyBorder="1" applyAlignment="1" applyProtection="1">
      <protection hidden="1"/>
    </xf>
    <xf numFmtId="168" fontId="22" fillId="0" borderId="0" xfId="5" applyNumberFormat="1" applyFont="1" applyFill="1" applyBorder="1" applyAlignment="1" applyProtection="1">
      <alignment horizontal="right"/>
      <protection hidden="1"/>
    </xf>
    <xf numFmtId="0" fontId="2" fillId="0" borderId="0" xfId="4" applyFont="1" applyFill="1" applyProtection="1">
      <protection hidden="1"/>
    </xf>
    <xf numFmtId="0" fontId="4" fillId="0" borderId="0" xfId="4" applyFont="1" applyAlignment="1" applyProtection="1">
      <protection hidden="1"/>
    </xf>
    <xf numFmtId="0" fontId="2" fillId="0" borderId="0" xfId="4" applyFont="1" applyAlignment="1" applyProtection="1">
      <protection hidden="1"/>
    </xf>
    <xf numFmtId="0" fontId="17" fillId="0" borderId="0" xfId="4" applyFont="1" applyAlignment="1">
      <alignment horizontal="center" vertical="top" wrapText="1"/>
    </xf>
    <xf numFmtId="0" fontId="2" fillId="8" borderId="0" xfId="4" applyFont="1" applyFill="1" applyBorder="1" applyProtection="1">
      <protection hidden="1"/>
    </xf>
    <xf numFmtId="0" fontId="2" fillId="8" borderId="0" xfId="4" applyFont="1" applyFill="1" applyBorder="1" applyAlignment="1" applyProtection="1">
      <protection hidden="1"/>
    </xf>
    <xf numFmtId="0" fontId="2" fillId="8" borderId="0" xfId="4" applyFont="1" applyFill="1" applyBorder="1" applyAlignment="1" applyProtection="1">
      <alignment horizontal="right"/>
      <protection hidden="1"/>
    </xf>
    <xf numFmtId="168" fontId="2" fillId="8" borderId="0" xfId="5" applyNumberFormat="1" applyFont="1" applyFill="1" applyBorder="1" applyAlignment="1" applyProtection="1">
      <protection hidden="1"/>
    </xf>
    <xf numFmtId="168" fontId="2" fillId="8" borderId="0" xfId="5" applyNumberFormat="1" applyFont="1" applyFill="1" applyBorder="1" applyAlignment="1" applyProtection="1">
      <protection locked="0"/>
    </xf>
    <xf numFmtId="0" fontId="2" fillId="8" borderId="0" xfId="4" applyFont="1" applyFill="1" applyBorder="1" applyProtection="1">
      <protection locked="0"/>
    </xf>
    <xf numFmtId="9" fontId="2" fillId="8" borderId="0" xfId="4" applyNumberFormat="1" applyFont="1" applyFill="1" applyBorder="1" applyProtection="1">
      <protection locked="0"/>
    </xf>
    <xf numFmtId="0" fontId="4" fillId="0" borderId="0" xfId="4" applyFont="1" applyBorder="1" applyAlignment="1" applyProtection="1">
      <alignment horizontal="left" vertical="center"/>
      <protection hidden="1"/>
    </xf>
    <xf numFmtId="0" fontId="8" fillId="0" borderId="0" xfId="4" applyAlignment="1" applyProtection="1">
      <alignment vertical="center"/>
      <protection hidden="1"/>
    </xf>
    <xf numFmtId="0" fontId="4" fillId="0" borderId="0" xfId="4" applyFont="1" applyAlignment="1" applyProtection="1">
      <alignment vertical="center" wrapText="1"/>
      <protection hidden="1"/>
    </xf>
    <xf numFmtId="0" fontId="2" fillId="0" borderId="0" xfId="4" applyFont="1" applyAlignment="1" applyProtection="1">
      <alignment vertical="center"/>
      <protection hidden="1"/>
    </xf>
    <xf numFmtId="0" fontId="8" fillId="0" borderId="0" xfId="4" applyAlignment="1">
      <alignment vertical="center"/>
    </xf>
    <xf numFmtId="168" fontId="2" fillId="8" borderId="0" xfId="5" applyNumberFormat="1" applyFont="1" applyFill="1" applyBorder="1" applyAlignment="1" applyProtection="1">
      <alignment horizontal="center"/>
      <protection hidden="1"/>
    </xf>
    <xf numFmtId="0" fontId="0" fillId="0" borderId="0" xfId="0" applyBorder="1"/>
    <xf numFmtId="9" fontId="17" fillId="0" borderId="0" xfId="6" applyFont="1" applyFill="1" applyProtection="1">
      <protection locked="0"/>
    </xf>
    <xf numFmtId="0" fontId="2" fillId="9" borderId="0" xfId="4" applyFont="1" applyFill="1" applyBorder="1" applyAlignment="1" applyProtection="1">
      <alignment vertical="center"/>
      <protection hidden="1"/>
    </xf>
    <xf numFmtId="168" fontId="2" fillId="9" borderId="0" xfId="5" applyNumberFormat="1" applyFont="1" applyFill="1" applyBorder="1" applyAlignment="1" applyProtection="1">
      <alignment vertical="center"/>
      <protection hidden="1"/>
    </xf>
    <xf numFmtId="0" fontId="6" fillId="13" borderId="0" xfId="4" applyFont="1" applyFill="1" applyBorder="1" applyAlignment="1" applyProtection="1">
      <alignment vertical="center"/>
      <protection hidden="1"/>
    </xf>
    <xf numFmtId="168" fontId="6" fillId="13" borderId="0" xfId="5" applyNumberFormat="1" applyFont="1" applyFill="1" applyBorder="1" applyAlignment="1" applyProtection="1">
      <alignment vertical="center"/>
      <protection hidden="1"/>
    </xf>
    <xf numFmtId="0" fontId="19" fillId="12" borderId="0" xfId="4" applyFont="1" applyFill="1" applyBorder="1" applyAlignment="1" applyProtection="1">
      <alignment vertical="center"/>
      <protection hidden="1"/>
    </xf>
    <xf numFmtId="0" fontId="21" fillId="2" borderId="0" xfId="4" applyFont="1" applyFill="1" applyBorder="1" applyAlignment="1" applyProtection="1">
      <alignment horizontal="left" vertical="center"/>
      <protection hidden="1"/>
    </xf>
    <xf numFmtId="168" fontId="2" fillId="2" borderId="0" xfId="4" applyNumberFormat="1" applyFont="1" applyFill="1" applyBorder="1" applyAlignment="1" applyProtection="1">
      <alignment vertical="center"/>
      <protection hidden="1"/>
    </xf>
    <xf numFmtId="168" fontId="4" fillId="2" borderId="0" xfId="4" applyNumberFormat="1" applyFont="1" applyFill="1" applyBorder="1" applyAlignment="1" applyProtection="1">
      <alignment vertical="center"/>
      <protection hidden="1"/>
    </xf>
    <xf numFmtId="168" fontId="2" fillId="15" borderId="0" xfId="5" applyNumberFormat="1" applyFont="1" applyFill="1" applyBorder="1" applyAlignment="1" applyProtection="1">
      <alignment vertical="center"/>
      <protection locked="0"/>
    </xf>
    <xf numFmtId="168" fontId="2" fillId="15" borderId="0" xfId="5" applyNumberFormat="1" applyFont="1" applyFill="1" applyBorder="1" applyAlignment="1" applyProtection="1">
      <alignment vertical="center"/>
      <protection hidden="1"/>
    </xf>
    <xf numFmtId="0" fontId="21" fillId="7" borderId="0" xfId="4" applyFont="1" applyFill="1" applyBorder="1" applyAlignment="1" applyProtection="1">
      <alignment horizontal="left" vertical="center"/>
      <protection hidden="1"/>
    </xf>
    <xf numFmtId="168" fontId="2" fillId="7" borderId="0" xfId="4" applyNumberFormat="1" applyFont="1" applyFill="1" applyBorder="1" applyAlignment="1" applyProtection="1">
      <alignment vertical="center"/>
      <protection hidden="1"/>
    </xf>
    <xf numFmtId="0" fontId="0" fillId="0" borderId="0" xfId="0" applyFill="1"/>
    <xf numFmtId="0" fontId="30" fillId="0" borderId="0" xfId="0" applyFont="1" applyFill="1" applyBorder="1" applyAlignment="1">
      <alignment horizontal="center" vertical="center"/>
    </xf>
    <xf numFmtId="171" fontId="30" fillId="0" borderId="0" xfId="8" applyNumberFormat="1" applyFont="1" applyFill="1" applyBorder="1" applyAlignment="1">
      <alignment horizontal="center" vertical="center"/>
    </xf>
    <xf numFmtId="0" fontId="2" fillId="13" borderId="0" xfId="4" applyFont="1" applyFill="1" applyBorder="1" applyProtection="1">
      <protection hidden="1"/>
    </xf>
    <xf numFmtId="168" fontId="2" fillId="13" borderId="0" xfId="5" applyNumberFormat="1" applyFont="1" applyFill="1" applyBorder="1" applyAlignment="1" applyProtection="1">
      <protection hidden="1"/>
    </xf>
    <xf numFmtId="0" fontId="20" fillId="0" borderId="0" xfId="3" applyFont="1" applyBorder="1"/>
    <xf numFmtId="3" fontId="4" fillId="0" borderId="0" xfId="4" applyNumberFormat="1" applyFont="1" applyProtection="1">
      <protection hidden="1"/>
    </xf>
    <xf numFmtId="0" fontId="11" fillId="0" borderId="1" xfId="4" applyFont="1" applyBorder="1" applyProtection="1"/>
    <xf numFmtId="0" fontId="11" fillId="0" borderId="0" xfId="4" applyFont="1"/>
    <xf numFmtId="0" fontId="11" fillId="0" borderId="0" xfId="4" applyFont="1" applyProtection="1"/>
    <xf numFmtId="0" fontId="11" fillId="0" borderId="6" xfId="4" applyFont="1" applyBorder="1" applyProtection="1"/>
    <xf numFmtId="168" fontId="11" fillId="0" borderId="0" xfId="4" applyNumberFormat="1" applyFont="1" applyBorder="1" applyProtection="1"/>
    <xf numFmtId="168" fontId="11" fillId="0" borderId="6" xfId="4" applyNumberFormat="1" applyFont="1" applyBorder="1" applyProtection="1"/>
    <xf numFmtId="10" fontId="11" fillId="0" borderId="3" xfId="4" applyNumberFormat="1" applyFont="1" applyBorder="1"/>
    <xf numFmtId="0" fontId="11" fillId="0" borderId="4" xfId="4" applyFont="1" applyBorder="1"/>
    <xf numFmtId="0" fontId="11" fillId="0" borderId="5" xfId="4" applyFont="1" applyBorder="1"/>
    <xf numFmtId="43" fontId="4" fillId="0" borderId="0" xfId="4" applyNumberFormat="1" applyFont="1" applyProtection="1">
      <protection hidden="1"/>
    </xf>
    <xf numFmtId="168" fontId="8" fillId="0" borderId="0" xfId="4" applyNumberFormat="1" applyProtection="1">
      <protection hidden="1"/>
    </xf>
    <xf numFmtId="168" fontId="9" fillId="0" borderId="0" xfId="4" applyNumberFormat="1" applyFont="1" applyBorder="1" applyProtection="1">
      <protection hidden="1"/>
    </xf>
    <xf numFmtId="168" fontId="29" fillId="12" borderId="0" xfId="5" applyNumberFormat="1" applyFont="1" applyFill="1" applyBorder="1" applyAlignment="1" applyProtection="1">
      <alignment vertical="center"/>
      <protection hidden="1"/>
    </xf>
    <xf numFmtId="0" fontId="4" fillId="2" borderId="10" xfId="4" applyFont="1" applyFill="1" applyBorder="1" applyAlignment="1" applyProtection="1">
      <alignment horizontal="center" wrapText="1"/>
      <protection hidden="1"/>
    </xf>
    <xf numFmtId="0" fontId="4" fillId="2" borderId="11" xfId="4" applyFont="1" applyFill="1" applyBorder="1" applyAlignment="1" applyProtection="1">
      <alignment horizontal="center" wrapText="1"/>
      <protection hidden="1"/>
    </xf>
    <xf numFmtId="0" fontId="4" fillId="10" borderId="19" xfId="4" applyFont="1" applyFill="1" applyBorder="1" applyAlignment="1" applyProtection="1">
      <alignment horizontal="center" wrapText="1"/>
      <protection hidden="1"/>
    </xf>
    <xf numFmtId="0" fontId="30" fillId="4" borderId="33" xfId="0" applyFont="1" applyFill="1" applyBorder="1" applyAlignment="1">
      <alignment horizontal="center" vertical="center"/>
    </xf>
    <xf numFmtId="171" fontId="30" fillId="4" borderId="33" xfId="8" applyNumberFormat="1" applyFont="1" applyFill="1" applyBorder="1" applyAlignment="1">
      <alignment horizontal="center" vertical="center"/>
    </xf>
    <xf numFmtId="0" fontId="7" fillId="4" borderId="34" xfId="0" applyFont="1" applyFill="1" applyBorder="1" applyAlignment="1">
      <alignment horizontal="center" vertical="center"/>
    </xf>
    <xf numFmtId="0" fontId="4" fillId="7" borderId="24" xfId="4" applyFont="1" applyFill="1" applyBorder="1" applyAlignment="1" applyProtection="1">
      <alignment vertical="center"/>
      <protection hidden="1"/>
    </xf>
    <xf numFmtId="0" fontId="23" fillId="9" borderId="27" xfId="4" applyFont="1" applyFill="1" applyBorder="1" applyAlignment="1" applyProtection="1">
      <alignment vertical="center"/>
      <protection hidden="1"/>
    </xf>
    <xf numFmtId="0" fontId="2" fillId="9" borderId="28" xfId="4" applyFont="1" applyFill="1" applyBorder="1" applyAlignment="1" applyProtection="1">
      <alignment vertical="center"/>
      <protection hidden="1"/>
    </xf>
    <xf numFmtId="0" fontId="2" fillId="9" borderId="27" xfId="4" applyFont="1" applyFill="1" applyBorder="1" applyAlignment="1" applyProtection="1">
      <alignment vertical="center"/>
      <protection hidden="1"/>
    </xf>
    <xf numFmtId="0" fontId="4" fillId="9" borderId="27" xfId="4" applyFont="1" applyFill="1" applyBorder="1" applyAlignment="1" applyProtection="1">
      <alignment vertical="center"/>
      <protection hidden="1"/>
    </xf>
    <xf numFmtId="0" fontId="4" fillId="9" borderId="28" xfId="4" applyFont="1" applyFill="1" applyBorder="1" applyAlignment="1" applyProtection="1">
      <alignment vertical="center"/>
      <protection hidden="1"/>
    </xf>
    <xf numFmtId="0" fontId="5" fillId="13" borderId="27" xfId="4" applyFont="1" applyFill="1" applyBorder="1" applyAlignment="1" applyProtection="1">
      <alignment vertical="center"/>
      <protection hidden="1"/>
    </xf>
    <xf numFmtId="0" fontId="6" fillId="13" borderId="28" xfId="4" applyFont="1" applyFill="1" applyBorder="1" applyAlignment="1" applyProtection="1">
      <alignment vertical="center"/>
      <protection hidden="1"/>
    </xf>
    <xf numFmtId="0" fontId="6" fillId="13" borderId="27" xfId="4" applyFont="1" applyFill="1" applyBorder="1" applyAlignment="1" applyProtection="1">
      <alignment vertical="center"/>
      <protection hidden="1"/>
    </xf>
    <xf numFmtId="0" fontId="19" fillId="12" borderId="27" xfId="4" applyFont="1" applyFill="1" applyBorder="1" applyAlignment="1" applyProtection="1">
      <alignment vertical="center"/>
      <protection hidden="1"/>
    </xf>
    <xf numFmtId="0" fontId="19" fillId="12" borderId="28" xfId="4" applyFont="1" applyFill="1" applyBorder="1" applyAlignment="1" applyProtection="1">
      <alignment vertical="center"/>
      <protection hidden="1"/>
    </xf>
    <xf numFmtId="0" fontId="29" fillId="12" borderId="27" xfId="4" applyFont="1" applyFill="1" applyBorder="1" applyAlignment="1" applyProtection="1">
      <alignment vertical="center"/>
      <protection hidden="1"/>
    </xf>
    <xf numFmtId="0" fontId="29" fillId="12" borderId="28" xfId="4" applyFont="1" applyFill="1" applyBorder="1" applyAlignment="1" applyProtection="1">
      <alignment vertical="center"/>
      <protection hidden="1"/>
    </xf>
    <xf numFmtId="0" fontId="23" fillId="2" borderId="27" xfId="4" applyFont="1" applyFill="1" applyBorder="1" applyAlignment="1" applyProtection="1">
      <alignment horizontal="left" vertical="center"/>
      <protection hidden="1"/>
    </xf>
    <xf numFmtId="0" fontId="21" fillId="2" borderId="28" xfId="4" applyFont="1" applyFill="1" applyBorder="1" applyAlignment="1" applyProtection="1">
      <alignment horizontal="left" vertical="center"/>
      <protection hidden="1"/>
    </xf>
    <xf numFmtId="0" fontId="2" fillId="2" borderId="27" xfId="4" applyFont="1" applyFill="1" applyBorder="1" applyAlignment="1" applyProtection="1">
      <alignment vertical="center"/>
      <protection hidden="1"/>
    </xf>
    <xf numFmtId="0" fontId="2" fillId="2" borderId="28" xfId="4" applyFont="1" applyFill="1" applyBorder="1" applyAlignment="1" applyProtection="1">
      <alignment vertical="center"/>
      <protection hidden="1"/>
    </xf>
    <xf numFmtId="0" fontId="23" fillId="2" borderId="27" xfId="4" applyFont="1" applyFill="1" applyBorder="1" applyAlignment="1" applyProtection="1">
      <alignment vertical="center"/>
      <protection hidden="1"/>
    </xf>
    <xf numFmtId="0" fontId="4" fillId="2" borderId="28" xfId="4" applyFont="1" applyFill="1" applyBorder="1" applyAlignment="1" applyProtection="1">
      <alignment vertical="center"/>
      <protection hidden="1"/>
    </xf>
    <xf numFmtId="0" fontId="6" fillId="2" borderId="28" xfId="4" applyFont="1" applyFill="1" applyBorder="1" applyAlignment="1" applyProtection="1">
      <alignment vertical="center"/>
      <protection hidden="1"/>
    </xf>
    <xf numFmtId="0" fontId="23" fillId="15" borderId="27" xfId="4" applyFont="1" applyFill="1" applyBorder="1" applyAlignment="1" applyProtection="1">
      <alignment vertical="center"/>
      <protection hidden="1"/>
    </xf>
    <xf numFmtId="0" fontId="2" fillId="15" borderId="28" xfId="4" applyFont="1" applyFill="1" applyBorder="1" applyAlignment="1" applyProtection="1">
      <alignment vertical="center"/>
      <protection hidden="1"/>
    </xf>
    <xf numFmtId="0" fontId="2" fillId="15" borderId="27" xfId="4" applyFont="1" applyFill="1" applyBorder="1" applyAlignment="1" applyProtection="1">
      <alignment vertical="center"/>
      <protection hidden="1"/>
    </xf>
    <xf numFmtId="0" fontId="4" fillId="15" borderId="27" xfId="4" applyFont="1" applyFill="1" applyBorder="1" applyAlignment="1" applyProtection="1">
      <alignment vertical="center"/>
      <protection hidden="1"/>
    </xf>
    <xf numFmtId="0" fontId="23" fillId="7" borderId="27" xfId="4" applyFont="1" applyFill="1" applyBorder="1" applyAlignment="1" applyProtection="1">
      <alignment horizontal="left" vertical="center"/>
      <protection hidden="1"/>
    </xf>
    <xf numFmtId="0" fontId="21" fillId="7" borderId="28" xfId="4" applyFont="1" applyFill="1" applyBorder="1" applyAlignment="1" applyProtection="1">
      <alignment horizontal="left" vertical="center"/>
      <protection hidden="1"/>
    </xf>
    <xf numFmtId="0" fontId="2" fillId="7" borderId="27" xfId="4" applyFont="1" applyFill="1" applyBorder="1" applyAlignment="1" applyProtection="1">
      <alignment vertical="center"/>
      <protection hidden="1"/>
    </xf>
    <xf numFmtId="0" fontId="2" fillId="7" borderId="28" xfId="4" applyFont="1" applyFill="1" applyBorder="1" applyAlignment="1" applyProtection="1">
      <alignment vertical="center"/>
      <protection hidden="1"/>
    </xf>
    <xf numFmtId="168" fontId="9" fillId="0" borderId="6" xfId="4" applyNumberFormat="1" applyFont="1" applyBorder="1" applyProtection="1">
      <protection hidden="1"/>
    </xf>
    <xf numFmtId="0" fontId="2" fillId="8" borderId="28" xfId="4" applyFont="1" applyFill="1" applyBorder="1" applyProtection="1">
      <protection hidden="1"/>
    </xf>
    <xf numFmtId="168" fontId="2" fillId="8" borderId="28" xfId="5" applyNumberFormat="1" applyFont="1" applyFill="1" applyBorder="1" applyAlignment="1" applyProtection="1">
      <protection hidden="1"/>
    </xf>
    <xf numFmtId="168" fontId="2" fillId="13" borderId="28" xfId="5" applyNumberFormat="1" applyFont="1" applyFill="1" applyBorder="1" applyAlignment="1" applyProtection="1">
      <protection hidden="1"/>
    </xf>
    <xf numFmtId="0" fontId="22" fillId="0" borderId="28" xfId="4" applyFont="1" applyBorder="1" applyProtection="1">
      <protection hidden="1"/>
    </xf>
    <xf numFmtId="168" fontId="22" fillId="0" borderId="28" xfId="5" applyNumberFormat="1" applyFont="1" applyFill="1" applyBorder="1" applyAlignment="1" applyProtection="1">
      <alignment horizontal="right"/>
      <protection hidden="1"/>
    </xf>
    <xf numFmtId="0" fontId="22" fillId="0" borderId="27" xfId="4" applyFont="1" applyBorder="1" applyProtection="1">
      <protection hidden="1"/>
    </xf>
    <xf numFmtId="166" fontId="19" fillId="5" borderId="22" xfId="4" applyNumberFormat="1" applyFont="1" applyFill="1" applyBorder="1" applyAlignment="1" applyProtection="1">
      <alignment vertical="center"/>
      <protection hidden="1"/>
    </xf>
    <xf numFmtId="166" fontId="5" fillId="5" borderId="22" xfId="4" applyNumberFormat="1" applyFont="1" applyFill="1" applyBorder="1" applyAlignment="1" applyProtection="1">
      <alignment horizontal="right" vertical="center"/>
      <protection hidden="1"/>
    </xf>
    <xf numFmtId="168" fontId="4" fillId="7" borderId="25" xfId="4" applyNumberFormat="1" applyFont="1" applyFill="1" applyBorder="1" applyAlignment="1" applyProtection="1">
      <alignment horizontal="right" vertical="center"/>
      <protection hidden="1"/>
    </xf>
    <xf numFmtId="166" fontId="4" fillId="5" borderId="22" xfId="4" applyNumberFormat="1" applyFont="1" applyFill="1" applyBorder="1" applyProtection="1">
      <protection hidden="1"/>
    </xf>
    <xf numFmtId="166" fontId="4" fillId="5" borderId="22" xfId="5" applyNumberFormat="1" applyFont="1" applyFill="1" applyBorder="1" applyAlignment="1" applyProtection="1">
      <protection hidden="1"/>
    </xf>
    <xf numFmtId="166" fontId="4" fillId="5" borderId="22" xfId="5" applyNumberFormat="1" applyFont="1" applyFill="1" applyBorder="1" applyAlignment="1" applyProtection="1">
      <protection locked="0"/>
    </xf>
    <xf numFmtId="0" fontId="11" fillId="5" borderId="12" xfId="4" applyFont="1" applyFill="1" applyBorder="1" applyProtection="1">
      <protection hidden="1"/>
    </xf>
    <xf numFmtId="165" fontId="29" fillId="12" borderId="0" xfId="4" applyNumberFormat="1" applyFont="1" applyFill="1" applyBorder="1" applyAlignment="1" applyProtection="1">
      <alignment vertical="center"/>
      <protection locked="0"/>
    </xf>
    <xf numFmtId="165" fontId="6" fillId="13" borderId="0" xfId="4" applyNumberFormat="1" applyFont="1" applyFill="1" applyBorder="1" applyAlignment="1" applyProtection="1">
      <alignment vertical="center"/>
      <protection locked="0"/>
    </xf>
    <xf numFmtId="173" fontId="2" fillId="7" borderId="0" xfId="4" applyNumberFormat="1" applyFont="1" applyFill="1" applyBorder="1" applyAlignment="1" applyProtection="1">
      <alignment vertical="center"/>
      <protection locked="0"/>
    </xf>
    <xf numFmtId="165" fontId="2" fillId="9" borderId="0" xfId="4" applyNumberFormat="1" applyFont="1" applyFill="1" applyBorder="1" applyAlignment="1" applyProtection="1">
      <alignment vertical="center"/>
      <protection locked="0"/>
    </xf>
    <xf numFmtId="166" fontId="4" fillId="5" borderId="22" xfId="4" applyNumberFormat="1" applyFont="1" applyFill="1" applyBorder="1" applyAlignment="1" applyProtection="1">
      <alignment horizontal="right" vertical="center"/>
      <protection hidden="1"/>
    </xf>
    <xf numFmtId="0" fontId="6" fillId="9" borderId="27" xfId="4" applyFont="1" applyFill="1" applyBorder="1" applyAlignment="1" applyProtection="1">
      <alignment vertical="center"/>
      <protection hidden="1"/>
    </xf>
    <xf numFmtId="174" fontId="2" fillId="8" borderId="0" xfId="5" applyNumberFormat="1" applyFont="1" applyFill="1" applyBorder="1" applyProtection="1">
      <protection hidden="1"/>
    </xf>
    <xf numFmtId="166" fontId="2" fillId="8" borderId="0" xfId="5" applyNumberFormat="1" applyFont="1" applyFill="1" applyBorder="1" applyAlignment="1" applyProtection="1">
      <protection locked="0"/>
    </xf>
    <xf numFmtId="0" fontId="6" fillId="0" borderId="0" xfId="0" applyFont="1" applyFill="1" applyBorder="1"/>
    <xf numFmtId="3" fontId="0" fillId="0" borderId="0" xfId="0" applyNumberFormat="1"/>
    <xf numFmtId="0" fontId="24" fillId="6" borderId="0" xfId="0" applyFont="1" applyFill="1" applyBorder="1"/>
    <xf numFmtId="1" fontId="0" fillId="0" borderId="0" xfId="0" applyNumberFormat="1"/>
    <xf numFmtId="0" fontId="40" fillId="0" borderId="0" xfId="0" applyFont="1" applyFill="1" applyBorder="1"/>
    <xf numFmtId="3" fontId="41" fillId="0" borderId="0" xfId="0" applyNumberFormat="1" applyFont="1" applyFill="1"/>
    <xf numFmtId="0" fontId="41" fillId="0" borderId="0" xfId="0" applyFont="1" applyFill="1"/>
    <xf numFmtId="0" fontId="38" fillId="0" borderId="0" xfId="0" applyFont="1" applyFill="1" applyBorder="1"/>
    <xf numFmtId="167" fontId="41" fillId="0" borderId="0" xfId="0" applyNumberFormat="1" applyFont="1" applyFill="1"/>
    <xf numFmtId="0" fontId="16" fillId="0" borderId="0" xfId="4" applyFont="1" applyAlignment="1" applyProtection="1">
      <alignment horizontal="right"/>
      <protection hidden="1"/>
    </xf>
    <xf numFmtId="0" fontId="7" fillId="2" borderId="11" xfId="4" applyFont="1" applyFill="1" applyBorder="1" applyAlignment="1" applyProtection="1">
      <alignment horizontal="center" vertical="center"/>
      <protection hidden="1"/>
    </xf>
    <xf numFmtId="0" fontId="4" fillId="10" borderId="18" xfId="4" applyFont="1" applyFill="1" applyBorder="1" applyAlignment="1" applyProtection="1">
      <alignment horizontal="center" wrapText="1"/>
      <protection hidden="1"/>
    </xf>
    <xf numFmtId="10" fontId="2" fillId="0" borderId="0" xfId="4" applyNumberFormat="1" applyFont="1" applyProtection="1">
      <protection hidden="1"/>
    </xf>
    <xf numFmtId="0" fontId="4" fillId="0" borderId="2" xfId="4" applyFont="1" applyBorder="1" applyProtection="1">
      <protection hidden="1"/>
    </xf>
    <xf numFmtId="0" fontId="2" fillId="0" borderId="39" xfId="4" applyFont="1" applyBorder="1" applyProtection="1">
      <protection hidden="1"/>
    </xf>
    <xf numFmtId="0" fontId="15" fillId="0" borderId="39" xfId="4" applyFont="1" applyBorder="1" applyProtection="1">
      <protection hidden="1"/>
    </xf>
    <xf numFmtId="169" fontId="15" fillId="0" borderId="39" xfId="5" applyFont="1" applyBorder="1" applyProtection="1">
      <protection hidden="1"/>
    </xf>
    <xf numFmtId="0" fontId="4" fillId="0" borderId="35" xfId="4" applyFont="1" applyBorder="1" applyProtection="1">
      <protection hidden="1"/>
    </xf>
    <xf numFmtId="169" fontId="15" fillId="0" borderId="35" xfId="5" applyFont="1" applyBorder="1" applyAlignment="1" applyProtection="1">
      <alignment horizontal="right" vertical="center"/>
      <protection hidden="1"/>
    </xf>
    <xf numFmtId="168" fontId="15" fillId="0" borderId="35" xfId="5" applyNumberFormat="1" applyFont="1" applyFill="1" applyBorder="1" applyAlignment="1" applyProtection="1">
      <alignment horizontal="center"/>
      <protection hidden="1"/>
    </xf>
    <xf numFmtId="168" fontId="15" fillId="0" borderId="35" xfId="5" applyNumberFormat="1" applyFont="1" applyBorder="1" applyAlignment="1" applyProtection="1">
      <alignment horizontal="center"/>
      <protection hidden="1"/>
    </xf>
    <xf numFmtId="168" fontId="14" fillId="0" borderId="35" xfId="5" applyNumberFormat="1" applyFont="1" applyBorder="1" applyAlignment="1" applyProtection="1">
      <alignment horizontal="center"/>
      <protection hidden="1"/>
    </xf>
    <xf numFmtId="168" fontId="15" fillId="0" borderId="35" xfId="8" applyNumberFormat="1" applyFont="1" applyBorder="1" applyAlignment="1" applyProtection="1">
      <alignment horizontal="center"/>
      <protection hidden="1"/>
    </xf>
    <xf numFmtId="0" fontId="4" fillId="0" borderId="35" xfId="4" applyFont="1" applyFill="1" applyBorder="1" applyProtection="1">
      <protection hidden="1"/>
    </xf>
    <xf numFmtId="169" fontId="15" fillId="0" borderId="35" xfId="5" applyFont="1" applyFill="1" applyBorder="1" applyAlignment="1" applyProtection="1">
      <alignment horizontal="right" vertical="center"/>
      <protection hidden="1"/>
    </xf>
    <xf numFmtId="168" fontId="14" fillId="0" borderId="35" xfId="5" applyNumberFormat="1" applyFont="1" applyFill="1" applyBorder="1" applyAlignment="1" applyProtection="1">
      <alignment horizontal="center"/>
      <protection hidden="1"/>
    </xf>
    <xf numFmtId="0" fontId="45" fillId="18" borderId="35" xfId="9" applyFont="1" applyBorder="1" applyProtection="1">
      <protection hidden="1"/>
    </xf>
    <xf numFmtId="168" fontId="46" fillId="18" borderId="35" xfId="9" applyNumberFormat="1" applyFont="1" applyBorder="1" applyAlignment="1" applyProtection="1">
      <alignment horizontal="right" vertical="center"/>
      <protection hidden="1"/>
    </xf>
    <xf numFmtId="168" fontId="46" fillId="18" borderId="35" xfId="9" applyNumberFormat="1" applyFont="1" applyBorder="1" applyAlignment="1" applyProtection="1">
      <alignment horizontal="center"/>
      <protection hidden="1"/>
    </xf>
    <xf numFmtId="168" fontId="47" fillId="18" borderId="35" xfId="9" applyNumberFormat="1" applyFont="1" applyBorder="1" applyAlignment="1" applyProtection="1">
      <alignment horizontal="center"/>
      <protection hidden="1"/>
    </xf>
    <xf numFmtId="168" fontId="15" fillId="0" borderId="35" xfId="5" applyNumberFormat="1" applyFont="1" applyFill="1" applyBorder="1" applyAlignment="1" applyProtection="1">
      <alignment horizontal="right" vertical="center"/>
      <protection hidden="1"/>
    </xf>
    <xf numFmtId="0" fontId="19" fillId="16" borderId="35" xfId="10" applyFont="1" applyFill="1" applyBorder="1" applyProtection="1">
      <protection hidden="1"/>
    </xf>
    <xf numFmtId="168" fontId="49" fillId="16" borderId="35" xfId="10" applyNumberFormat="1" applyFont="1" applyFill="1" applyBorder="1" applyAlignment="1" applyProtection="1">
      <alignment horizontal="right" vertical="center"/>
      <protection hidden="1"/>
    </xf>
    <xf numFmtId="168" fontId="49" fillId="16" borderId="35" xfId="10" applyNumberFormat="1" applyFont="1" applyFill="1" applyBorder="1" applyProtection="1">
      <protection hidden="1"/>
    </xf>
    <xf numFmtId="0" fontId="50" fillId="5" borderId="0" xfId="4" applyFont="1" applyFill="1" applyProtection="1">
      <protection hidden="1"/>
    </xf>
    <xf numFmtId="168" fontId="15" fillId="0" borderId="35" xfId="5" applyNumberFormat="1" applyFont="1" applyBorder="1" applyAlignment="1" applyProtection="1">
      <alignment horizontal="right" vertical="center"/>
      <protection hidden="1"/>
    </xf>
    <xf numFmtId="43" fontId="15" fillId="0" borderId="35" xfId="4" applyNumberFormat="1" applyFont="1" applyBorder="1"/>
    <xf numFmtId="0" fontId="4" fillId="20" borderId="35" xfId="4" applyFont="1" applyFill="1" applyBorder="1" applyProtection="1">
      <protection hidden="1"/>
    </xf>
    <xf numFmtId="168" fontId="15" fillId="0" borderId="35" xfId="4" applyNumberFormat="1" applyFont="1" applyBorder="1" applyAlignment="1" applyProtection="1">
      <alignment horizontal="right" vertical="center"/>
      <protection hidden="1"/>
    </xf>
    <xf numFmtId="168" fontId="15" fillId="0" borderId="35" xfId="4" applyNumberFormat="1" applyFont="1" applyBorder="1" applyAlignment="1" applyProtection="1">
      <alignment horizontal="center"/>
      <protection hidden="1"/>
    </xf>
    <xf numFmtId="0" fontId="35" fillId="2" borderId="40" xfId="0" applyFont="1" applyFill="1" applyBorder="1" applyAlignment="1">
      <alignment horizontal="left"/>
    </xf>
    <xf numFmtId="166" fontId="35" fillId="2" borderId="41" xfId="4" applyNumberFormat="1" applyFont="1" applyFill="1" applyBorder="1" applyAlignment="1" applyProtection="1">
      <alignment horizontal="right"/>
      <protection hidden="1"/>
    </xf>
    <xf numFmtId="10" fontId="8" fillId="0" borderId="0" xfId="4" applyNumberFormat="1" applyProtection="1">
      <protection hidden="1"/>
    </xf>
    <xf numFmtId="10" fontId="8" fillId="0" borderId="0" xfId="4" applyNumberFormat="1"/>
    <xf numFmtId="0" fontId="35" fillId="2" borderId="40" xfId="0" applyFont="1" applyFill="1" applyBorder="1" applyAlignment="1">
      <alignment horizontal="left" vertical="top"/>
    </xf>
    <xf numFmtId="175" fontId="35" fillId="2" borderId="41" xfId="2" applyNumberFormat="1" applyFont="1" applyFill="1" applyBorder="1" applyAlignment="1" applyProtection="1">
      <alignment vertical="top"/>
      <protection hidden="1"/>
    </xf>
    <xf numFmtId="175" fontId="51" fillId="0" borderId="0" xfId="2" applyNumberFormat="1" applyFont="1" applyFill="1" applyBorder="1" applyAlignment="1" applyProtection="1">
      <alignment horizontal="center"/>
      <protection hidden="1"/>
    </xf>
    <xf numFmtId="0" fontId="7" fillId="0" borderId="0" xfId="4" applyFont="1" applyFill="1" applyAlignment="1" applyProtection="1">
      <alignment horizontal="left" vertical="center"/>
      <protection hidden="1"/>
    </xf>
    <xf numFmtId="0" fontId="52" fillId="0" borderId="0" xfId="4" applyFont="1" applyFill="1" applyProtection="1">
      <protection hidden="1"/>
    </xf>
    <xf numFmtId="175" fontId="35" fillId="2" borderId="41" xfId="2" applyNumberFormat="1" applyFont="1" applyFill="1" applyBorder="1" applyAlignment="1" applyProtection="1">
      <alignment horizontal="right"/>
      <protection hidden="1"/>
    </xf>
    <xf numFmtId="9" fontId="8" fillId="0" borderId="0" xfId="4" applyNumberFormat="1"/>
    <xf numFmtId="0" fontId="35" fillId="2" borderId="40" xfId="4" applyFont="1" applyFill="1" applyBorder="1" applyAlignment="1" applyProtection="1">
      <alignment horizontal="left" wrapText="1"/>
      <protection hidden="1"/>
    </xf>
    <xf numFmtId="9" fontId="11" fillId="0" borderId="0" xfId="2" applyNumberFormat="1" applyFont="1" applyProtection="1">
      <protection hidden="1"/>
    </xf>
    <xf numFmtId="10" fontId="8" fillId="0" borderId="0" xfId="2" applyNumberFormat="1" applyFont="1" applyProtection="1">
      <protection hidden="1"/>
    </xf>
    <xf numFmtId="0" fontId="35" fillId="2" borderId="42" xfId="4" applyFont="1" applyFill="1" applyBorder="1" applyAlignment="1" applyProtection="1">
      <alignment horizontal="left" wrapText="1"/>
      <protection hidden="1"/>
    </xf>
    <xf numFmtId="10" fontId="35" fillId="2" borderId="43" xfId="4" applyNumberFormat="1" applyFont="1" applyFill="1" applyBorder="1" applyAlignment="1" applyProtection="1">
      <alignment horizontal="right"/>
      <protection hidden="1"/>
    </xf>
    <xf numFmtId="0" fontId="11" fillId="0" borderId="0" xfId="4" applyFont="1" applyProtection="1">
      <protection hidden="1"/>
    </xf>
    <xf numFmtId="0" fontId="4" fillId="0" borderId="0" xfId="4" applyFont="1" applyFill="1" applyBorder="1" applyAlignment="1" applyProtection="1">
      <alignment vertical="center" wrapText="1"/>
      <protection hidden="1"/>
    </xf>
    <xf numFmtId="0" fontId="14" fillId="0" borderId="0" xfId="4" applyFont="1" applyFill="1" applyBorder="1" applyAlignment="1" applyProtection="1">
      <alignment vertical="center"/>
      <protection hidden="1"/>
    </xf>
    <xf numFmtId="166" fontId="4" fillId="5" borderId="13" xfId="4" applyNumberFormat="1" applyFont="1" applyFill="1" applyBorder="1" applyAlignment="1" applyProtection="1">
      <alignment horizontal="left" vertical="center"/>
      <protection hidden="1"/>
    </xf>
    <xf numFmtId="0" fontId="4" fillId="7" borderId="45" xfId="4" applyFont="1" applyFill="1" applyBorder="1" applyAlignment="1" applyProtection="1">
      <alignment vertical="center"/>
      <protection hidden="1"/>
    </xf>
    <xf numFmtId="0" fontId="2" fillId="7" borderId="46" xfId="4" applyFont="1" applyFill="1" applyBorder="1" applyAlignment="1" applyProtection="1">
      <alignment vertical="center"/>
      <protection hidden="1"/>
    </xf>
    <xf numFmtId="0" fontId="4" fillId="7" borderId="46" xfId="4" applyFont="1" applyFill="1" applyBorder="1" applyAlignment="1" applyProtection="1">
      <alignment vertical="center"/>
      <protection hidden="1"/>
    </xf>
    <xf numFmtId="166" fontId="5" fillId="5" borderId="47" xfId="4" applyNumberFormat="1" applyFont="1" applyFill="1" applyBorder="1" applyAlignment="1" applyProtection="1">
      <alignment vertical="center"/>
      <protection hidden="1"/>
    </xf>
    <xf numFmtId="0" fontId="4" fillId="7" borderId="48" xfId="4" applyFont="1" applyFill="1" applyBorder="1" applyAlignment="1" applyProtection="1">
      <alignment vertical="center"/>
      <protection hidden="1"/>
    </xf>
    <xf numFmtId="168" fontId="2" fillId="23" borderId="35" xfId="5" applyNumberFormat="1" applyFont="1" applyFill="1" applyBorder="1" applyAlignment="1" applyProtection="1">
      <alignment vertical="center"/>
      <protection hidden="1"/>
    </xf>
    <xf numFmtId="168" fontId="6" fillId="23" borderId="35" xfId="5" applyNumberFormat="1" applyFont="1" applyFill="1" applyBorder="1" applyAlignment="1" applyProtection="1">
      <alignment horizontal="center" vertical="center"/>
      <protection hidden="1"/>
    </xf>
    <xf numFmtId="168" fontId="2" fillId="23" borderId="35" xfId="4" applyNumberFormat="1" applyFont="1" applyFill="1" applyBorder="1" applyAlignment="1">
      <alignment horizontal="center" vertical="center"/>
    </xf>
    <xf numFmtId="168" fontId="2" fillId="8" borderId="35" xfId="4" applyNumberFormat="1" applyFont="1" applyFill="1" applyBorder="1" applyAlignment="1">
      <alignment horizontal="center" vertical="center"/>
    </xf>
    <xf numFmtId="168" fontId="8" fillId="0" borderId="0" xfId="4" applyNumberFormat="1" applyAlignment="1">
      <alignment horizontal="center" vertical="center"/>
    </xf>
    <xf numFmtId="176" fontId="8" fillId="0" borderId="0" xfId="8" applyNumberFormat="1" applyFont="1" applyAlignment="1">
      <alignment horizontal="center" vertical="center"/>
    </xf>
    <xf numFmtId="0" fontId="23" fillId="8" borderId="49" xfId="4" applyFont="1" applyFill="1" applyBorder="1" applyProtection="1">
      <protection hidden="1"/>
    </xf>
    <xf numFmtId="0" fontId="2" fillId="8" borderId="28" xfId="4" applyFont="1" applyFill="1" applyBorder="1" applyAlignment="1" applyProtection="1">
      <alignment vertical="center"/>
      <protection hidden="1"/>
    </xf>
    <xf numFmtId="0" fontId="8" fillId="0" borderId="0" xfId="4" applyBorder="1" applyProtection="1">
      <protection hidden="1"/>
    </xf>
    <xf numFmtId="168" fontId="2" fillId="23" borderId="35" xfId="5" applyNumberFormat="1" applyFont="1" applyFill="1" applyBorder="1" applyProtection="1">
      <protection hidden="1"/>
    </xf>
    <xf numFmtId="168" fontId="6" fillId="23" borderId="35" xfId="5" applyNumberFormat="1" applyFont="1" applyFill="1" applyBorder="1" applyAlignment="1" applyProtection="1">
      <alignment horizontal="center"/>
      <protection hidden="1"/>
    </xf>
    <xf numFmtId="176" fontId="2" fillId="8" borderId="35" xfId="4" applyNumberFormat="1" applyFont="1" applyFill="1" applyBorder="1" applyAlignment="1">
      <alignment horizontal="center"/>
    </xf>
    <xf numFmtId="168" fontId="8" fillId="0" borderId="0" xfId="4" applyNumberFormat="1" applyAlignment="1">
      <alignment horizontal="center"/>
    </xf>
    <xf numFmtId="166" fontId="5" fillId="5" borderId="22" xfId="4" applyNumberFormat="1" applyFont="1" applyFill="1" applyBorder="1" applyAlignment="1" applyProtection="1">
      <alignment vertical="center"/>
      <protection hidden="1"/>
    </xf>
    <xf numFmtId="176" fontId="2" fillId="8" borderId="0" xfId="4" applyNumberFormat="1" applyFont="1" applyFill="1" applyBorder="1" applyProtection="1">
      <protection hidden="1"/>
    </xf>
    <xf numFmtId="0" fontId="23" fillId="8" borderId="49" xfId="4" applyFont="1" applyFill="1" applyBorder="1" applyAlignment="1" applyProtection="1">
      <alignment horizontal="left"/>
      <protection hidden="1"/>
    </xf>
    <xf numFmtId="4" fontId="2" fillId="8" borderId="0" xfId="4" applyNumberFormat="1" applyFont="1" applyFill="1" applyBorder="1" applyProtection="1">
      <protection locked="0"/>
    </xf>
    <xf numFmtId="0" fontId="2" fillId="8" borderId="49" xfId="4" applyFont="1" applyFill="1" applyBorder="1" applyAlignment="1" applyProtection="1">
      <protection hidden="1"/>
    </xf>
    <xf numFmtId="168" fontId="8" fillId="0" borderId="0" xfId="4" applyNumberFormat="1" applyFont="1" applyAlignment="1">
      <alignment horizontal="center"/>
    </xf>
    <xf numFmtId="0" fontId="4" fillId="8" borderId="49" xfId="4" applyFont="1" applyFill="1" applyBorder="1" applyAlignment="1" applyProtection="1">
      <protection hidden="1"/>
    </xf>
    <xf numFmtId="0" fontId="5" fillId="8" borderId="49" xfId="4" applyFont="1" applyFill="1" applyBorder="1" applyAlignment="1" applyProtection="1">
      <protection hidden="1"/>
    </xf>
    <xf numFmtId="0" fontId="6" fillId="8" borderId="0" xfId="4" applyFont="1" applyFill="1" applyBorder="1" applyProtection="1">
      <protection hidden="1"/>
    </xf>
    <xf numFmtId="168" fontId="6" fillId="8" borderId="0" xfId="5" applyNumberFormat="1" applyFont="1" applyFill="1" applyBorder="1" applyAlignment="1" applyProtection="1">
      <protection hidden="1"/>
    </xf>
    <xf numFmtId="0" fontId="6" fillId="8" borderId="49" xfId="4" applyFont="1" applyFill="1" applyBorder="1" applyAlignment="1" applyProtection="1">
      <protection hidden="1"/>
    </xf>
    <xf numFmtId="168" fontId="8" fillId="0" borderId="0" xfId="4" applyNumberFormat="1" applyFill="1" applyAlignment="1">
      <alignment horizontal="center"/>
    </xf>
    <xf numFmtId="166" fontId="2" fillId="0" borderId="0" xfId="4" applyNumberFormat="1" applyFont="1" applyFill="1" applyBorder="1" applyProtection="1">
      <protection hidden="1"/>
    </xf>
    <xf numFmtId="0" fontId="23" fillId="13" borderId="49" xfId="4" applyFont="1" applyFill="1" applyBorder="1" applyAlignment="1" applyProtection="1">
      <protection hidden="1"/>
    </xf>
    <xf numFmtId="170" fontId="4" fillId="5" borderId="0" xfId="2" applyNumberFormat="1" applyFont="1" applyFill="1" applyBorder="1" applyAlignment="1" applyProtection="1">
      <alignment horizontal="center"/>
      <protection hidden="1"/>
    </xf>
    <xf numFmtId="0" fontId="23" fillId="3" borderId="49" xfId="4" applyFont="1" applyFill="1" applyBorder="1" applyAlignment="1" applyProtection="1">
      <protection hidden="1"/>
    </xf>
    <xf numFmtId="0" fontId="2" fillId="3" borderId="0" xfId="4" applyFont="1" applyFill="1" applyBorder="1" applyProtection="1">
      <protection hidden="1"/>
    </xf>
    <xf numFmtId="168" fontId="2" fillId="3" borderId="0" xfId="5" applyNumberFormat="1" applyFont="1" applyFill="1" applyBorder="1" applyAlignment="1" applyProtection="1">
      <protection hidden="1"/>
    </xf>
    <xf numFmtId="168" fontId="4" fillId="5" borderId="0" xfId="5" applyNumberFormat="1" applyFont="1" applyFill="1" applyBorder="1" applyAlignment="1" applyProtection="1">
      <protection hidden="1"/>
    </xf>
    <xf numFmtId="168" fontId="2" fillId="3" borderId="28" xfId="5" applyNumberFormat="1" applyFont="1" applyFill="1" applyBorder="1" applyAlignment="1" applyProtection="1">
      <protection hidden="1"/>
    </xf>
    <xf numFmtId="9" fontId="2" fillId="0" borderId="0" xfId="2" applyFont="1" applyBorder="1" applyProtection="1">
      <protection hidden="1"/>
    </xf>
    <xf numFmtId="166" fontId="4" fillId="0" borderId="36" xfId="5" applyNumberFormat="1" applyFont="1" applyFill="1" applyBorder="1" applyAlignment="1" applyProtection="1">
      <protection hidden="1"/>
    </xf>
    <xf numFmtId="0" fontId="4" fillId="0" borderId="0" xfId="4" applyFont="1" applyFill="1" applyAlignment="1" applyProtection="1">
      <alignment horizontal="center" vertical="center" wrapText="1"/>
      <protection hidden="1"/>
    </xf>
    <xf numFmtId="0" fontId="23" fillId="8" borderId="49" xfId="4" applyFont="1" applyFill="1" applyBorder="1" applyAlignment="1" applyProtection="1">
      <protection hidden="1"/>
    </xf>
    <xf numFmtId="166" fontId="2" fillId="2" borderId="0" xfId="4" applyNumberFormat="1" applyFont="1" applyFill="1" applyBorder="1" applyAlignment="1" applyProtection="1">
      <alignment vertical="center"/>
      <protection locked="0"/>
    </xf>
    <xf numFmtId="168" fontId="10" fillId="0" borderId="0" xfId="4" applyNumberFormat="1" applyFont="1" applyAlignment="1">
      <alignment horizontal="center"/>
    </xf>
    <xf numFmtId="176" fontId="10" fillId="0" borderId="0" xfId="4" applyNumberFormat="1" applyFont="1" applyAlignment="1">
      <alignment horizontal="center"/>
    </xf>
    <xf numFmtId="0" fontId="23" fillId="16" borderId="49" xfId="4" applyFont="1" applyFill="1" applyBorder="1" applyAlignment="1" applyProtection="1">
      <protection hidden="1"/>
    </xf>
    <xf numFmtId="0" fontId="2" fillId="16" borderId="0" xfId="4" applyFont="1" applyFill="1" applyBorder="1" applyProtection="1">
      <protection hidden="1"/>
    </xf>
    <xf numFmtId="9" fontId="4" fillId="16" borderId="0" xfId="2" applyFont="1" applyFill="1" applyBorder="1" applyAlignment="1" applyProtection="1">
      <alignment horizontal="right"/>
      <protection hidden="1"/>
    </xf>
    <xf numFmtId="168" fontId="2" fillId="16" borderId="28" xfId="5" applyNumberFormat="1" applyFont="1" applyFill="1" applyBorder="1" applyAlignment="1" applyProtection="1">
      <protection hidden="1"/>
    </xf>
    <xf numFmtId="166" fontId="5" fillId="0" borderId="22" xfId="4" applyNumberFormat="1" applyFont="1" applyFill="1" applyBorder="1" applyAlignment="1" applyProtection="1">
      <alignment vertical="center"/>
      <protection hidden="1"/>
    </xf>
    <xf numFmtId="9" fontId="4" fillId="8" borderId="0" xfId="2" applyFont="1" applyFill="1" applyBorder="1"/>
    <xf numFmtId="0" fontId="19" fillId="17" borderId="27" xfId="4" applyFont="1" applyFill="1" applyBorder="1" applyAlignment="1" applyProtection="1">
      <alignment vertical="center"/>
      <protection hidden="1"/>
    </xf>
    <xf numFmtId="168" fontId="2" fillId="17" borderId="0" xfId="4" applyNumberFormat="1" applyFont="1" applyFill="1" applyBorder="1" applyAlignment="1" applyProtection="1">
      <alignment vertical="center"/>
      <protection hidden="1"/>
    </xf>
    <xf numFmtId="0" fontId="2" fillId="17" borderId="28" xfId="4" applyFont="1" applyFill="1" applyBorder="1" applyAlignment="1" applyProtection="1">
      <alignment vertical="center"/>
      <protection hidden="1"/>
    </xf>
    <xf numFmtId="0" fontId="2" fillId="8" borderId="49" xfId="4" applyFont="1" applyFill="1" applyBorder="1" applyProtection="1">
      <protection hidden="1"/>
    </xf>
    <xf numFmtId="0" fontId="8" fillId="8" borderId="0" xfId="4" applyFill="1" applyBorder="1"/>
    <xf numFmtId="0" fontId="8" fillId="8" borderId="28" xfId="4" applyFill="1" applyBorder="1"/>
    <xf numFmtId="0" fontId="6" fillId="17" borderId="27" xfId="4" applyFont="1" applyFill="1" applyBorder="1" applyAlignment="1" applyProtection="1">
      <alignment vertical="center"/>
      <protection hidden="1"/>
    </xf>
    <xf numFmtId="166" fontId="2" fillId="17" borderId="0" xfId="4" applyNumberFormat="1" applyFont="1" applyFill="1" applyBorder="1" applyAlignment="1" applyProtection="1">
      <alignment vertical="center"/>
      <protection locked="0"/>
    </xf>
    <xf numFmtId="166" fontId="4" fillId="5" borderId="22" xfId="4" applyNumberFormat="1" applyFont="1" applyFill="1" applyBorder="1" applyAlignment="1" applyProtection="1">
      <alignment vertical="center"/>
      <protection hidden="1"/>
    </xf>
    <xf numFmtId="0" fontId="23" fillId="6" borderId="27" xfId="4" applyFont="1" applyFill="1" applyBorder="1" applyAlignment="1" applyProtection="1">
      <alignment vertical="center"/>
      <protection hidden="1"/>
    </xf>
    <xf numFmtId="168" fontId="6" fillId="6" borderId="0" xfId="4" applyNumberFormat="1" applyFont="1" applyFill="1" applyBorder="1" applyAlignment="1" applyProtection="1">
      <alignment vertical="center"/>
      <protection hidden="1"/>
    </xf>
    <xf numFmtId="0" fontId="2" fillId="6" borderId="28" xfId="4" applyFont="1" applyFill="1" applyBorder="1" applyAlignment="1" applyProtection="1">
      <alignment vertical="center"/>
      <protection hidden="1"/>
    </xf>
    <xf numFmtId="0" fontId="2" fillId="8" borderId="50" xfId="4" applyFont="1" applyFill="1" applyBorder="1" applyProtection="1">
      <protection hidden="1"/>
    </xf>
    <xf numFmtId="0" fontId="22" fillId="8" borderId="51" xfId="4" applyFont="1" applyFill="1" applyBorder="1" applyProtection="1">
      <protection hidden="1"/>
    </xf>
    <xf numFmtId="168" fontId="22" fillId="8" borderId="51" xfId="5" applyNumberFormat="1" applyFont="1" applyFill="1" applyBorder="1" applyAlignment="1" applyProtection="1">
      <alignment horizontal="right"/>
      <protection hidden="1"/>
    </xf>
    <xf numFmtId="168" fontId="7" fillId="8" borderId="52" xfId="5" applyNumberFormat="1" applyFont="1" applyFill="1" applyBorder="1" applyAlignment="1" applyProtection="1">
      <alignment horizontal="right"/>
      <protection hidden="1"/>
    </xf>
    <xf numFmtId="0" fontId="2" fillId="6" borderId="27" xfId="4" applyFont="1" applyFill="1" applyBorder="1" applyAlignment="1" applyProtection="1">
      <alignment vertical="center"/>
      <protection hidden="1"/>
    </xf>
    <xf numFmtId="166" fontId="2" fillId="6" borderId="0" xfId="4" applyNumberFormat="1" applyFont="1" applyFill="1" applyBorder="1" applyAlignment="1" applyProtection="1">
      <alignment vertical="center"/>
      <protection locked="0"/>
    </xf>
    <xf numFmtId="0" fontId="8" fillId="0" borderId="0" xfId="4" applyBorder="1"/>
    <xf numFmtId="0" fontId="8" fillId="0" borderId="28" xfId="4" applyBorder="1"/>
    <xf numFmtId="166" fontId="4" fillId="5" borderId="22" xfId="5" applyNumberFormat="1" applyFont="1" applyFill="1" applyBorder="1" applyAlignment="1" applyProtection="1">
      <alignment vertical="center"/>
      <protection hidden="1"/>
    </xf>
    <xf numFmtId="9" fontId="7" fillId="0" borderId="0" xfId="2" applyFont="1" applyBorder="1" applyAlignment="1" applyProtection="1">
      <protection hidden="1"/>
    </xf>
    <xf numFmtId="0" fontId="4" fillId="7" borderId="27" xfId="4" applyFont="1" applyFill="1" applyBorder="1" applyAlignment="1" applyProtection="1">
      <alignment vertical="center"/>
      <protection hidden="1"/>
    </xf>
    <xf numFmtId="0" fontId="23" fillId="3" borderId="27" xfId="4" applyFont="1" applyFill="1" applyBorder="1" applyAlignment="1" applyProtection="1">
      <alignment vertical="center"/>
      <protection hidden="1"/>
    </xf>
    <xf numFmtId="0" fontId="2" fillId="3" borderId="28" xfId="4" applyFont="1" applyFill="1" applyBorder="1" applyAlignment="1" applyProtection="1">
      <alignment vertical="center"/>
      <protection hidden="1"/>
    </xf>
    <xf numFmtId="168" fontId="7" fillId="0" borderId="28" xfId="5" applyNumberFormat="1" applyFont="1" applyFill="1" applyBorder="1" applyAlignment="1" applyProtection="1">
      <alignment horizontal="right"/>
      <protection hidden="1"/>
    </xf>
    <xf numFmtId="0" fontId="11" fillId="0" borderId="0" xfId="4" applyFont="1" applyFill="1" applyBorder="1" applyProtection="1">
      <protection hidden="1"/>
    </xf>
    <xf numFmtId="0" fontId="2" fillId="3" borderId="27" xfId="4" applyFont="1" applyFill="1" applyBorder="1" applyAlignment="1" applyProtection="1">
      <alignment vertical="center"/>
      <protection hidden="1"/>
    </xf>
    <xf numFmtId="0" fontId="2" fillId="3" borderId="0" xfId="4" applyFont="1" applyFill="1" applyBorder="1" applyAlignment="1" applyProtection="1">
      <alignment vertical="center"/>
      <protection hidden="1"/>
    </xf>
    <xf numFmtId="168" fontId="9" fillId="0" borderId="0" xfId="4" applyNumberFormat="1" applyFont="1" applyFill="1" applyBorder="1" applyProtection="1">
      <protection hidden="1"/>
    </xf>
    <xf numFmtId="168" fontId="9" fillId="0" borderId="28" xfId="4" applyNumberFormat="1" applyFont="1" applyBorder="1" applyProtection="1">
      <protection hidden="1"/>
    </xf>
    <xf numFmtId="0" fontId="8" fillId="3" borderId="27" xfId="4" applyFill="1" applyBorder="1"/>
    <xf numFmtId="0" fontId="8" fillId="3" borderId="0" xfId="4" applyFill="1" applyBorder="1"/>
    <xf numFmtId="168" fontId="22" fillId="3" borderId="29" xfId="5" applyNumberFormat="1" applyFont="1" applyFill="1" applyBorder="1" applyAlignment="1" applyProtection="1">
      <alignment horizontal="right"/>
      <protection hidden="1"/>
    </xf>
    <xf numFmtId="168" fontId="22" fillId="3" borderId="30" xfId="5" applyNumberFormat="1" applyFont="1" applyFill="1" applyBorder="1" applyAlignment="1" applyProtection="1">
      <alignment horizontal="right"/>
      <protection hidden="1"/>
    </xf>
    <xf numFmtId="168" fontId="7" fillId="3" borderId="31" xfId="5" applyNumberFormat="1" applyFont="1" applyFill="1" applyBorder="1" applyAlignment="1" applyProtection="1">
      <alignment horizontal="right"/>
      <protection hidden="1"/>
    </xf>
    <xf numFmtId="168" fontId="9" fillId="0" borderId="30" xfId="4" applyNumberFormat="1" applyFont="1" applyBorder="1" applyProtection="1">
      <protection hidden="1"/>
    </xf>
    <xf numFmtId="168" fontId="9" fillId="0" borderId="31" xfId="4" applyNumberFormat="1" applyFont="1" applyBorder="1" applyProtection="1">
      <protection hidden="1"/>
    </xf>
    <xf numFmtId="0" fontId="42" fillId="20" borderId="0" xfId="4" applyFont="1" applyFill="1" applyAlignment="1">
      <alignment horizontal="center" vertical="center"/>
    </xf>
    <xf numFmtId="0" fontId="42" fillId="20" borderId="0" xfId="0" applyFont="1" applyFill="1" applyAlignment="1">
      <alignment horizontal="center" vertical="center"/>
    </xf>
    <xf numFmtId="0" fontId="42" fillId="24" borderId="0" xfId="4" applyFont="1" applyFill="1" applyAlignment="1">
      <alignment horizontal="center" vertical="center"/>
    </xf>
    <xf numFmtId="0" fontId="8" fillId="0" borderId="0" xfId="4" applyAlignment="1">
      <alignment horizontal="center"/>
    </xf>
    <xf numFmtId="2" fontId="8" fillId="0" borderId="0" xfId="4" applyNumberFormat="1" applyAlignment="1">
      <alignment horizontal="center"/>
    </xf>
    <xf numFmtId="165" fontId="8" fillId="0" borderId="0" xfId="4" applyNumberFormat="1" applyAlignment="1">
      <alignment horizontal="center"/>
    </xf>
    <xf numFmtId="170" fontId="8" fillId="0" borderId="0" xfId="2" applyNumberFormat="1" applyFont="1" applyAlignment="1">
      <alignment horizontal="center"/>
    </xf>
    <xf numFmtId="166" fontId="8" fillId="0" borderId="0" xfId="4" applyNumberFormat="1" applyAlignment="1">
      <alignment horizontal="center"/>
    </xf>
    <xf numFmtId="9" fontId="8" fillId="0" borderId="0" xfId="2" applyFont="1" applyAlignment="1">
      <alignment horizontal="center"/>
    </xf>
    <xf numFmtId="166" fontId="8" fillId="0" borderId="0" xfId="1" applyNumberFormat="1" applyFont="1" applyAlignment="1">
      <alignment horizontal="center"/>
    </xf>
    <xf numFmtId="166" fontId="4" fillId="0" borderId="0" xfId="5" applyNumberFormat="1" applyFont="1" applyFill="1" applyProtection="1">
      <protection hidden="1"/>
    </xf>
    <xf numFmtId="0" fontId="4" fillId="3" borderId="27" xfId="4" applyFont="1" applyFill="1" applyBorder="1" applyAlignment="1" applyProtection="1">
      <alignment vertical="center"/>
      <protection hidden="1"/>
    </xf>
    <xf numFmtId="0" fontId="8" fillId="3" borderId="0" xfId="4" applyFill="1"/>
    <xf numFmtId="166" fontId="4" fillId="3" borderId="0" xfId="4" applyNumberFormat="1" applyFont="1" applyFill="1" applyBorder="1" applyAlignment="1" applyProtection="1">
      <alignment vertical="center"/>
      <protection hidden="1"/>
    </xf>
    <xf numFmtId="166" fontId="4" fillId="5" borderId="36" xfId="4" applyNumberFormat="1" applyFont="1" applyFill="1" applyBorder="1" applyAlignment="1" applyProtection="1">
      <alignment vertical="center"/>
      <protection hidden="1"/>
    </xf>
    <xf numFmtId="166" fontId="4" fillId="5" borderId="53" xfId="4" applyNumberFormat="1" applyFont="1" applyFill="1" applyBorder="1" applyProtection="1">
      <protection hidden="1"/>
    </xf>
    <xf numFmtId="166" fontId="4" fillId="8" borderId="0" xfId="4" applyNumberFormat="1" applyFont="1" applyFill="1" applyBorder="1" applyProtection="1">
      <protection hidden="1"/>
    </xf>
    <xf numFmtId="170" fontId="0" fillId="0" borderId="0" xfId="2" applyNumberFormat="1" applyFont="1" applyAlignment="1">
      <alignment horizontal="center"/>
    </xf>
    <xf numFmtId="170" fontId="2" fillId="8" borderId="0" xfId="4" applyNumberFormat="1" applyFont="1" applyFill="1" applyBorder="1" applyProtection="1">
      <protection locked="0"/>
    </xf>
    <xf numFmtId="170" fontId="4" fillId="16" borderId="0" xfId="4" applyNumberFormat="1" applyFont="1" applyFill="1" applyBorder="1" applyProtection="1">
      <protection hidden="1"/>
    </xf>
    <xf numFmtId="0" fontId="2" fillId="0" borderId="53" xfId="4" applyFont="1" applyBorder="1" applyProtection="1">
      <protection hidden="1"/>
    </xf>
    <xf numFmtId="0" fontId="2" fillId="3" borderId="54" xfId="4" applyFont="1" applyFill="1" applyBorder="1" applyAlignment="1" applyProtection="1">
      <alignment vertical="center"/>
      <protection hidden="1"/>
    </xf>
    <xf numFmtId="0" fontId="42" fillId="0" borderId="0" xfId="4" applyFont="1" applyFill="1" applyAlignment="1">
      <alignment horizontal="center" vertical="center"/>
    </xf>
    <xf numFmtId="0" fontId="34" fillId="0" borderId="0" xfId="0" applyFont="1" applyAlignment="1">
      <alignment wrapText="1"/>
    </xf>
    <xf numFmtId="0" fontId="34" fillId="0" borderId="0" xfId="0" applyFont="1" applyBorder="1" applyAlignment="1">
      <alignment wrapText="1"/>
    </xf>
    <xf numFmtId="43" fontId="14" fillId="0" borderId="35" xfId="4" applyNumberFormat="1" applyFont="1" applyBorder="1"/>
    <xf numFmtId="10" fontId="5" fillId="4" borderId="22" xfId="2" applyNumberFormat="1" applyFont="1" applyFill="1" applyBorder="1" applyAlignment="1">
      <alignment horizontal="center" vertical="center" wrapText="1"/>
    </xf>
    <xf numFmtId="166" fontId="35" fillId="16" borderId="22" xfId="2" applyNumberFormat="1" applyFont="1" applyFill="1" applyBorder="1" applyAlignment="1">
      <alignment horizontal="center" vertical="center" wrapText="1"/>
    </xf>
    <xf numFmtId="0" fontId="3" fillId="0" borderId="0" xfId="3" applyFill="1"/>
    <xf numFmtId="166" fontId="35" fillId="4" borderId="22" xfId="2" applyNumberFormat="1" applyFont="1" applyFill="1" applyBorder="1" applyAlignment="1">
      <alignment horizontal="center" vertical="center" wrapText="1"/>
    </xf>
    <xf numFmtId="0" fontId="3" fillId="0" borderId="55" xfId="3" applyFill="1" applyBorder="1" applyAlignment="1"/>
    <xf numFmtId="0" fontId="3" fillId="0" borderId="0" xfId="3" applyFill="1" applyBorder="1"/>
    <xf numFmtId="0" fontId="3" fillId="0" borderId="53" xfId="3" applyFill="1" applyBorder="1" applyAlignment="1"/>
    <xf numFmtId="166" fontId="5" fillId="3" borderId="22" xfId="3" applyNumberFormat="1" applyFont="1" applyFill="1" applyBorder="1" applyAlignment="1">
      <alignment horizontal="center" vertical="center"/>
    </xf>
    <xf numFmtId="0" fontId="3" fillId="5" borderId="22" xfId="3" applyFill="1" applyBorder="1"/>
    <xf numFmtId="0" fontId="3" fillId="0" borderId="56" xfId="3" applyFill="1" applyBorder="1" applyAlignment="1"/>
    <xf numFmtId="166" fontId="5" fillId="0" borderId="0" xfId="3" applyNumberFormat="1" applyFont="1" applyFill="1" applyBorder="1" applyAlignment="1">
      <alignment horizontal="center" vertical="center"/>
    </xf>
    <xf numFmtId="166" fontId="35" fillId="9" borderId="22" xfId="3" applyNumberFormat="1" applyFont="1" applyFill="1" applyBorder="1" applyAlignment="1">
      <alignment horizontal="center" vertical="center"/>
    </xf>
    <xf numFmtId="9" fontId="43" fillId="9" borderId="22" xfId="2" applyFont="1" applyFill="1" applyBorder="1" applyAlignment="1">
      <alignment horizontal="center" vertical="center" wrapText="1"/>
    </xf>
    <xf numFmtId="166" fontId="43" fillId="9" borderId="22" xfId="3" applyNumberFormat="1" applyFont="1" applyFill="1" applyBorder="1" applyAlignment="1">
      <alignment horizontal="center" vertical="center" wrapText="1"/>
    </xf>
    <xf numFmtId="0" fontId="54" fillId="0" borderId="0" xfId="3" applyFont="1" applyFill="1" applyBorder="1" applyAlignment="1">
      <alignment vertical="center"/>
    </xf>
    <xf numFmtId="166" fontId="55" fillId="0" borderId="0" xfId="3" applyNumberFormat="1" applyFont="1" applyFill="1" applyBorder="1" applyAlignment="1">
      <alignment horizontal="center" vertical="center" wrapText="1"/>
    </xf>
    <xf numFmtId="0" fontId="56" fillId="3" borderId="0" xfId="3" applyFont="1" applyFill="1" applyBorder="1" applyAlignment="1">
      <alignment horizontal="center"/>
    </xf>
    <xf numFmtId="0" fontId="56" fillId="3" borderId="0" xfId="3" applyFont="1" applyFill="1" applyBorder="1" applyAlignment="1">
      <alignment horizontal="center" vertical="center"/>
    </xf>
    <xf numFmtId="0" fontId="56" fillId="3" borderId="0" xfId="3" applyFont="1" applyFill="1"/>
    <xf numFmtId="0" fontId="57" fillId="3" borderId="0" xfId="3" applyFont="1" applyFill="1"/>
    <xf numFmtId="0" fontId="6" fillId="0" borderId="0" xfId="3" applyFont="1" applyFill="1" applyBorder="1" applyAlignment="1">
      <alignment vertical="center"/>
    </xf>
    <xf numFmtId="9" fontId="57" fillId="0" borderId="0" xfId="2" applyFont="1" applyBorder="1" applyAlignment="1">
      <alignment horizontal="center"/>
    </xf>
    <xf numFmtId="9" fontId="57" fillId="0" borderId="0" xfId="2" applyFont="1" applyBorder="1" applyAlignment="1">
      <alignment horizontal="center" vertical="center"/>
    </xf>
    <xf numFmtId="0" fontId="57" fillId="0" borderId="0" xfId="3" applyFont="1" applyBorder="1" applyAlignment="1">
      <alignment horizontal="center"/>
    </xf>
    <xf numFmtId="10" fontId="57" fillId="0" borderId="0" xfId="2" applyNumberFormat="1" applyFont="1" applyAlignment="1">
      <alignment horizontal="center"/>
    </xf>
    <xf numFmtId="0" fontId="20" fillId="0" borderId="0" xfId="3" applyFont="1"/>
    <xf numFmtId="10" fontId="57" fillId="0" borderId="0" xfId="2" applyNumberFormat="1" applyFont="1" applyFill="1" applyAlignment="1">
      <alignment horizontal="center"/>
    </xf>
    <xf numFmtId="0" fontId="57" fillId="0" borderId="0" xfId="3" applyFont="1" applyBorder="1"/>
    <xf numFmtId="0" fontId="57" fillId="0" borderId="0" xfId="3" applyFont="1"/>
    <xf numFmtId="9" fontId="57" fillId="0" borderId="0" xfId="3" applyNumberFormat="1" applyFont="1" applyBorder="1" applyAlignment="1">
      <alignment horizontal="center"/>
    </xf>
    <xf numFmtId="9" fontId="20" fillId="0" borderId="0" xfId="3" applyNumberFormat="1" applyFont="1" applyBorder="1" applyAlignment="1">
      <alignment horizontal="center"/>
    </xf>
    <xf numFmtId="0" fontId="42" fillId="0" borderId="0" xfId="0" applyFont="1" applyFill="1" applyBorder="1" applyAlignment="1">
      <alignment horizontal="center" vertical="center"/>
    </xf>
    <xf numFmtId="0" fontId="10" fillId="0" borderId="0" xfId="4" applyFont="1"/>
    <xf numFmtId="0" fontId="42" fillId="6" borderId="0" xfId="0" applyFont="1" applyFill="1" applyBorder="1" applyAlignment="1">
      <alignment horizontal="center" vertical="center"/>
    </xf>
    <xf numFmtId="0" fontId="42" fillId="0" borderId="0" xfId="0" applyFont="1" applyAlignment="1">
      <alignment horizontal="center" vertical="center"/>
    </xf>
    <xf numFmtId="9" fontId="42" fillId="0" borderId="0" xfId="2" applyFont="1" applyAlignment="1">
      <alignment horizontal="center" vertical="center"/>
    </xf>
    <xf numFmtId="166" fontId="4" fillId="5" borderId="59" xfId="4" applyNumberFormat="1" applyFont="1" applyFill="1" applyBorder="1" applyAlignment="1" applyProtection="1">
      <alignment vertical="center"/>
      <protection hidden="1"/>
    </xf>
    <xf numFmtId="0" fontId="42" fillId="20" borderId="0" xfId="4" applyFont="1" applyFill="1" applyAlignment="1">
      <alignment horizontal="center" vertical="center" wrapText="1"/>
    </xf>
    <xf numFmtId="3" fontId="6" fillId="6" borderId="35" xfId="0" applyNumberFormat="1" applyFont="1" applyFill="1" applyBorder="1"/>
    <xf numFmtId="10" fontId="6" fillId="6" borderId="35" xfId="0" applyNumberFormat="1" applyFont="1" applyFill="1" applyBorder="1"/>
    <xf numFmtId="0" fontId="15" fillId="0" borderId="0" xfId="4" applyFont="1" applyAlignment="1">
      <alignment vertical="center"/>
    </xf>
    <xf numFmtId="0" fontId="60" fillId="16" borderId="57" xfId="11" applyFont="1" applyFill="1" applyBorder="1" applyAlignment="1">
      <alignment horizontal="center" vertical="center" wrapText="1"/>
    </xf>
    <xf numFmtId="0" fontId="15" fillId="0" borderId="0" xfId="4" applyFont="1"/>
    <xf numFmtId="0" fontId="60" fillId="16" borderId="58" xfId="11" applyFont="1" applyFill="1" applyBorder="1" applyAlignment="1">
      <alignment horizontal="center"/>
    </xf>
    <xf numFmtId="2" fontId="20" fillId="0" borderId="35" xfId="11" applyNumberFormat="1" applyFont="1" applyFill="1" applyBorder="1" applyAlignment="1">
      <alignment horizontal="center"/>
    </xf>
    <xf numFmtId="4" fontId="20" fillId="0" borderId="35" xfId="11" applyNumberFormat="1" applyFont="1" applyFill="1" applyBorder="1" applyAlignment="1">
      <alignment horizontal="center"/>
    </xf>
    <xf numFmtId="170" fontId="15" fillId="0" borderId="35" xfId="4" applyNumberFormat="1" applyFont="1" applyBorder="1" applyAlignment="1">
      <alignment horizontal="center"/>
    </xf>
    <xf numFmtId="0" fontId="15" fillId="0" borderId="35" xfId="4" applyFont="1" applyBorder="1" applyAlignment="1">
      <alignment horizontal="center"/>
    </xf>
    <xf numFmtId="3" fontId="15" fillId="0" borderId="35" xfId="4" applyNumberFormat="1" applyFont="1" applyBorder="1" applyAlignment="1">
      <alignment horizontal="center"/>
    </xf>
    <xf numFmtId="9" fontId="15" fillId="0" borderId="35" xfId="4" applyNumberFormat="1" applyFont="1" applyBorder="1" applyAlignment="1">
      <alignment horizontal="center"/>
    </xf>
    <xf numFmtId="2" fontId="20" fillId="16" borderId="35" xfId="11" applyNumberFormat="1" applyFont="1" applyFill="1" applyBorder="1" applyAlignment="1">
      <alignment horizontal="center"/>
    </xf>
    <xf numFmtId="165" fontId="15" fillId="0" borderId="35" xfId="4" applyNumberFormat="1" applyFont="1" applyBorder="1" applyAlignment="1">
      <alignment horizontal="center"/>
    </xf>
    <xf numFmtId="165" fontId="15" fillId="0" borderId="0" xfId="4" applyNumberFormat="1" applyFont="1" applyAlignment="1">
      <alignment horizontal="left"/>
    </xf>
    <xf numFmtId="165" fontId="15" fillId="0" borderId="0" xfId="4" applyNumberFormat="1" applyFont="1" applyAlignment="1">
      <alignment horizontal="center"/>
    </xf>
    <xf numFmtId="0" fontId="14" fillId="0" borderId="0" xfId="4" applyFont="1"/>
    <xf numFmtId="2" fontId="14" fillId="0" borderId="35" xfId="4" applyNumberFormat="1" applyFont="1" applyBorder="1" applyAlignment="1">
      <alignment horizontal="center"/>
    </xf>
    <xf numFmtId="4" fontId="14" fillId="0" borderId="35" xfId="4" applyNumberFormat="1" applyFont="1" applyBorder="1" applyAlignment="1">
      <alignment horizontal="center"/>
    </xf>
    <xf numFmtId="170" fontId="14" fillId="0" borderId="35" xfId="4" applyNumberFormat="1" applyFont="1" applyBorder="1" applyAlignment="1">
      <alignment horizontal="center"/>
    </xf>
    <xf numFmtId="3" fontId="14" fillId="0" borderId="35" xfId="4" applyNumberFormat="1" applyFont="1" applyBorder="1" applyAlignment="1">
      <alignment horizontal="center"/>
    </xf>
    <xf numFmtId="2" fontId="14" fillId="16" borderId="35" xfId="4" applyNumberFormat="1" applyFont="1" applyFill="1" applyBorder="1" applyAlignment="1">
      <alignment horizontal="center"/>
    </xf>
    <xf numFmtId="0" fontId="61" fillId="0" borderId="0" xfId="4" applyFont="1"/>
    <xf numFmtId="166" fontId="2" fillId="5" borderId="0" xfId="4" applyNumberFormat="1" applyFont="1" applyFill="1" applyBorder="1" applyAlignment="1" applyProtection="1">
      <alignment horizontal="center" vertical="center"/>
      <protection hidden="1"/>
    </xf>
    <xf numFmtId="0" fontId="60" fillId="17" borderId="57" xfId="11" applyFont="1" applyFill="1" applyBorder="1" applyAlignment="1">
      <alignment horizontal="center" vertical="center" wrapText="1"/>
    </xf>
    <xf numFmtId="2" fontId="60" fillId="17" borderId="57" xfId="12" applyNumberFormat="1" applyFont="1" applyFill="1" applyBorder="1" applyAlignment="1">
      <alignment horizontal="center" vertical="center" wrapText="1"/>
    </xf>
    <xf numFmtId="0" fontId="60" fillId="17" borderId="57" xfId="12" applyFont="1" applyFill="1" applyBorder="1" applyAlignment="1">
      <alignment horizontal="center" vertical="center" wrapText="1"/>
    </xf>
    <xf numFmtId="0" fontId="60" fillId="17" borderId="58" xfId="11" applyFont="1" applyFill="1" applyBorder="1" applyAlignment="1">
      <alignment horizontal="center" vertical="center" wrapText="1"/>
    </xf>
    <xf numFmtId="2" fontId="60" fillId="17" borderId="58" xfId="12" applyNumberFormat="1" applyFont="1" applyFill="1" applyBorder="1" applyAlignment="1">
      <alignment horizontal="center" vertical="center" wrapText="1"/>
    </xf>
    <xf numFmtId="0" fontId="15" fillId="17" borderId="0" xfId="4" applyFont="1" applyFill="1"/>
    <xf numFmtId="0" fontId="14" fillId="17" borderId="0" xfId="4" applyFont="1" applyFill="1"/>
    <xf numFmtId="0" fontId="15" fillId="4" borderId="35" xfId="4" applyFont="1" applyFill="1" applyBorder="1"/>
    <xf numFmtId="3" fontId="15" fillId="4" borderId="35" xfId="4" applyNumberFormat="1" applyFont="1" applyFill="1" applyBorder="1" applyAlignment="1">
      <alignment horizontal="right"/>
    </xf>
    <xf numFmtId="4" fontId="15" fillId="4" borderId="35" xfId="4" applyNumberFormat="1" applyFont="1" applyFill="1" applyBorder="1"/>
    <xf numFmtId="9" fontId="15" fillId="4" borderId="35" xfId="2" applyFont="1" applyFill="1" applyBorder="1"/>
    <xf numFmtId="0" fontId="6" fillId="6" borderId="35" xfId="0" applyFont="1" applyFill="1" applyBorder="1"/>
    <xf numFmtId="166" fontId="57" fillId="0" borderId="0" xfId="0" applyNumberFormat="1" applyFont="1" applyFill="1" applyBorder="1" applyAlignment="1">
      <alignment horizontal="center" vertical="center"/>
    </xf>
    <xf numFmtId="0" fontId="57" fillId="6" borderId="0" xfId="0" applyFont="1" applyFill="1" applyBorder="1"/>
    <xf numFmtId="0" fontId="57" fillId="0" borderId="0" xfId="0" applyFont="1"/>
    <xf numFmtId="0" fontId="57" fillId="0" borderId="0" xfId="0" applyFont="1" applyFill="1" applyBorder="1"/>
    <xf numFmtId="166" fontId="6" fillId="6" borderId="35" xfId="0" applyNumberFormat="1" applyFont="1" applyFill="1" applyBorder="1"/>
    <xf numFmtId="4" fontId="60" fillId="17" borderId="57" xfId="11" applyNumberFormat="1" applyFont="1" applyFill="1" applyBorder="1" applyAlignment="1">
      <alignment horizontal="center" vertical="center" wrapText="1"/>
    </xf>
    <xf numFmtId="4" fontId="60" fillId="17" borderId="58" xfId="11" applyNumberFormat="1" applyFont="1" applyFill="1" applyBorder="1" applyAlignment="1">
      <alignment horizontal="center" vertical="center" wrapText="1"/>
    </xf>
    <xf numFmtId="4" fontId="15" fillId="0" borderId="35" xfId="4" applyNumberFormat="1" applyFont="1" applyBorder="1" applyAlignment="1">
      <alignment horizontal="center"/>
    </xf>
    <xf numFmtId="4" fontId="14" fillId="0" borderId="0" xfId="4" applyNumberFormat="1" applyFont="1"/>
    <xf numFmtId="4" fontId="15" fillId="0" borderId="0" xfId="4" applyNumberFormat="1" applyFont="1"/>
    <xf numFmtId="178" fontId="6" fillId="6" borderId="35" xfId="0" applyNumberFormat="1" applyFont="1" applyFill="1" applyBorder="1"/>
    <xf numFmtId="4" fontId="6" fillId="6" borderId="35" xfId="0" applyNumberFormat="1" applyFont="1" applyFill="1" applyBorder="1"/>
    <xf numFmtId="166" fontId="24" fillId="6" borderId="0" xfId="0" applyNumberFormat="1" applyFont="1" applyFill="1" applyBorder="1"/>
    <xf numFmtId="177" fontId="6" fillId="6" borderId="35" xfId="0" applyNumberFormat="1" applyFont="1" applyFill="1" applyBorder="1"/>
    <xf numFmtId="0" fontId="43" fillId="9" borderId="22" xfId="3" applyFont="1" applyFill="1" applyBorder="1" applyAlignment="1">
      <alignment horizontal="center" vertical="center"/>
    </xf>
    <xf numFmtId="0" fontId="28" fillId="4" borderId="14" xfId="0" applyFont="1" applyFill="1" applyBorder="1" applyAlignment="1">
      <alignment horizontal="center" vertical="center"/>
    </xf>
    <xf numFmtId="0" fontId="28" fillId="4" borderId="15" xfId="0" applyFont="1" applyFill="1" applyBorder="1" applyAlignment="1">
      <alignment horizontal="center" vertical="center"/>
    </xf>
    <xf numFmtId="0" fontId="28" fillId="4" borderId="16" xfId="0" applyFont="1" applyFill="1" applyBorder="1" applyAlignment="1">
      <alignment horizontal="center" vertical="center"/>
    </xf>
    <xf numFmtId="0" fontId="34" fillId="0" borderId="0" xfId="0" applyFont="1" applyAlignment="1">
      <alignment horizontal="center" wrapText="1"/>
    </xf>
    <xf numFmtId="0" fontId="28" fillId="4" borderId="7" xfId="0" applyFont="1" applyFill="1" applyBorder="1" applyAlignment="1">
      <alignment horizontal="center" vertical="center" wrapText="1"/>
    </xf>
    <xf numFmtId="0" fontId="28" fillId="4" borderId="0"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28" fillId="4" borderId="9" xfId="0" applyFont="1" applyFill="1" applyBorder="1" applyAlignment="1">
      <alignment horizontal="center" vertical="center" wrapText="1"/>
    </xf>
    <xf numFmtId="0" fontId="28" fillId="4" borderId="10"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62" fillId="4" borderId="14" xfId="0" applyFont="1" applyFill="1" applyBorder="1" applyAlignment="1">
      <alignment horizontal="center" vertical="center" wrapText="1"/>
    </xf>
    <xf numFmtId="0" fontId="62" fillId="4" borderId="15" xfId="0" applyFont="1" applyFill="1" applyBorder="1" applyAlignment="1">
      <alignment horizontal="center" vertical="center" wrapText="1"/>
    </xf>
    <xf numFmtId="0" fontId="62" fillId="4" borderId="16" xfId="0" applyFont="1" applyFill="1" applyBorder="1" applyAlignment="1">
      <alignment horizontal="center" vertical="center" wrapText="1"/>
    </xf>
    <xf numFmtId="0" fontId="62" fillId="4" borderId="7" xfId="0" applyFont="1" applyFill="1" applyBorder="1" applyAlignment="1">
      <alignment horizontal="center" vertical="center" wrapText="1"/>
    </xf>
    <xf numFmtId="0" fontId="62" fillId="4" borderId="0" xfId="0" applyFont="1" applyFill="1" applyBorder="1" applyAlignment="1">
      <alignment horizontal="center" vertical="center" wrapText="1"/>
    </xf>
    <xf numFmtId="0" fontId="62" fillId="4" borderId="8" xfId="0" applyFont="1" applyFill="1" applyBorder="1" applyAlignment="1">
      <alignment horizontal="center" vertical="center" wrapText="1"/>
    </xf>
    <xf numFmtId="0" fontId="62" fillId="4" borderId="9" xfId="0" applyFont="1" applyFill="1" applyBorder="1" applyAlignment="1">
      <alignment horizontal="center" vertical="center" wrapText="1"/>
    </xf>
    <xf numFmtId="0" fontId="62" fillId="4" borderId="10" xfId="0" applyFont="1" applyFill="1" applyBorder="1" applyAlignment="1">
      <alignment horizontal="center" vertical="center" wrapText="1"/>
    </xf>
    <xf numFmtId="0" fontId="62" fillId="4" borderId="11" xfId="0" applyFont="1" applyFill="1" applyBorder="1" applyAlignment="1">
      <alignment horizontal="center" vertical="center" wrapText="1"/>
    </xf>
    <xf numFmtId="0" fontId="15" fillId="4" borderId="60" xfId="4" applyFont="1" applyFill="1" applyBorder="1" applyAlignment="1">
      <alignment horizontal="left" vertical="center"/>
    </xf>
    <xf numFmtId="0" fontId="15" fillId="4" borderId="61" xfId="4" applyFont="1" applyFill="1" applyBorder="1" applyAlignment="1">
      <alignment horizontal="left" vertical="center"/>
    </xf>
    <xf numFmtId="0" fontId="15" fillId="4" borderId="62" xfId="4" applyFont="1" applyFill="1" applyBorder="1" applyAlignment="1">
      <alignment horizontal="left" vertical="center"/>
    </xf>
    <xf numFmtId="0" fontId="39" fillId="6" borderId="0" xfId="0" applyFont="1" applyFill="1" applyBorder="1" applyAlignment="1">
      <alignment horizontal="center" vertical="center" wrapText="1"/>
    </xf>
    <xf numFmtId="0" fontId="6" fillId="6" borderId="35" xfId="0" applyFont="1" applyFill="1" applyBorder="1"/>
    <xf numFmtId="0" fontId="2" fillId="6" borderId="35" xfId="0" applyFont="1" applyFill="1" applyBorder="1" applyAlignment="1">
      <alignment horizontal="left" vertical="center"/>
    </xf>
    <xf numFmtId="0" fontId="2" fillId="6" borderId="60" xfId="0" applyFont="1" applyFill="1" applyBorder="1" applyAlignment="1">
      <alignment horizontal="left" vertical="center"/>
    </xf>
    <xf numFmtId="0" fontId="2" fillId="6" borderId="61" xfId="0" applyFont="1" applyFill="1" applyBorder="1" applyAlignment="1">
      <alignment horizontal="left" vertical="center"/>
    </xf>
    <xf numFmtId="0" fontId="2" fillId="6" borderId="62" xfId="0" applyFont="1" applyFill="1" applyBorder="1" applyAlignment="1">
      <alignment horizontal="left" vertical="center"/>
    </xf>
    <xf numFmtId="0" fontId="37" fillId="0" borderId="0" xfId="0" applyFont="1" applyAlignment="1">
      <alignment horizontal="center" vertical="center"/>
    </xf>
    <xf numFmtId="0" fontId="36" fillId="0" borderId="0" xfId="0" applyFont="1" applyAlignment="1">
      <alignment horizontal="center" vertical="center"/>
    </xf>
    <xf numFmtId="172" fontId="30" fillId="0" borderId="33" xfId="8" applyNumberFormat="1" applyFont="1" applyBorder="1" applyAlignment="1">
      <alignment horizontal="center" vertical="center"/>
    </xf>
    <xf numFmtId="177" fontId="30" fillId="4" borderId="32" xfId="0" applyNumberFormat="1" applyFont="1" applyFill="1" applyBorder="1" applyAlignment="1">
      <alignment horizontal="center" vertical="center"/>
    </xf>
    <xf numFmtId="177" fontId="30" fillId="4" borderId="33" xfId="0" applyNumberFormat="1" applyFont="1" applyFill="1" applyBorder="1" applyAlignment="1">
      <alignment horizontal="center" vertical="center"/>
    </xf>
    <xf numFmtId="0" fontId="30" fillId="4" borderId="33" xfId="0" applyFont="1" applyFill="1" applyBorder="1" applyAlignment="1">
      <alignment horizontal="center" vertical="center"/>
    </xf>
    <xf numFmtId="0" fontId="30" fillId="0" borderId="0" xfId="0" applyFont="1" applyFill="1" applyBorder="1" applyAlignment="1">
      <alignment horizontal="center" vertical="center"/>
    </xf>
    <xf numFmtId="171" fontId="30" fillId="4" borderId="33" xfId="8" applyNumberFormat="1" applyFont="1" applyFill="1" applyBorder="1" applyAlignment="1">
      <alignment horizontal="center" vertical="center"/>
    </xf>
    <xf numFmtId="0" fontId="54" fillId="9" borderId="22" xfId="3" applyFont="1" applyFill="1" applyBorder="1" applyAlignment="1">
      <alignment horizontal="center" vertical="center"/>
    </xf>
    <xf numFmtId="166" fontId="55" fillId="5" borderId="22" xfId="3" applyNumberFormat="1" applyFont="1" applyFill="1" applyBorder="1" applyAlignment="1">
      <alignment horizontal="center" vertical="center" wrapText="1"/>
    </xf>
    <xf numFmtId="0" fontId="43" fillId="9" borderId="37" xfId="3" applyFont="1" applyFill="1" applyBorder="1" applyAlignment="1">
      <alignment horizontal="center" vertical="center" wrapText="1"/>
    </xf>
    <xf numFmtId="0" fontId="43" fillId="9" borderId="23" xfId="3" applyFont="1" applyFill="1" applyBorder="1" applyAlignment="1">
      <alignment horizontal="center" vertical="center" wrapText="1"/>
    </xf>
    <xf numFmtId="0" fontId="43" fillId="9" borderId="38" xfId="3" applyFont="1" applyFill="1" applyBorder="1" applyAlignment="1">
      <alignment horizontal="center" vertical="center" wrapText="1"/>
    </xf>
    <xf numFmtId="0" fontId="43" fillId="9" borderId="22" xfId="3" applyFont="1" applyFill="1" applyBorder="1" applyAlignment="1">
      <alignment horizontal="center" vertical="center"/>
    </xf>
    <xf numFmtId="9" fontId="55" fillId="5" borderId="22" xfId="3" applyNumberFormat="1" applyFont="1" applyFill="1" applyBorder="1" applyAlignment="1">
      <alignment horizontal="center" vertical="center" wrapText="1"/>
    </xf>
    <xf numFmtId="0" fontId="43" fillId="9" borderId="22" xfId="3" applyFont="1" applyFill="1" applyBorder="1" applyAlignment="1">
      <alignment horizontal="center" vertical="center" wrapText="1"/>
    </xf>
    <xf numFmtId="0" fontId="35" fillId="4" borderId="22" xfId="3" applyFont="1" applyFill="1" applyBorder="1" applyAlignment="1">
      <alignment horizontal="center" vertical="center" wrapText="1"/>
    </xf>
    <xf numFmtId="0" fontId="5" fillId="3" borderId="22" xfId="3" applyFont="1" applyFill="1" applyBorder="1" applyAlignment="1">
      <alignment horizontal="center" vertical="center" wrapText="1"/>
    </xf>
    <xf numFmtId="0" fontId="6" fillId="3" borderId="22" xfId="3" applyFont="1" applyFill="1" applyBorder="1" applyAlignment="1">
      <alignment horizontal="center" vertical="center" wrapText="1"/>
    </xf>
    <xf numFmtId="166" fontId="5" fillId="3" borderId="22" xfId="3" applyNumberFormat="1" applyFont="1" applyFill="1" applyBorder="1" applyAlignment="1">
      <alignment horizontal="center" vertical="center"/>
    </xf>
    <xf numFmtId="166" fontId="5" fillId="0" borderId="22" xfId="1" applyNumberFormat="1" applyFont="1" applyBorder="1" applyAlignment="1">
      <alignment horizontal="center" vertical="center"/>
    </xf>
    <xf numFmtId="9" fontId="5" fillId="0" borderId="22" xfId="2" applyFont="1" applyFill="1" applyBorder="1" applyAlignment="1">
      <alignment horizontal="center" vertical="center"/>
    </xf>
    <xf numFmtId="0" fontId="27" fillId="12" borderId="14" xfId="4" applyFont="1" applyFill="1" applyBorder="1" applyAlignment="1" applyProtection="1">
      <alignment horizontal="left" vertical="center"/>
      <protection hidden="1"/>
    </xf>
    <xf numFmtId="0" fontId="13" fillId="12" borderId="15" xfId="4" applyFont="1" applyFill="1" applyBorder="1" applyAlignment="1" applyProtection="1">
      <alignment horizontal="left" vertical="center"/>
      <protection hidden="1"/>
    </xf>
    <xf numFmtId="0" fontId="13" fillId="12" borderId="16" xfId="4" applyFont="1" applyFill="1" applyBorder="1" applyAlignment="1" applyProtection="1">
      <alignment horizontal="left" vertical="center"/>
      <protection hidden="1"/>
    </xf>
    <xf numFmtId="0" fontId="13" fillId="12" borderId="7" xfId="4" applyFont="1" applyFill="1" applyBorder="1" applyAlignment="1" applyProtection="1">
      <alignment horizontal="left" vertical="center"/>
      <protection hidden="1"/>
    </xf>
    <xf numFmtId="0" fontId="13" fillId="12" borderId="0" xfId="4" applyFont="1" applyFill="1" applyBorder="1" applyAlignment="1" applyProtection="1">
      <alignment horizontal="left" vertical="center"/>
      <protection hidden="1"/>
    </xf>
    <xf numFmtId="0" fontId="13" fillId="12" borderId="8" xfId="4" applyFont="1" applyFill="1" applyBorder="1" applyAlignment="1" applyProtection="1">
      <alignment horizontal="left" vertical="center"/>
      <protection hidden="1"/>
    </xf>
    <xf numFmtId="0" fontId="13" fillId="12" borderId="9" xfId="4" applyFont="1" applyFill="1" applyBorder="1" applyAlignment="1" applyProtection="1">
      <alignment horizontal="left" vertical="center"/>
      <protection hidden="1"/>
    </xf>
    <xf numFmtId="0" fontId="13" fillId="12" borderId="10" xfId="4" applyFont="1" applyFill="1" applyBorder="1" applyAlignment="1" applyProtection="1">
      <alignment horizontal="left" vertical="center"/>
      <protection hidden="1"/>
    </xf>
    <xf numFmtId="0" fontId="13" fillId="12" borderId="11" xfId="4" applyFont="1" applyFill="1" applyBorder="1" applyAlignment="1" applyProtection="1">
      <alignment horizontal="left" vertical="center"/>
      <protection hidden="1"/>
    </xf>
    <xf numFmtId="0" fontId="18" fillId="0" borderId="0" xfId="7" applyFont="1" applyAlignment="1" applyProtection="1">
      <alignment horizontal="right"/>
      <protection hidden="1"/>
    </xf>
    <xf numFmtId="169" fontId="17" fillId="0" borderId="0" xfId="5" applyFont="1" applyAlignment="1" applyProtection="1">
      <alignment horizontal="center"/>
      <protection hidden="1"/>
    </xf>
    <xf numFmtId="0" fontId="30" fillId="2" borderId="14" xfId="4" applyFont="1" applyFill="1" applyBorder="1" applyAlignment="1" applyProtection="1">
      <alignment horizontal="center" vertical="center"/>
      <protection hidden="1"/>
    </xf>
    <xf numFmtId="0" fontId="30" fillId="2" borderId="15" xfId="4" applyFont="1" applyFill="1" applyBorder="1" applyAlignment="1" applyProtection="1">
      <alignment horizontal="center" vertical="center"/>
      <protection hidden="1"/>
    </xf>
    <xf numFmtId="0" fontId="30" fillId="2" borderId="16" xfId="4" applyFont="1" applyFill="1" applyBorder="1" applyAlignment="1" applyProtection="1">
      <alignment horizontal="center" vertical="center"/>
      <protection hidden="1"/>
    </xf>
    <xf numFmtId="0" fontId="30" fillId="2" borderId="7" xfId="4" applyFont="1" applyFill="1" applyBorder="1" applyAlignment="1" applyProtection="1">
      <alignment horizontal="center" vertical="center"/>
      <protection hidden="1"/>
    </xf>
    <xf numFmtId="0" fontId="30" fillId="2" borderId="0" xfId="4" applyFont="1" applyFill="1" applyBorder="1" applyAlignment="1" applyProtection="1">
      <alignment horizontal="center" vertical="center"/>
      <protection hidden="1"/>
    </xf>
    <xf numFmtId="0" fontId="30" fillId="2" borderId="8" xfId="4" applyFont="1" applyFill="1" applyBorder="1" applyAlignment="1" applyProtection="1">
      <alignment horizontal="center" vertical="center"/>
      <protection hidden="1"/>
    </xf>
    <xf numFmtId="0" fontId="30" fillId="2" borderId="9" xfId="4" applyFont="1" applyFill="1" applyBorder="1" applyAlignment="1" applyProtection="1">
      <alignment horizontal="center" vertical="center"/>
      <protection hidden="1"/>
    </xf>
    <xf numFmtId="0" fontId="30" fillId="2" borderId="10" xfId="4" applyFont="1" applyFill="1" applyBorder="1" applyAlignment="1" applyProtection="1">
      <alignment horizontal="center" vertical="center"/>
      <protection hidden="1"/>
    </xf>
    <xf numFmtId="0" fontId="30" fillId="2" borderId="11" xfId="4" applyFont="1" applyFill="1" applyBorder="1" applyAlignment="1" applyProtection="1">
      <alignment horizontal="center" vertical="center"/>
      <protection hidden="1"/>
    </xf>
    <xf numFmtId="0" fontId="7" fillId="2" borderId="14" xfId="4" applyFont="1" applyFill="1" applyBorder="1" applyAlignment="1" applyProtection="1">
      <alignment horizontal="center" vertical="center"/>
      <protection hidden="1"/>
    </xf>
    <xf numFmtId="0" fontId="7" fillId="2" borderId="15" xfId="4" applyFont="1" applyFill="1" applyBorder="1" applyAlignment="1" applyProtection="1">
      <alignment horizontal="center" vertical="center"/>
      <protection hidden="1"/>
    </xf>
    <xf numFmtId="0" fontId="7" fillId="2" borderId="16" xfId="4" applyFont="1" applyFill="1" applyBorder="1" applyAlignment="1" applyProtection="1">
      <alignment horizontal="center" vertical="center"/>
      <protection hidden="1"/>
    </xf>
    <xf numFmtId="0" fontId="7" fillId="2" borderId="9" xfId="4" applyFont="1" applyFill="1" applyBorder="1" applyAlignment="1" applyProtection="1">
      <alignment horizontal="center" vertical="center"/>
      <protection hidden="1"/>
    </xf>
    <xf numFmtId="0" fontId="7" fillId="2" borderId="10" xfId="4" applyFont="1" applyFill="1" applyBorder="1" applyAlignment="1" applyProtection="1">
      <alignment horizontal="center" vertical="center"/>
      <protection hidden="1"/>
    </xf>
    <xf numFmtId="0" fontId="7" fillId="2" borderId="11" xfId="4" applyFont="1" applyFill="1" applyBorder="1" applyAlignment="1" applyProtection="1">
      <alignment horizontal="center" vertical="center"/>
      <protection hidden="1"/>
    </xf>
    <xf numFmtId="0" fontId="4" fillId="10" borderId="17" xfId="4" applyFont="1" applyFill="1" applyBorder="1" applyAlignment="1" applyProtection="1">
      <alignment horizontal="center" wrapText="1"/>
      <protection hidden="1"/>
    </xf>
    <xf numFmtId="0" fontId="4" fillId="10" borderId="18" xfId="4" applyFont="1" applyFill="1" applyBorder="1" applyAlignment="1" applyProtection="1">
      <alignment horizontal="center" wrapText="1"/>
      <protection hidden="1"/>
    </xf>
    <xf numFmtId="0" fontId="14" fillId="2" borderId="20" xfId="4" applyFont="1" applyFill="1" applyBorder="1" applyAlignment="1" applyProtection="1">
      <alignment horizontal="center" vertical="center" wrapText="1"/>
      <protection hidden="1"/>
    </xf>
    <xf numFmtId="0" fontId="14" fillId="2" borderId="44" xfId="4" applyFont="1" applyFill="1" applyBorder="1" applyAlignment="1" applyProtection="1">
      <alignment horizontal="center" vertical="center" wrapText="1"/>
      <protection hidden="1"/>
    </xf>
    <xf numFmtId="0" fontId="2" fillId="8" borderId="49" xfId="4" applyFont="1" applyFill="1" applyBorder="1" applyAlignment="1" applyProtection="1">
      <alignment horizontal="left" vertical="center" wrapText="1"/>
      <protection hidden="1"/>
    </xf>
    <xf numFmtId="0" fontId="2" fillId="8" borderId="0" xfId="4" applyFont="1" applyFill="1" applyBorder="1" applyAlignment="1" applyProtection="1">
      <alignment horizontal="left" vertical="center" wrapText="1"/>
      <protection hidden="1"/>
    </xf>
    <xf numFmtId="0" fontId="2" fillId="8" borderId="49" xfId="4" applyFont="1" applyFill="1" applyBorder="1" applyAlignment="1" applyProtection="1">
      <alignment horizontal="left"/>
      <protection hidden="1"/>
    </xf>
    <xf numFmtId="0" fontId="2" fillId="8" borderId="0" xfId="4" applyFont="1" applyFill="1" applyBorder="1" applyAlignment="1" applyProtection="1">
      <alignment horizontal="left"/>
      <protection hidden="1"/>
    </xf>
    <xf numFmtId="0" fontId="4" fillId="2" borderId="9" xfId="4" applyFont="1" applyFill="1" applyBorder="1" applyAlignment="1" applyProtection="1">
      <alignment horizontal="left" vertical="center" wrapText="1"/>
      <protection hidden="1"/>
    </xf>
    <xf numFmtId="0" fontId="4" fillId="2" borderId="10" xfId="4" applyFont="1" applyFill="1" applyBorder="1" applyAlignment="1" applyProtection="1">
      <alignment horizontal="left" vertical="center" wrapText="1"/>
      <protection hidden="1"/>
    </xf>
    <xf numFmtId="9" fontId="53" fillId="21" borderId="10" xfId="4" applyNumberFormat="1" applyFont="1" applyFill="1" applyBorder="1" applyAlignment="1" applyProtection="1">
      <alignment horizontal="center"/>
      <protection hidden="1"/>
    </xf>
    <xf numFmtId="0" fontId="53" fillId="21" borderId="10" xfId="4" applyFont="1" applyFill="1" applyBorder="1" applyAlignment="1" applyProtection="1">
      <alignment horizontal="center"/>
      <protection hidden="1"/>
    </xf>
    <xf numFmtId="9" fontId="53" fillId="22" borderId="10" xfId="4" applyNumberFormat="1" applyFont="1" applyFill="1" applyBorder="1" applyAlignment="1" applyProtection="1">
      <alignment horizontal="center"/>
      <protection hidden="1"/>
    </xf>
    <xf numFmtId="0" fontId="7" fillId="14" borderId="24" xfId="4" applyFont="1" applyFill="1" applyBorder="1" applyAlignment="1" applyProtection="1">
      <alignment horizontal="center" vertical="center"/>
      <protection hidden="1"/>
    </xf>
    <xf numFmtId="0" fontId="7" fillId="14" borderId="25" xfId="4" applyFont="1" applyFill="1" applyBorder="1" applyAlignment="1" applyProtection="1">
      <alignment horizontal="center" vertical="center"/>
      <protection hidden="1"/>
    </xf>
    <xf numFmtId="0" fontId="7" fillId="14" borderId="26" xfId="4" applyFont="1" applyFill="1" applyBorder="1" applyAlignment="1" applyProtection="1">
      <alignment horizontal="center" vertical="center"/>
      <protection hidden="1"/>
    </xf>
    <xf numFmtId="0" fontId="14" fillId="0" borderId="20" xfId="4" applyFont="1" applyBorder="1" applyAlignment="1" applyProtection="1">
      <alignment horizontal="center" vertical="center" wrapText="1"/>
      <protection hidden="1"/>
    </xf>
    <xf numFmtId="0" fontId="14" fillId="0" borderId="21" xfId="4" applyFont="1" applyBorder="1" applyAlignment="1" applyProtection="1">
      <alignment horizontal="center" vertical="center" wrapText="1"/>
      <protection hidden="1"/>
    </xf>
    <xf numFmtId="0" fontId="23" fillId="8" borderId="49" xfId="4" applyFont="1" applyFill="1" applyBorder="1" applyAlignment="1" applyProtection="1">
      <alignment horizontal="left"/>
      <protection hidden="1"/>
    </xf>
    <xf numFmtId="0" fontId="23" fillId="8" borderId="0" xfId="4" applyFont="1" applyFill="1" applyBorder="1" applyAlignment="1" applyProtection="1">
      <alignment horizontal="left"/>
      <protection hidden="1"/>
    </xf>
    <xf numFmtId="10" fontId="25" fillId="11" borderId="0" xfId="6" applyNumberFormat="1" applyFont="1" applyFill="1" applyProtection="1"/>
    <xf numFmtId="0" fontId="25" fillId="11" borderId="4" xfId="4" applyFont="1" applyFill="1" applyBorder="1" applyProtection="1"/>
    <xf numFmtId="0" fontId="25" fillId="11" borderId="0" xfId="4" applyFont="1" applyFill="1" applyAlignment="1" applyProtection="1">
      <alignment horizontal="center" vertical="center" wrapText="1"/>
    </xf>
    <xf numFmtId="0" fontId="4" fillId="11" borderId="0" xfId="4" applyFont="1" applyFill="1" applyAlignment="1" applyProtection="1">
      <alignment horizontal="center" vertical="center" wrapText="1"/>
    </xf>
    <xf numFmtId="9" fontId="26" fillId="11" borderId="0" xfId="6" applyFont="1" applyFill="1" applyProtection="1"/>
  </cellXfs>
  <cellStyles count="13">
    <cellStyle name="Comma 2" xfId="5" xr:uid="{00000000-0005-0000-0000-000001000000}"/>
    <cellStyle name="Good 2" xfId="9" xr:uid="{00000000-0005-0000-0000-000003000000}"/>
    <cellStyle name="Komma" xfId="8" builtinId="3"/>
    <cellStyle name="Link" xfId="7" builtinId="8"/>
    <cellStyle name="Neutral 2" xfId="10" xr:uid="{00000000-0005-0000-0000-000005000000}"/>
    <cellStyle name="Normal 2" xfId="3" xr:uid="{00000000-0005-0000-0000-000007000000}"/>
    <cellStyle name="Normal 3" xfId="4" xr:uid="{00000000-0005-0000-0000-000008000000}"/>
    <cellStyle name="Percent 2" xfId="6" xr:uid="{00000000-0005-0000-0000-00000A000000}"/>
    <cellStyle name="Prozent" xfId="2" builtinId="5"/>
    <cellStyle name="Standard" xfId="0" builtinId="0"/>
    <cellStyle name="Standard 2" xfId="11" xr:uid="{00000000-0005-0000-0000-00000B000000}"/>
    <cellStyle name="Standard_Eingabe" xfId="12" xr:uid="{00000000-0005-0000-0000-00000C000000}"/>
    <cellStyle name="Währung" xfId="1" builtinId="4"/>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8000"/>
      <color rgb="FF003300"/>
      <color rgb="FF0000FF"/>
      <color rgb="FFFF0000"/>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US" sz="1200">
                <a:latin typeface="Verdana" panose="020B0604030504040204" pitchFamily="34" charset="0"/>
                <a:ea typeface="Verdana" panose="020B0604030504040204" pitchFamily="34" charset="0"/>
              </a:rPr>
              <a:t>% of</a:t>
            </a:r>
            <a:r>
              <a:rPr lang="en-US" sz="1200" baseline="0">
                <a:latin typeface="Verdana" panose="020B0604030504040204" pitchFamily="34" charset="0"/>
                <a:ea typeface="Verdana" panose="020B0604030504040204" pitchFamily="34" charset="0"/>
              </a:rPr>
              <a:t> f</a:t>
            </a:r>
            <a:r>
              <a:rPr lang="en-US" sz="1200">
                <a:latin typeface="Verdana" panose="020B0604030504040204" pitchFamily="34" charset="0"/>
                <a:ea typeface="Verdana" panose="020B0604030504040204" pitchFamily="34" charset="0"/>
              </a:rPr>
              <a:t>allow land used on Tongatapu</a:t>
            </a:r>
          </a:p>
        </c:rich>
      </c:tx>
      <c:layout>
        <c:manualLayout>
          <c:xMode val="edge"/>
          <c:yMode val="edge"/>
          <c:x val="0.21364470110680775"/>
          <c:y val="7.5392678445279401E-2"/>
        </c:manualLayout>
      </c:layout>
      <c:overlay val="1"/>
      <c:spPr>
        <a:solidFill>
          <a:srgbClr val="FFFF00"/>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de-DE"/>
        </a:p>
      </c:txPr>
    </c:title>
    <c:autoTitleDeleted val="0"/>
    <c:plotArea>
      <c:layout>
        <c:manualLayout>
          <c:layoutTarget val="inner"/>
          <c:xMode val="edge"/>
          <c:yMode val="edge"/>
          <c:x val="4.1835017227162291E-2"/>
          <c:y val="0.10834031230466118"/>
          <c:w val="0.74610400669912147"/>
          <c:h val="0.89165968769533888"/>
        </c:manualLayout>
      </c:layout>
      <c:pieChart>
        <c:varyColors val="1"/>
        <c:ser>
          <c:idx val="0"/>
          <c:order val="0"/>
          <c:explosion val="1"/>
          <c:dPt>
            <c:idx val="0"/>
            <c:bubble3D val="0"/>
            <c:explosion val="9"/>
            <c:spPr>
              <a:solidFill>
                <a:srgbClr val="008000"/>
              </a:solidFill>
              <a:ln w="19050">
                <a:solidFill>
                  <a:schemeClr val="lt1"/>
                </a:solidFill>
              </a:ln>
              <a:effectLst/>
            </c:spPr>
            <c:extLst>
              <c:ext xmlns:c16="http://schemas.microsoft.com/office/drawing/2014/chart" uri="{C3380CC4-5D6E-409C-BE32-E72D297353CC}">
                <c16:uniqueId val="{00000001-9004-43B4-9BFC-24B8E89A944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004-43B4-9BFC-24B8E89A944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004-43B4-9BFC-24B8E89A9442}"/>
              </c:ext>
            </c:extLst>
          </c:dPt>
          <c:dLbls>
            <c:dLbl>
              <c:idx val="0"/>
              <c:tx>
                <c:rich>
                  <a:bodyPr/>
                  <a:lstStyle/>
                  <a:p>
                    <a:fld id="{EC08A8EE-D6CF-4A19-BE12-91EF6BB4C523}" type="VALUE">
                      <a:rPr lang="en-US"/>
                      <a:pPr/>
                      <a:t>[WERT]</a:t>
                    </a:fld>
                    <a:r>
                      <a:rPr lang="en-US"/>
                      <a:t>ha</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9004-43B4-9BFC-24B8E89A9442}"/>
                </c:ext>
              </c:extLst>
            </c:dLbl>
            <c:dLbl>
              <c:idx val="1"/>
              <c:layout>
                <c:manualLayout>
                  <c:x val="5.9450110998030409E-2"/>
                  <c:y val="0.23798603707367352"/>
                </c:manualLayout>
              </c:layout>
              <c:tx>
                <c:rich>
                  <a:bodyPr/>
                  <a:lstStyle/>
                  <a:p>
                    <a:fld id="{EDB6CCD9-2CAF-44E9-8364-EDD11B8ECEBD}" type="VALUE">
                      <a:rPr lang="en-US"/>
                      <a:pPr/>
                      <a:t>[WERT]</a:t>
                    </a:fld>
                    <a:r>
                      <a:rPr lang="en-US"/>
                      <a:t>ha</a:t>
                    </a:r>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9004-43B4-9BFC-24B8E89A9442}"/>
                </c:ext>
              </c:extLst>
            </c:dLbl>
            <c:dLbl>
              <c:idx val="2"/>
              <c:layout>
                <c:manualLayout>
                  <c:x val="3.4459691309426062E-2"/>
                  <c:y val="0.3022307570027353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004-43B4-9BFC-24B8E89A9442}"/>
                </c:ext>
              </c:extLst>
            </c:dLbl>
            <c:spPr>
              <a:solidFill>
                <a:srgbClr val="FFFF00"/>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de-DE"/>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'Tonnes and Hectares of HTG'!$F$31:$F$33</c:f>
              <c:numCache>
                <c:formatCode>#,##0</c:formatCode>
                <c:ptCount val="3"/>
                <c:pt idx="0">
                  <c:v>7758</c:v>
                </c:pt>
                <c:pt idx="1">
                  <c:v>27.577777777777779</c:v>
                </c:pt>
                <c:pt idx="2" formatCode="0.00%">
                  <c:v>3.5547535160837559E-3</c:v>
                </c:pt>
              </c:numCache>
            </c:numRef>
          </c:val>
          <c:extLst>
            <c:ext xmlns:c16="http://schemas.microsoft.com/office/drawing/2014/chart" uri="{C3380CC4-5D6E-409C-BE32-E72D297353CC}">
              <c16:uniqueId val="{00000006-9004-43B4-9BFC-24B8E89A9442}"/>
            </c:ext>
          </c:extLst>
        </c:ser>
        <c:dLbls>
          <c:dLblPos val="ctr"/>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accent4">
        <a:lumMod val="20000"/>
        <a:lumOff val="80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 Id="rId4"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emf"/><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8</xdr:col>
      <xdr:colOff>600075</xdr:colOff>
      <xdr:row>6</xdr:row>
      <xdr:rowOff>304800</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9050" y="0"/>
          <a:ext cx="5457825" cy="5067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523875</xdr:colOff>
      <xdr:row>1</xdr:row>
      <xdr:rowOff>47625</xdr:rowOff>
    </xdr:from>
    <xdr:to>
      <xdr:col>5</xdr:col>
      <xdr:colOff>315025</xdr:colOff>
      <xdr:row>19</xdr:row>
      <xdr:rowOff>2625</xdr:rowOff>
    </xdr:to>
    <xdr:pic>
      <xdr:nvPicPr>
        <xdr:cNvPr id="2" name="Picture 1" descr="A person standing in front of a tree&#10;&#10;Description automatically generated">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23875" y="485775"/>
          <a:ext cx="4696525" cy="3384000"/>
        </a:xfrm>
        <a:prstGeom prst="rect">
          <a:avLst/>
        </a:prstGeom>
        <a:ln w="25400">
          <a:solidFill>
            <a:schemeClr val="accent6">
              <a:lumMod val="75000"/>
            </a:schemeClr>
          </a:solidFill>
        </a:ln>
      </xdr:spPr>
    </xdr:pic>
    <xdr:clientData/>
  </xdr:twoCellAnchor>
  <xdr:twoCellAnchor>
    <xdr:from>
      <xdr:col>6</xdr:col>
      <xdr:colOff>47625</xdr:colOff>
      <xdr:row>5</xdr:row>
      <xdr:rowOff>142875</xdr:rowOff>
    </xdr:from>
    <xdr:to>
      <xdr:col>15</xdr:col>
      <xdr:colOff>38100</xdr:colOff>
      <xdr:row>33</xdr:row>
      <xdr:rowOff>19049</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23880</xdr:colOff>
      <xdr:row>2</xdr:row>
      <xdr:rowOff>11270</xdr:rowOff>
    </xdr:from>
    <xdr:to>
      <xdr:col>15</xdr:col>
      <xdr:colOff>550035</xdr:colOff>
      <xdr:row>24</xdr:row>
      <xdr:rowOff>147570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27577" y="574721"/>
          <a:ext cx="8977916" cy="4469504"/>
        </a:xfrm>
        <a:prstGeom prst="rect">
          <a:avLst/>
        </a:prstGeom>
        <a:noFill/>
        <a:ln w="12700">
          <a:solidFill>
            <a:schemeClr val="accent6">
              <a:lumMod val="75000"/>
            </a:schemeClr>
          </a:solidFill>
        </a:ln>
      </xdr:spPr>
    </xdr:pic>
    <xdr:clientData/>
  </xdr:twoCellAnchor>
  <xdr:twoCellAnchor editAs="oneCell">
    <xdr:from>
      <xdr:col>1</xdr:col>
      <xdr:colOff>26831</xdr:colOff>
      <xdr:row>26</xdr:row>
      <xdr:rowOff>39915</xdr:rowOff>
    </xdr:from>
    <xdr:to>
      <xdr:col>15</xdr:col>
      <xdr:colOff>563451</xdr:colOff>
      <xdr:row>51</xdr:row>
      <xdr:rowOff>160987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630528" y="5312204"/>
          <a:ext cx="8988381" cy="4816494"/>
        </a:xfrm>
        <a:prstGeom prst="rect">
          <a:avLst/>
        </a:prstGeom>
        <a:ln w="12700">
          <a:solidFill>
            <a:schemeClr val="accent6">
              <a:lumMod val="75000"/>
            </a:schemeClr>
          </a:solidFill>
        </a:ln>
      </xdr:spPr>
    </xdr:pic>
    <xdr:clientData/>
  </xdr:twoCellAnchor>
  <xdr:twoCellAnchor editAs="oneCell">
    <xdr:from>
      <xdr:col>17</xdr:col>
      <xdr:colOff>26830</xdr:colOff>
      <xdr:row>2</xdr:row>
      <xdr:rowOff>40246</xdr:rowOff>
    </xdr:from>
    <xdr:to>
      <xdr:col>28</xdr:col>
      <xdr:colOff>603696</xdr:colOff>
      <xdr:row>49</xdr:row>
      <xdr:rowOff>174402</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10289682" y="603697"/>
          <a:ext cx="7217535" cy="9162782"/>
        </a:xfrm>
        <a:prstGeom prst="rect">
          <a:avLst/>
        </a:prstGeom>
        <a:ln w="25400">
          <a:solidFill>
            <a:schemeClr val="accent6">
              <a:lumMod val="75000"/>
            </a:schemeClr>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11339</xdr:colOff>
      <xdr:row>0</xdr:row>
      <xdr:rowOff>0</xdr:rowOff>
    </xdr:from>
    <xdr:to>
      <xdr:col>8</xdr:col>
      <xdr:colOff>521608</xdr:colOff>
      <xdr:row>20</xdr:row>
      <xdr:rowOff>1814</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339" y="0"/>
          <a:ext cx="6123215" cy="3857171"/>
        </a:xfrm>
        <a:prstGeom prst="rect">
          <a:avLst/>
        </a:prstGeom>
        <a:ln>
          <a:solidFill>
            <a:schemeClr val="accent6">
              <a:lumMod val="75000"/>
            </a:schemeClr>
          </a:solidFill>
        </a:ln>
      </xdr:spPr>
    </xdr:pic>
    <xdr:clientData/>
  </xdr:twoCellAnchor>
  <xdr:twoCellAnchor editAs="oneCell">
    <xdr:from>
      <xdr:col>8</xdr:col>
      <xdr:colOff>510271</xdr:colOff>
      <xdr:row>0</xdr:row>
      <xdr:rowOff>1</xdr:rowOff>
    </xdr:from>
    <xdr:to>
      <xdr:col>18</xdr:col>
      <xdr:colOff>453572</xdr:colOff>
      <xdr:row>19</xdr:row>
      <xdr:rowOff>176554</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123217" y="1"/>
          <a:ext cx="6066516" cy="3839142"/>
        </a:xfrm>
        <a:prstGeom prst="rect">
          <a:avLst/>
        </a:prstGeom>
        <a:ln>
          <a:solidFill>
            <a:schemeClr val="accent6">
              <a:lumMod val="75000"/>
            </a:schemeClr>
          </a:solidFill>
        </a:ln>
      </xdr:spPr>
    </xdr:pic>
    <xdr:clientData/>
  </xdr:twoCellAnchor>
  <xdr:twoCellAnchor editAs="oneCell">
    <xdr:from>
      <xdr:col>18</xdr:col>
      <xdr:colOff>419553</xdr:colOff>
      <xdr:row>0</xdr:row>
      <xdr:rowOff>0</xdr:rowOff>
    </xdr:from>
    <xdr:to>
      <xdr:col>28</xdr:col>
      <xdr:colOff>430893</xdr:colOff>
      <xdr:row>20</xdr:row>
      <xdr:rowOff>0</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2155714" y="0"/>
          <a:ext cx="6134554" cy="3855357"/>
        </a:xfrm>
        <a:prstGeom prst="rect">
          <a:avLst/>
        </a:prstGeom>
        <a:ln>
          <a:solidFill>
            <a:schemeClr val="accent6">
              <a:lumMod val="75000"/>
            </a:schemeClr>
          </a:solidFill>
        </a:ln>
      </xdr:spPr>
    </xdr:pic>
    <xdr:clientData/>
  </xdr:twoCellAnchor>
  <xdr:twoCellAnchor editAs="oneCell">
    <xdr:from>
      <xdr:col>28</xdr:col>
      <xdr:colOff>442232</xdr:colOff>
      <xdr:row>0</xdr:row>
      <xdr:rowOff>11339</xdr:rowOff>
    </xdr:from>
    <xdr:to>
      <xdr:col>36</xdr:col>
      <xdr:colOff>600982</xdr:colOff>
      <xdr:row>20</xdr:row>
      <xdr:rowOff>3278</xdr:rowOff>
    </xdr:to>
    <xdr:pic>
      <xdr:nvPicPr>
        <xdr:cNvPr id="8" name="Picture 7" descr="Image result for silage clamp">
          <a:extLst>
            <a:ext uri="{FF2B5EF4-FFF2-40B4-BE49-F238E27FC236}">
              <a16:creationId xmlns:a16="http://schemas.microsoft.com/office/drawing/2014/main" id="{00000000-0008-0000-0400-000008000000}"/>
            </a:ext>
          </a:extLst>
        </xdr:cNvPr>
        <xdr:cNvPicPr>
          <a:picLocks noChangeAspect="1" noChangeArrowheads="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bwMode="auto">
        <a:xfrm>
          <a:off x="18301607" y="11339"/>
          <a:ext cx="5057321" cy="3847296"/>
        </a:xfrm>
        <a:prstGeom prst="rect">
          <a:avLst/>
        </a:prstGeom>
        <a:noFill/>
        <a:ln w="9525">
          <a:solidFill>
            <a:schemeClr val="accent6">
              <a:lumMod val="7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95250</xdr:colOff>
      <xdr:row>0</xdr:row>
      <xdr:rowOff>9525</xdr:rowOff>
    </xdr:from>
    <xdr:to>
      <xdr:col>20</xdr:col>
      <xdr:colOff>104775</xdr:colOff>
      <xdr:row>19</xdr:row>
      <xdr:rowOff>114820</xdr:rowOff>
    </xdr:to>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t="14696"/>
        <a:stretch/>
      </xdr:blipFill>
      <xdr:spPr bwMode="auto">
        <a:xfrm>
          <a:off x="4972050" y="9525"/>
          <a:ext cx="7324725" cy="3724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28575</xdr:rowOff>
    </xdr:from>
    <xdr:to>
      <xdr:col>8</xdr:col>
      <xdr:colOff>152399</xdr:colOff>
      <xdr:row>22</xdr:row>
      <xdr:rowOff>108769</xdr:rowOff>
    </xdr:to>
    <xdr:pic>
      <xdr:nvPicPr>
        <xdr:cNvPr id="6" name="Picture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0" y="28575"/>
          <a:ext cx="5029199" cy="4271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0</xdr:row>
      <xdr:rowOff>0</xdr:rowOff>
    </xdr:from>
    <xdr:to>
      <xdr:col>30</xdr:col>
      <xdr:colOff>133350</xdr:colOff>
      <xdr:row>19</xdr:row>
      <xdr:rowOff>97438</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12192000" y="0"/>
          <a:ext cx="6229350" cy="37169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10"/>
  <sheetViews>
    <sheetView showGridLines="0" tabSelected="1" workbookViewId="0">
      <selection activeCell="J2" sqref="J2:N3"/>
    </sheetView>
  </sheetViews>
  <sheetFormatPr baseColWidth="10" defaultColWidth="9.140625" defaultRowHeight="15" x14ac:dyDescent="0.25"/>
  <cols>
    <col min="10" max="14" width="20.7109375" customWidth="1"/>
  </cols>
  <sheetData>
    <row r="1" spans="1:15" ht="45" customHeight="1" x14ac:dyDescent="0.75">
      <c r="A1" s="320"/>
      <c r="B1" s="320"/>
      <c r="C1" s="320"/>
      <c r="D1" s="320"/>
      <c r="E1" s="320"/>
      <c r="F1" s="320"/>
      <c r="G1" s="320"/>
      <c r="H1" s="320"/>
      <c r="I1" s="321"/>
      <c r="J1" s="412" t="s">
        <v>61</v>
      </c>
      <c r="K1" s="413"/>
      <c r="L1" s="413"/>
      <c r="M1" s="413"/>
      <c r="N1" s="414"/>
      <c r="O1" s="58"/>
    </row>
    <row r="2" spans="1:15" ht="150" customHeight="1" x14ac:dyDescent="0.75">
      <c r="A2" s="320"/>
      <c r="B2" s="320"/>
      <c r="C2" s="320"/>
      <c r="D2" s="320"/>
      <c r="E2" s="320"/>
      <c r="F2" s="320"/>
      <c r="G2" s="320"/>
      <c r="H2" s="320"/>
      <c r="I2" s="321"/>
      <c r="J2" s="416" t="s">
        <v>183</v>
      </c>
      <c r="K2" s="417"/>
      <c r="L2" s="417"/>
      <c r="M2" s="417"/>
      <c r="N2" s="418"/>
      <c r="O2" s="58"/>
    </row>
    <row r="3" spans="1:15" ht="45" customHeight="1" thickBot="1" x14ac:dyDescent="0.8">
      <c r="A3" s="320"/>
      <c r="B3" s="320"/>
      <c r="C3" s="320"/>
      <c r="D3" s="320"/>
      <c r="E3" s="320"/>
      <c r="F3" s="320"/>
      <c r="G3" s="320"/>
      <c r="H3" s="320"/>
      <c r="I3" s="321"/>
      <c r="J3" s="419"/>
      <c r="K3" s="420"/>
      <c r="L3" s="420"/>
      <c r="M3" s="420"/>
      <c r="N3" s="421"/>
      <c r="O3" s="58"/>
    </row>
    <row r="4" spans="1:15" ht="45" customHeight="1" x14ac:dyDescent="0.75">
      <c r="A4" s="415"/>
      <c r="B4" s="415"/>
      <c r="C4" s="415"/>
      <c r="D4" s="415"/>
      <c r="E4" s="415"/>
      <c r="F4" s="415"/>
      <c r="G4" s="415"/>
      <c r="H4" s="415"/>
      <c r="I4" s="415"/>
      <c r="J4" s="422" t="s">
        <v>198</v>
      </c>
      <c r="K4" s="423"/>
      <c r="L4" s="423"/>
      <c r="M4" s="423"/>
      <c r="N4" s="424"/>
      <c r="O4" s="58"/>
    </row>
    <row r="5" spans="1:15" ht="45" customHeight="1" x14ac:dyDescent="0.75">
      <c r="A5" s="415"/>
      <c r="B5" s="415"/>
      <c r="C5" s="415"/>
      <c r="D5" s="415"/>
      <c r="E5" s="415"/>
      <c r="F5" s="415"/>
      <c r="G5" s="415"/>
      <c r="H5" s="415"/>
      <c r="I5" s="415"/>
      <c r="J5" s="425"/>
      <c r="K5" s="426"/>
      <c r="L5" s="426"/>
      <c r="M5" s="426"/>
      <c r="N5" s="427"/>
      <c r="O5" s="58"/>
    </row>
    <row r="6" spans="1:15" ht="45" customHeight="1" thickBot="1" x14ac:dyDescent="0.8">
      <c r="A6" s="415"/>
      <c r="B6" s="415"/>
      <c r="C6" s="415"/>
      <c r="D6" s="415"/>
      <c r="E6" s="415"/>
      <c r="F6" s="415"/>
      <c r="G6" s="415"/>
      <c r="H6" s="415"/>
      <c r="I6" s="415"/>
      <c r="J6" s="428"/>
      <c r="K6" s="429"/>
      <c r="L6" s="429"/>
      <c r="M6" s="429"/>
      <c r="N6" s="430"/>
      <c r="O6" s="58"/>
    </row>
    <row r="7" spans="1:15" ht="60" customHeight="1" x14ac:dyDescent="0.75">
      <c r="A7" s="415"/>
      <c r="B7" s="415"/>
      <c r="C7" s="415"/>
      <c r="D7" s="415"/>
      <c r="E7" s="415"/>
      <c r="F7" s="415"/>
      <c r="G7" s="415"/>
      <c r="H7" s="415"/>
      <c r="I7" s="415"/>
      <c r="N7" s="58"/>
    </row>
    <row r="8" spans="1:15" ht="60" customHeight="1" x14ac:dyDescent="0.75">
      <c r="A8" s="415"/>
      <c r="B8" s="415"/>
      <c r="C8" s="415"/>
      <c r="D8" s="415"/>
      <c r="E8" s="415"/>
      <c r="F8" s="415"/>
      <c r="G8" s="415"/>
      <c r="H8" s="415"/>
      <c r="I8" s="415"/>
    </row>
    <row r="9" spans="1:15" ht="60" customHeight="1" x14ac:dyDescent="0.75">
      <c r="A9" s="415"/>
      <c r="B9" s="415"/>
      <c r="C9" s="415"/>
      <c r="D9" s="415"/>
      <c r="E9" s="415"/>
      <c r="F9" s="415"/>
      <c r="G9" s="415"/>
      <c r="H9" s="415"/>
      <c r="I9" s="415"/>
    </row>
    <row r="10" spans="1:15" ht="60" customHeight="1" x14ac:dyDescent="0.75">
      <c r="A10" s="415"/>
      <c r="B10" s="415"/>
      <c r="C10" s="415"/>
      <c r="D10" s="415"/>
      <c r="E10" s="415"/>
      <c r="F10" s="415"/>
      <c r="G10" s="415"/>
      <c r="H10" s="415"/>
      <c r="I10" s="415"/>
    </row>
  </sheetData>
  <sheetProtection algorithmName="SHA-512" hashValue="z4AvIFrhrQKw7IA5QXHVacBx9q7CqGbWxJkAHXTofQO8cbWhbgB16tW4LNU9UcuyLWB0CDeQGxucExPkXhI7YQ==" saltValue="pOyX1uMUi8LI1ewWz6DB8g==" spinCount="100000" sheet="1" objects="1" scenarios="1" selectLockedCells="1" selectUnlockedCells="1"/>
  <mergeCells count="10">
    <mergeCell ref="J1:N1"/>
    <mergeCell ref="A9:I9"/>
    <mergeCell ref="A10:I10"/>
    <mergeCell ref="A5:I5"/>
    <mergeCell ref="A6:I6"/>
    <mergeCell ref="A7:I7"/>
    <mergeCell ref="A8:I8"/>
    <mergeCell ref="A4:I4"/>
    <mergeCell ref="J2:N3"/>
    <mergeCell ref="J4:N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39"/>
  <sheetViews>
    <sheetView workbookViewId="0">
      <selection activeCell="H17" sqref="H17"/>
    </sheetView>
  </sheetViews>
  <sheetFormatPr baseColWidth="10" defaultColWidth="11.42578125" defaultRowHeight="15" x14ac:dyDescent="0.25"/>
  <cols>
    <col min="1" max="1" width="25.5703125" style="365" customWidth="1"/>
    <col min="2" max="2" width="11.7109375" style="365" bestFit="1" customWidth="1"/>
    <col min="3" max="3" width="14.140625" style="365" bestFit="1" customWidth="1"/>
    <col min="4" max="6" width="11.7109375" style="365" bestFit="1" customWidth="1"/>
    <col min="7" max="7" width="16.85546875" style="365" bestFit="1" customWidth="1"/>
    <col min="8" max="8" width="11.7109375" style="365" bestFit="1" customWidth="1"/>
    <col min="9" max="9" width="15.140625" style="406" bestFit="1" customWidth="1"/>
    <col min="10" max="10" width="16.42578125" style="406" bestFit="1" customWidth="1"/>
    <col min="11" max="11" width="11.7109375" style="365" bestFit="1" customWidth="1"/>
    <col min="12" max="12" width="11.42578125" style="365"/>
    <col min="13" max="13" width="11.7109375" style="365" bestFit="1" customWidth="1"/>
    <col min="14" max="14" width="11.42578125" style="365"/>
    <col min="15" max="16384" width="11.42578125" style="3"/>
  </cols>
  <sheetData>
    <row r="2" spans="1:16" s="56" customFormat="1" ht="42.75" x14ac:dyDescent="0.25">
      <c r="A2" s="363"/>
      <c r="B2" s="385" t="s">
        <v>157</v>
      </c>
      <c r="C2" s="385" t="s">
        <v>157</v>
      </c>
      <c r="D2" s="385" t="s">
        <v>158</v>
      </c>
      <c r="E2" s="385" t="s">
        <v>159</v>
      </c>
      <c r="F2" s="385" t="s">
        <v>160</v>
      </c>
      <c r="G2" s="385" t="s">
        <v>161</v>
      </c>
      <c r="H2" s="385" t="s">
        <v>161</v>
      </c>
      <c r="I2" s="402" t="s">
        <v>161</v>
      </c>
      <c r="J2" s="402" t="s">
        <v>206</v>
      </c>
      <c r="K2" s="386" t="s">
        <v>162</v>
      </c>
      <c r="L2" s="387" t="s">
        <v>163</v>
      </c>
      <c r="M2" s="387" t="s">
        <v>164</v>
      </c>
      <c r="N2" s="363"/>
      <c r="O2" s="364" t="s">
        <v>157</v>
      </c>
      <c r="P2" s="363"/>
    </row>
    <row r="3" spans="1:16" ht="28.5" x14ac:dyDescent="0.25">
      <c r="B3" s="388" t="s">
        <v>181</v>
      </c>
      <c r="C3" s="388" t="s">
        <v>180</v>
      </c>
      <c r="D3" s="388" t="s">
        <v>166</v>
      </c>
      <c r="E3" s="388" t="s">
        <v>167</v>
      </c>
      <c r="F3" s="388" t="s">
        <v>168</v>
      </c>
      <c r="G3" s="388" t="s">
        <v>169</v>
      </c>
      <c r="H3" s="388" t="s">
        <v>170</v>
      </c>
      <c r="I3" s="403" t="s">
        <v>205</v>
      </c>
      <c r="J3" s="403" t="s">
        <v>207</v>
      </c>
      <c r="K3" s="389" t="s">
        <v>171</v>
      </c>
      <c r="L3" s="389" t="s">
        <v>171</v>
      </c>
      <c r="M3" s="389" t="s">
        <v>171</v>
      </c>
      <c r="O3" s="366" t="s">
        <v>165</v>
      </c>
      <c r="P3" s="365"/>
    </row>
    <row r="4" spans="1:16" s="10" customFormat="1" x14ac:dyDescent="0.25">
      <c r="A4" s="390" t="s">
        <v>178</v>
      </c>
      <c r="B4" s="367">
        <v>34</v>
      </c>
      <c r="C4" s="368">
        <f>B4*365</f>
        <v>12410</v>
      </c>
      <c r="D4" s="369">
        <v>0.25</v>
      </c>
      <c r="E4" s="369">
        <v>0.89</v>
      </c>
      <c r="F4" s="370">
        <v>600</v>
      </c>
      <c r="G4" s="371">
        <f t="shared" ref="G4:G11" si="0">B4*D4*E4*F4*H4</f>
        <v>2451.06</v>
      </c>
      <c r="H4" s="372">
        <v>0.54</v>
      </c>
      <c r="I4" s="404">
        <f>G4*365</f>
        <v>894636.9</v>
      </c>
      <c r="J4" s="404">
        <f>I4*10</f>
        <v>8946369</v>
      </c>
      <c r="K4" s="370" t="s">
        <v>174</v>
      </c>
      <c r="L4" s="370" t="s">
        <v>174</v>
      </c>
      <c r="M4" s="370" t="s">
        <v>174</v>
      </c>
      <c r="N4" s="365"/>
      <c r="O4" s="373">
        <v>19.18</v>
      </c>
      <c r="P4" s="365"/>
    </row>
    <row r="5" spans="1:16" s="10" customFormat="1" x14ac:dyDescent="0.25">
      <c r="A5" s="390" t="s">
        <v>184</v>
      </c>
      <c r="B5" s="367">
        <f>B4*5%</f>
        <v>1.7000000000000002</v>
      </c>
      <c r="C5" s="367">
        <f>C4*5%</f>
        <v>620.5</v>
      </c>
      <c r="D5" s="369">
        <v>1.4999999999999999E-2</v>
      </c>
      <c r="E5" s="369">
        <v>0.98</v>
      </c>
      <c r="F5" s="370">
        <v>800</v>
      </c>
      <c r="G5" s="371">
        <f t="shared" si="0"/>
        <v>11.995200000000001</v>
      </c>
      <c r="H5" s="372">
        <v>0.6</v>
      </c>
      <c r="I5" s="404">
        <f t="shared" ref="I5:I11" si="1">G5*365</f>
        <v>4378.2480000000005</v>
      </c>
      <c r="J5" s="404">
        <f t="shared" ref="J5:J11" si="2">I5*10</f>
        <v>43782.48</v>
      </c>
      <c r="K5" s="370"/>
      <c r="L5" s="370"/>
      <c r="M5" s="370"/>
      <c r="N5" s="365"/>
      <c r="O5" s="373"/>
      <c r="P5" s="365"/>
    </row>
    <row r="6" spans="1:16" s="10" customFormat="1" x14ac:dyDescent="0.25">
      <c r="A6" s="390" t="s">
        <v>177</v>
      </c>
      <c r="B6" s="367">
        <v>5</v>
      </c>
      <c r="C6" s="368">
        <f t="shared" ref="C6:C11" si="3">B6*365</f>
        <v>1825</v>
      </c>
      <c r="D6" s="369">
        <v>0.2</v>
      </c>
      <c r="E6" s="369">
        <v>0.91</v>
      </c>
      <c r="F6" s="370">
        <v>550</v>
      </c>
      <c r="G6" s="371">
        <f t="shared" si="0"/>
        <v>275.27500000000003</v>
      </c>
      <c r="H6" s="372">
        <v>0.55000000000000004</v>
      </c>
      <c r="I6" s="404">
        <f t="shared" si="1"/>
        <v>100475.37500000001</v>
      </c>
      <c r="J6" s="404">
        <f t="shared" si="2"/>
        <v>1004753.7500000001</v>
      </c>
      <c r="K6" s="374">
        <v>20.8</v>
      </c>
      <c r="L6" s="374">
        <v>3.7</v>
      </c>
      <c r="M6" s="374">
        <v>25</v>
      </c>
      <c r="N6" s="365"/>
      <c r="O6" s="373">
        <v>5</v>
      </c>
      <c r="P6" s="365"/>
    </row>
    <row r="7" spans="1:16" s="10" customFormat="1" x14ac:dyDescent="0.25">
      <c r="A7" s="390" t="s">
        <v>156</v>
      </c>
      <c r="B7" s="367">
        <v>0</v>
      </c>
      <c r="C7" s="367">
        <f t="shared" si="3"/>
        <v>0</v>
      </c>
      <c r="D7" s="369">
        <v>0.03</v>
      </c>
      <c r="E7" s="369">
        <v>0.75</v>
      </c>
      <c r="F7" s="370">
        <v>450</v>
      </c>
      <c r="G7" s="371">
        <f t="shared" si="0"/>
        <v>0</v>
      </c>
      <c r="H7" s="372">
        <v>0.6</v>
      </c>
      <c r="I7" s="404">
        <f t="shared" si="1"/>
        <v>0</v>
      </c>
      <c r="J7" s="404">
        <f t="shared" si="2"/>
        <v>0</v>
      </c>
      <c r="K7" s="374">
        <v>112</v>
      </c>
      <c r="L7" s="374">
        <v>24.416</v>
      </c>
      <c r="M7" s="374">
        <v>63.08</v>
      </c>
      <c r="N7" s="365"/>
      <c r="O7" s="373">
        <v>30.282191780821918</v>
      </c>
      <c r="P7" s="365"/>
    </row>
    <row r="8" spans="1:16" s="10" customFormat="1" x14ac:dyDescent="0.25">
      <c r="A8" s="390" t="s">
        <v>172</v>
      </c>
      <c r="B8" s="367">
        <v>0</v>
      </c>
      <c r="C8" s="367">
        <f t="shared" si="3"/>
        <v>0</v>
      </c>
      <c r="D8" s="369">
        <v>0.218</v>
      </c>
      <c r="E8" s="369">
        <v>0.82299999999999995</v>
      </c>
      <c r="F8" s="370">
        <v>337</v>
      </c>
      <c r="G8" s="371">
        <f t="shared" si="0"/>
        <v>0</v>
      </c>
      <c r="H8" s="372">
        <v>0.53200000000000003</v>
      </c>
      <c r="I8" s="404">
        <f t="shared" si="1"/>
        <v>0</v>
      </c>
      <c r="J8" s="404">
        <f t="shared" si="2"/>
        <v>0</v>
      </c>
      <c r="K8" s="374">
        <v>22.08</v>
      </c>
      <c r="L8" s="374">
        <v>5.8769999999999998</v>
      </c>
      <c r="M8" s="374">
        <v>33.200000000000003</v>
      </c>
      <c r="N8" s="365"/>
      <c r="O8" s="373">
        <v>5.6849315068493151</v>
      </c>
      <c r="P8" s="365"/>
    </row>
    <row r="9" spans="1:16" s="10" customFormat="1" x14ac:dyDescent="0.25">
      <c r="A9" s="390" t="s">
        <v>173</v>
      </c>
      <c r="B9" s="367">
        <v>0</v>
      </c>
      <c r="C9" s="367">
        <f t="shared" si="3"/>
        <v>0</v>
      </c>
      <c r="D9" s="369">
        <v>0.13</v>
      </c>
      <c r="E9" s="369">
        <v>0.91</v>
      </c>
      <c r="F9" s="370">
        <v>620</v>
      </c>
      <c r="G9" s="371">
        <f t="shared" si="0"/>
        <v>0</v>
      </c>
      <c r="H9" s="372">
        <v>0.6</v>
      </c>
      <c r="I9" s="404">
        <f t="shared" si="1"/>
        <v>0</v>
      </c>
      <c r="J9" s="404">
        <f t="shared" si="2"/>
        <v>0</v>
      </c>
      <c r="K9" s="370" t="s">
        <v>174</v>
      </c>
      <c r="L9" s="370" t="s">
        <v>174</v>
      </c>
      <c r="M9" s="370" t="s">
        <v>174</v>
      </c>
      <c r="N9" s="365"/>
      <c r="O9" s="373">
        <v>2.4657534246575343</v>
      </c>
      <c r="P9" s="365"/>
    </row>
    <row r="10" spans="1:16" s="10" customFormat="1" x14ac:dyDescent="0.25">
      <c r="A10" s="390" t="s">
        <v>175</v>
      </c>
      <c r="B10" s="367">
        <v>0</v>
      </c>
      <c r="C10" s="367">
        <f t="shared" si="3"/>
        <v>0</v>
      </c>
      <c r="D10" s="369">
        <v>0.11</v>
      </c>
      <c r="E10" s="369">
        <v>0.94</v>
      </c>
      <c r="F10" s="370">
        <v>656</v>
      </c>
      <c r="G10" s="371">
        <f t="shared" si="0"/>
        <v>0</v>
      </c>
      <c r="H10" s="372">
        <v>0.51</v>
      </c>
      <c r="I10" s="404">
        <f t="shared" si="1"/>
        <v>0</v>
      </c>
      <c r="J10" s="404">
        <f t="shared" si="2"/>
        <v>0</v>
      </c>
      <c r="K10" s="374">
        <v>15.2</v>
      </c>
      <c r="L10" s="374" t="s">
        <v>174</v>
      </c>
      <c r="M10" s="374">
        <v>27.4</v>
      </c>
      <c r="N10" s="375"/>
      <c r="O10" s="373">
        <v>2.4657534246575343</v>
      </c>
      <c r="P10" s="365"/>
    </row>
    <row r="11" spans="1:16" s="10" customFormat="1" x14ac:dyDescent="0.25">
      <c r="A11" s="390" t="s">
        <v>176</v>
      </c>
      <c r="B11" s="367">
        <v>0</v>
      </c>
      <c r="C11" s="367">
        <f t="shared" si="3"/>
        <v>0</v>
      </c>
      <c r="D11" s="369">
        <v>0.18</v>
      </c>
      <c r="E11" s="369">
        <v>0.95</v>
      </c>
      <c r="F11" s="370">
        <v>800</v>
      </c>
      <c r="G11" s="371">
        <f t="shared" si="0"/>
        <v>0</v>
      </c>
      <c r="H11" s="372">
        <v>0.65</v>
      </c>
      <c r="I11" s="404">
        <f t="shared" si="1"/>
        <v>0</v>
      </c>
      <c r="J11" s="404">
        <f t="shared" si="2"/>
        <v>0</v>
      </c>
      <c r="K11" s="374">
        <v>27.2</v>
      </c>
      <c r="L11" s="374">
        <v>2.25</v>
      </c>
      <c r="M11" s="374">
        <v>48.14</v>
      </c>
      <c r="N11" s="376"/>
      <c r="O11" s="373">
        <v>3</v>
      </c>
      <c r="P11" s="365"/>
    </row>
    <row r="12" spans="1:16" s="355" customFormat="1" x14ac:dyDescent="0.25">
      <c r="A12" s="391" t="s">
        <v>26</v>
      </c>
      <c r="B12" s="378">
        <f>SUM(B4:B11)</f>
        <v>40.700000000000003</v>
      </c>
      <c r="C12" s="379">
        <f>SUM(C4:C11)</f>
        <v>14855.5</v>
      </c>
      <c r="D12" s="380">
        <f>(B4*D4+B5*D5+B6*D6+B7*D7+B8*D8+B9*D9+B10*D10+B11*D11)/B12</f>
        <v>0.23404176904176902</v>
      </c>
      <c r="E12" s="377"/>
      <c r="F12" s="377"/>
      <c r="G12" s="381">
        <f>SUM(G4:G11)</f>
        <v>2738.3301999999999</v>
      </c>
      <c r="H12" s="377"/>
      <c r="I12" s="405"/>
      <c r="J12" s="405"/>
      <c r="K12" s="377"/>
      <c r="L12" s="377"/>
      <c r="M12" s="377"/>
      <c r="N12" s="377"/>
      <c r="O12" s="382">
        <f>SUM(O4:O11)</f>
        <v>68.078630136986305</v>
      </c>
      <c r="P12" s="377"/>
    </row>
    <row r="14" spans="1:16" x14ac:dyDescent="0.25">
      <c r="C14" s="431" t="s">
        <v>189</v>
      </c>
      <c r="D14" s="432"/>
      <c r="E14" s="432"/>
      <c r="F14" s="433"/>
      <c r="G14" s="393">
        <f>8760*90%</f>
        <v>7884</v>
      </c>
      <c r="H14" s="392" t="s">
        <v>179</v>
      </c>
    </row>
    <row r="15" spans="1:16" x14ac:dyDescent="0.25">
      <c r="C15" s="431" t="s">
        <v>190</v>
      </c>
      <c r="D15" s="432"/>
      <c r="E15" s="432"/>
      <c r="F15" s="433"/>
      <c r="G15" s="392">
        <v>40</v>
      </c>
      <c r="H15" s="392" t="s">
        <v>170</v>
      </c>
    </row>
    <row r="16" spans="1:16" x14ac:dyDescent="0.25">
      <c r="C16" s="431" t="s">
        <v>194</v>
      </c>
      <c r="D16" s="432"/>
      <c r="E16" s="432"/>
      <c r="F16" s="433"/>
      <c r="G16" s="393">
        <f>G12*9.97*365*G15/100/G14</f>
        <v>505.5768906296297</v>
      </c>
      <c r="H16" s="392" t="s">
        <v>195</v>
      </c>
    </row>
    <row r="17" spans="2:8" x14ac:dyDescent="0.25">
      <c r="C17" s="431" t="s">
        <v>186</v>
      </c>
      <c r="D17" s="432"/>
      <c r="E17" s="432"/>
      <c r="F17" s="433"/>
      <c r="G17" s="394">
        <f>G14*G16</f>
        <v>3985968.2057240005</v>
      </c>
      <c r="H17" s="392" t="s">
        <v>187</v>
      </c>
    </row>
    <row r="18" spans="2:8" x14ac:dyDescent="0.25">
      <c r="C18" s="431" t="s">
        <v>191</v>
      </c>
      <c r="D18" s="432"/>
      <c r="E18" s="432"/>
      <c r="F18" s="433"/>
      <c r="G18" s="395">
        <v>0.05</v>
      </c>
      <c r="H18" s="392"/>
    </row>
    <row r="19" spans="2:8" x14ac:dyDescent="0.25">
      <c r="C19" s="431" t="s">
        <v>192</v>
      </c>
      <c r="D19" s="432"/>
      <c r="E19" s="432"/>
      <c r="F19" s="433"/>
      <c r="G19" s="394">
        <f>G17*G18</f>
        <v>199298.41028620003</v>
      </c>
      <c r="H19" s="392" t="s">
        <v>187</v>
      </c>
    </row>
    <row r="20" spans="2:8" x14ac:dyDescent="0.25">
      <c r="C20" s="431" t="s">
        <v>193</v>
      </c>
      <c r="D20" s="432"/>
      <c r="E20" s="432"/>
      <c r="F20" s="433"/>
      <c r="G20" s="394">
        <f>G17-G19</f>
        <v>3786669.7954378002</v>
      </c>
      <c r="H20" s="392" t="s">
        <v>187</v>
      </c>
    </row>
    <row r="22" spans="2:8" x14ac:dyDescent="0.25">
      <c r="B22" s="383" t="s">
        <v>196</v>
      </c>
    </row>
    <row r="23" spans="2:8" x14ac:dyDescent="0.25">
      <c r="B23" s="358">
        <v>0</v>
      </c>
    </row>
    <row r="24" spans="2:8" x14ac:dyDescent="0.25">
      <c r="B24" s="358">
        <v>0.01</v>
      </c>
    </row>
    <row r="25" spans="2:8" x14ac:dyDescent="0.25">
      <c r="B25" s="358">
        <v>0.02</v>
      </c>
    </row>
    <row r="26" spans="2:8" x14ac:dyDescent="0.25">
      <c r="B26" s="358">
        <v>0.03</v>
      </c>
    </row>
    <row r="27" spans="2:8" x14ac:dyDescent="0.25">
      <c r="B27" s="358">
        <v>0.04</v>
      </c>
    </row>
    <row r="28" spans="2:8" x14ac:dyDescent="0.25">
      <c r="B28" s="358">
        <v>0.05</v>
      </c>
    </row>
    <row r="29" spans="2:8" x14ac:dyDescent="0.25">
      <c r="B29" s="358">
        <v>0.06</v>
      </c>
    </row>
    <row r="30" spans="2:8" x14ac:dyDescent="0.25">
      <c r="B30" s="358">
        <v>7.0000000000000007E-2</v>
      </c>
    </row>
    <row r="31" spans="2:8" x14ac:dyDescent="0.25">
      <c r="B31" s="358">
        <v>0.08</v>
      </c>
    </row>
    <row r="32" spans="2:8" x14ac:dyDescent="0.25">
      <c r="B32" s="358">
        <v>0.09</v>
      </c>
    </row>
    <row r="33" spans="1:2" x14ac:dyDescent="0.25">
      <c r="B33" s="358">
        <v>0.1</v>
      </c>
    </row>
    <row r="39" spans="1:2" x14ac:dyDescent="0.25">
      <c r="A39" s="365">
        <f>'Substrates inputs'!G16*'Substrates inputs'!G14</f>
        <v>3985968.2057240005</v>
      </c>
    </row>
  </sheetData>
  <sheetProtection algorithmName="SHA-512" hashValue="6LKGK74GjPUHa86O/0QRaGi796GBFp5ULgkAYNz1OutuuFxeeTyQ4vHDt2LA+apYIRYKXZmsg8+vYuEP1nPLTQ==" saltValue="/Q8asHGNA9vcOT3xfs1bxQ==" spinCount="100000" sheet="1" objects="1" scenarios="1" selectLockedCells="1" selectUnlockedCells="1"/>
  <mergeCells count="7">
    <mergeCell ref="C20:F20"/>
    <mergeCell ref="C14:F14"/>
    <mergeCell ref="C15:F15"/>
    <mergeCell ref="C16:F16"/>
    <mergeCell ref="C17:F17"/>
    <mergeCell ref="C18:F18"/>
    <mergeCell ref="C19:F19"/>
  </mergeCells>
  <dataValidations count="1">
    <dataValidation type="list" allowBlank="1" showInputMessage="1" showErrorMessage="1" sqref="G18" xr:uid="{00000000-0002-0000-0100-000000000000}">
      <formula1>$B$23:$B$33</formula1>
    </dataValidation>
  </dataValidations>
  <pageMargins left="0.7" right="0.7" top="0.78740157499999996" bottom="0.78740157499999996" header="0.3" footer="0.3"/>
  <pageSetup paperSize="9" orientation="portrait" r:id="rId1"/>
  <ignoredErrors>
    <ignoredError sqref="C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8"/>
  <sheetViews>
    <sheetView workbookViewId="0">
      <selection activeCell="F15" sqref="F15"/>
    </sheetView>
  </sheetViews>
  <sheetFormatPr baseColWidth="10" defaultColWidth="9.140625" defaultRowHeight="15" x14ac:dyDescent="0.25"/>
  <cols>
    <col min="1" max="1" width="10.7109375" style="357" customWidth="1"/>
    <col min="2" max="2" width="15.7109375" style="399" customWidth="1"/>
    <col min="3" max="5" width="15.7109375" customWidth="1"/>
    <col min="6" max="6" width="25.7109375" customWidth="1"/>
    <col min="7" max="7" width="9.5703125" bestFit="1" customWidth="1"/>
  </cols>
  <sheetData>
    <row r="1" spans="1:16" ht="15" customHeight="1" x14ac:dyDescent="0.25">
      <c r="A1" s="434"/>
      <c r="B1" s="434"/>
      <c r="C1" s="434"/>
      <c r="D1" s="434"/>
      <c r="E1" s="434"/>
      <c r="F1" s="434"/>
    </row>
    <row r="2" spans="1:16" x14ac:dyDescent="0.25">
      <c r="A2" s="356"/>
      <c r="B2" s="398"/>
      <c r="C2" s="150"/>
      <c r="D2" s="150"/>
      <c r="E2" s="150"/>
      <c r="F2" s="150"/>
    </row>
    <row r="3" spans="1:16" x14ac:dyDescent="0.25">
      <c r="A3" s="356"/>
      <c r="B3" s="398"/>
      <c r="C3" s="150"/>
      <c r="D3" s="150"/>
      <c r="E3" s="150"/>
      <c r="F3" s="150"/>
    </row>
    <row r="4" spans="1:16" x14ac:dyDescent="0.25">
      <c r="A4" s="356"/>
      <c r="B4" s="398"/>
      <c r="C4" s="150"/>
      <c r="D4" s="150"/>
      <c r="E4" s="150"/>
      <c r="F4" s="150"/>
    </row>
    <row r="5" spans="1:16" x14ac:dyDescent="0.25">
      <c r="A5" s="356"/>
      <c r="B5" s="398"/>
      <c r="C5" s="150"/>
      <c r="D5" s="150"/>
      <c r="E5" s="150"/>
      <c r="F5" s="150"/>
    </row>
    <row r="6" spans="1:16" x14ac:dyDescent="0.25">
      <c r="A6" s="356"/>
      <c r="B6" s="398"/>
      <c r="C6" s="150"/>
      <c r="D6" s="150"/>
      <c r="E6" s="150"/>
      <c r="F6" s="150"/>
      <c r="K6" s="149"/>
    </row>
    <row r="7" spans="1:16" x14ac:dyDescent="0.25">
      <c r="A7" s="356"/>
      <c r="B7" s="398"/>
      <c r="C7" s="150"/>
      <c r="D7" s="150"/>
      <c r="E7" s="150"/>
      <c r="F7" s="150"/>
      <c r="K7" s="149"/>
      <c r="P7" s="149"/>
    </row>
    <row r="8" spans="1:16" x14ac:dyDescent="0.25">
      <c r="A8" s="356"/>
      <c r="B8" s="398"/>
      <c r="C8" s="150"/>
      <c r="D8" s="150"/>
      <c r="E8" s="150"/>
      <c r="F8" s="150"/>
    </row>
    <row r="9" spans="1:16" x14ac:dyDescent="0.25">
      <c r="A9" s="356"/>
      <c r="B9" s="398"/>
      <c r="C9" s="150"/>
      <c r="D9" s="150"/>
      <c r="E9" s="150"/>
      <c r="F9" s="150"/>
    </row>
    <row r="10" spans="1:16" x14ac:dyDescent="0.25">
      <c r="A10" s="356"/>
      <c r="B10" s="398"/>
      <c r="C10" s="150"/>
      <c r="D10" s="150"/>
      <c r="E10" s="150"/>
      <c r="F10" s="150"/>
    </row>
    <row r="11" spans="1:16" x14ac:dyDescent="0.25">
      <c r="A11" s="356"/>
      <c r="B11" s="398"/>
      <c r="C11" s="150"/>
      <c r="D11" s="150"/>
      <c r="E11" s="150"/>
      <c r="F11" s="150"/>
    </row>
    <row r="12" spans="1:16" x14ac:dyDescent="0.25">
      <c r="A12" s="356"/>
      <c r="B12" s="398"/>
      <c r="C12" s="150"/>
      <c r="D12" s="150"/>
      <c r="E12" s="150"/>
      <c r="F12" s="150"/>
    </row>
    <row r="13" spans="1:16" x14ac:dyDescent="0.25">
      <c r="A13" s="356"/>
      <c r="B13" s="398"/>
      <c r="C13" s="150"/>
      <c r="D13" s="150"/>
      <c r="E13" s="150"/>
      <c r="F13" s="150"/>
    </row>
    <row r="14" spans="1:16" x14ac:dyDescent="0.25">
      <c r="A14" s="356"/>
      <c r="B14" s="398"/>
      <c r="C14" s="150"/>
      <c r="D14" s="150"/>
      <c r="E14" s="150"/>
      <c r="F14" s="150"/>
    </row>
    <row r="15" spans="1:16" x14ac:dyDescent="0.25">
      <c r="A15" s="356"/>
      <c r="B15" s="398"/>
      <c r="C15" s="150"/>
      <c r="D15" s="150"/>
      <c r="E15" s="150"/>
      <c r="F15" s="150"/>
    </row>
    <row r="16" spans="1:16" x14ac:dyDescent="0.25">
      <c r="A16" s="356"/>
      <c r="B16" s="398"/>
      <c r="C16" s="150"/>
      <c r="D16" s="150"/>
      <c r="E16" s="150"/>
      <c r="F16" s="150"/>
    </row>
    <row r="17" spans="1:6" x14ac:dyDescent="0.25">
      <c r="A17" s="356"/>
      <c r="B17" s="398"/>
      <c r="C17" s="150"/>
      <c r="D17" s="150"/>
      <c r="E17" s="150"/>
      <c r="F17" s="409"/>
    </row>
    <row r="18" spans="1:6" x14ac:dyDescent="0.25">
      <c r="A18" s="356"/>
      <c r="B18" s="398"/>
      <c r="C18" s="150"/>
      <c r="D18" s="150"/>
      <c r="E18" s="150"/>
      <c r="F18" s="150"/>
    </row>
    <row r="19" spans="1:6" x14ac:dyDescent="0.25">
      <c r="A19" s="356"/>
      <c r="B19" s="398"/>
      <c r="C19" s="150"/>
      <c r="D19" s="150"/>
      <c r="E19" s="150"/>
      <c r="F19" s="150"/>
    </row>
    <row r="20" spans="1:6" x14ac:dyDescent="0.25">
      <c r="A20" s="356"/>
      <c r="B20" s="398"/>
      <c r="C20" s="150"/>
      <c r="D20" s="150"/>
      <c r="E20" s="150"/>
      <c r="F20" s="150"/>
    </row>
    <row r="21" spans="1:6" ht="15.75" x14ac:dyDescent="0.25">
      <c r="A21" s="437" t="s">
        <v>214</v>
      </c>
      <c r="B21" s="438"/>
      <c r="C21" s="438"/>
      <c r="D21" s="438"/>
      <c r="E21" s="439"/>
      <c r="F21" s="408">
        <f>('Substrates inputs'!I4+'Substrates inputs'!I5)/'Substrates inputs'!C4</f>
        <v>72.442800000000005</v>
      </c>
    </row>
    <row r="22" spans="1:6" ht="15.75" x14ac:dyDescent="0.25">
      <c r="A22" s="437" t="s">
        <v>215</v>
      </c>
      <c r="B22" s="438"/>
      <c r="C22" s="438"/>
      <c r="D22" s="438"/>
      <c r="E22" s="439"/>
      <c r="F22" s="396">
        <f>('Substrates inputs'!J4+'Substrates inputs'!J5)/'Substrates inputs'!C4</f>
        <v>724.428</v>
      </c>
    </row>
    <row r="23" spans="1:6" ht="15.75" x14ac:dyDescent="0.25">
      <c r="A23" s="436" t="s">
        <v>212</v>
      </c>
      <c r="B23" s="436"/>
      <c r="C23" s="436"/>
      <c r="D23" s="436"/>
      <c r="E23" s="436"/>
      <c r="F23" s="361">
        <v>450</v>
      </c>
    </row>
    <row r="24" spans="1:6" ht="15.75" x14ac:dyDescent="0.25">
      <c r="A24" s="437" t="s">
        <v>213</v>
      </c>
      <c r="B24" s="438"/>
      <c r="C24" s="438"/>
      <c r="D24" s="438"/>
      <c r="E24" s="439"/>
      <c r="F24" s="401">
        <v>20</v>
      </c>
    </row>
    <row r="25" spans="1:6" ht="15.75" x14ac:dyDescent="0.25">
      <c r="A25" s="437" t="s">
        <v>202</v>
      </c>
      <c r="B25" s="438"/>
      <c r="C25" s="438"/>
      <c r="D25" s="438"/>
      <c r="E25" s="439"/>
      <c r="F25" s="401">
        <f>F23*F24</f>
        <v>9000</v>
      </c>
    </row>
    <row r="26" spans="1:6" ht="15.75" x14ac:dyDescent="0.25">
      <c r="A26" s="437" t="s">
        <v>208</v>
      </c>
      <c r="B26" s="438"/>
      <c r="C26" s="438"/>
      <c r="D26" s="438"/>
      <c r="E26" s="439"/>
      <c r="F26" s="361">
        <f>F21*F23</f>
        <v>32599.260000000002</v>
      </c>
    </row>
    <row r="27" spans="1:6" ht="15.75" x14ac:dyDescent="0.25">
      <c r="A27" s="437" t="s">
        <v>209</v>
      </c>
      <c r="B27" s="438"/>
      <c r="C27" s="438"/>
      <c r="D27" s="438"/>
      <c r="E27" s="439"/>
      <c r="F27" s="410">
        <f>F22*F23</f>
        <v>325992.59999999998</v>
      </c>
    </row>
    <row r="28" spans="1:6" ht="15.75" x14ac:dyDescent="0.25">
      <c r="A28" s="437" t="s">
        <v>210</v>
      </c>
      <c r="B28" s="438"/>
      <c r="C28" s="438"/>
      <c r="D28" s="438"/>
      <c r="E28" s="439"/>
      <c r="F28" s="410">
        <f>F25/F26*100</f>
        <v>27.607988647595068</v>
      </c>
    </row>
    <row r="29" spans="1:6" ht="15.75" x14ac:dyDescent="0.25">
      <c r="A29" s="437" t="s">
        <v>211</v>
      </c>
      <c r="B29" s="438"/>
      <c r="C29" s="438"/>
      <c r="D29" s="438"/>
      <c r="E29" s="439"/>
      <c r="F29" s="407">
        <f>F25/F27*100</f>
        <v>2.760798864759507</v>
      </c>
    </row>
    <row r="30" spans="1:6" ht="15.75" x14ac:dyDescent="0.25">
      <c r="A30" s="437" t="s">
        <v>203</v>
      </c>
      <c r="B30" s="438"/>
      <c r="C30" s="438"/>
      <c r="D30" s="438"/>
      <c r="E30" s="439"/>
      <c r="F30" s="361"/>
    </row>
    <row r="31" spans="1:6" ht="15.75" x14ac:dyDescent="0.25">
      <c r="A31" s="435" t="s">
        <v>75</v>
      </c>
      <c r="B31" s="435"/>
      <c r="C31" s="435"/>
      <c r="D31" s="435"/>
      <c r="E31" s="435"/>
      <c r="F31" s="361">
        <v>7758</v>
      </c>
    </row>
    <row r="32" spans="1:6" ht="15.75" x14ac:dyDescent="0.25">
      <c r="A32" s="435" t="s">
        <v>197</v>
      </c>
      <c r="B32" s="435"/>
      <c r="C32" s="435"/>
      <c r="D32" s="435"/>
      <c r="E32" s="435"/>
      <c r="F32" s="361">
        <f>('Substrates inputs'!B4*365)/'Tonnes and Hectares of HTG'!F23</f>
        <v>27.577777777777779</v>
      </c>
    </row>
    <row r="33" spans="1:7" ht="15.75" x14ac:dyDescent="0.25">
      <c r="A33" s="435" t="s">
        <v>76</v>
      </c>
      <c r="B33" s="435"/>
      <c r="C33" s="435"/>
      <c r="D33" s="435"/>
      <c r="E33" s="435"/>
      <c r="F33" s="362">
        <f>F32/F31</f>
        <v>3.5547535160837559E-3</v>
      </c>
    </row>
    <row r="34" spans="1:7" x14ac:dyDescent="0.25">
      <c r="G34" s="151"/>
    </row>
    <row r="35" spans="1:7" ht="15.75" x14ac:dyDescent="0.25">
      <c r="A35" s="354"/>
      <c r="B35" s="400"/>
      <c r="C35" s="152"/>
      <c r="D35" s="152"/>
      <c r="E35" s="72"/>
    </row>
    <row r="36" spans="1:7" ht="15.75" x14ac:dyDescent="0.25">
      <c r="A36" s="354" t="s">
        <v>182</v>
      </c>
      <c r="B36" s="400" t="s">
        <v>204</v>
      </c>
      <c r="C36" s="152"/>
      <c r="D36" s="152"/>
      <c r="E36" s="153"/>
    </row>
    <row r="37" spans="1:7" ht="15.75" x14ac:dyDescent="0.25">
      <c r="A37" s="354">
        <v>300</v>
      </c>
      <c r="B37" s="397">
        <v>0</v>
      </c>
      <c r="C37" s="152"/>
      <c r="D37" s="152"/>
      <c r="E37" s="154"/>
    </row>
    <row r="38" spans="1:7" x14ac:dyDescent="0.25">
      <c r="A38" s="354">
        <v>310</v>
      </c>
      <c r="B38" s="397">
        <v>5</v>
      </c>
      <c r="C38" s="155"/>
      <c r="D38" s="155"/>
      <c r="E38" s="72"/>
    </row>
    <row r="39" spans="1:7" ht="15.75" x14ac:dyDescent="0.25">
      <c r="A39" s="354">
        <v>320</v>
      </c>
      <c r="B39" s="397">
        <v>5.5</v>
      </c>
      <c r="C39" s="148"/>
      <c r="D39" s="148"/>
      <c r="E39" s="156"/>
    </row>
    <row r="40" spans="1:7" x14ac:dyDescent="0.25">
      <c r="A40" s="354">
        <v>330</v>
      </c>
      <c r="B40" s="397">
        <v>6</v>
      </c>
      <c r="C40" s="72"/>
      <c r="D40" s="72"/>
      <c r="E40" s="72"/>
    </row>
    <row r="41" spans="1:7" x14ac:dyDescent="0.25">
      <c r="A41" s="354">
        <v>340</v>
      </c>
      <c r="B41" s="397">
        <v>6.5</v>
      </c>
    </row>
    <row r="42" spans="1:7" x14ac:dyDescent="0.25">
      <c r="A42" s="354">
        <v>350</v>
      </c>
      <c r="B42" s="397">
        <v>7</v>
      </c>
    </row>
    <row r="43" spans="1:7" x14ac:dyDescent="0.25">
      <c r="A43" s="354">
        <v>360</v>
      </c>
      <c r="B43" s="397">
        <v>7.5</v>
      </c>
    </row>
    <row r="44" spans="1:7" ht="15" customHeight="1" x14ac:dyDescent="0.25">
      <c r="A44" s="354">
        <v>370</v>
      </c>
      <c r="B44" s="397">
        <v>8</v>
      </c>
    </row>
    <row r="45" spans="1:7" x14ac:dyDescent="0.25">
      <c r="A45" s="354">
        <v>380</v>
      </c>
      <c r="B45" s="397">
        <v>8.5</v>
      </c>
    </row>
    <row r="46" spans="1:7" x14ac:dyDescent="0.25">
      <c r="A46" s="354">
        <v>390</v>
      </c>
      <c r="B46" s="397">
        <v>9</v>
      </c>
    </row>
    <row r="47" spans="1:7" x14ac:dyDescent="0.25">
      <c r="A47" s="354">
        <v>400</v>
      </c>
      <c r="B47" s="397">
        <v>9.5</v>
      </c>
    </row>
    <row r="48" spans="1:7" ht="15" customHeight="1" x14ac:dyDescent="0.25">
      <c r="A48" s="354">
        <v>410</v>
      </c>
      <c r="B48" s="397">
        <v>10</v>
      </c>
    </row>
    <row r="49" spans="1:2" x14ac:dyDescent="0.25">
      <c r="A49" s="354">
        <v>420</v>
      </c>
      <c r="B49" s="397">
        <v>10.5</v>
      </c>
    </row>
    <row r="50" spans="1:2" x14ac:dyDescent="0.25">
      <c r="A50" s="354">
        <v>430</v>
      </c>
      <c r="B50" s="397">
        <v>11</v>
      </c>
    </row>
    <row r="51" spans="1:2" x14ac:dyDescent="0.25">
      <c r="A51" s="354">
        <v>440</v>
      </c>
      <c r="B51" s="397">
        <v>11.5</v>
      </c>
    </row>
    <row r="52" spans="1:2" x14ac:dyDescent="0.25">
      <c r="A52" s="354">
        <v>450</v>
      </c>
      <c r="B52" s="397">
        <v>12</v>
      </c>
    </row>
    <row r="53" spans="1:2" x14ac:dyDescent="0.25">
      <c r="A53" s="354">
        <v>460</v>
      </c>
      <c r="B53" s="397">
        <v>12.5</v>
      </c>
    </row>
    <row r="54" spans="1:2" x14ac:dyDescent="0.25">
      <c r="A54" s="354">
        <v>470</v>
      </c>
      <c r="B54" s="397">
        <v>13</v>
      </c>
    </row>
    <row r="55" spans="1:2" x14ac:dyDescent="0.25">
      <c r="A55" s="354">
        <v>480</v>
      </c>
      <c r="B55" s="397">
        <v>13.5</v>
      </c>
    </row>
    <row r="56" spans="1:2" x14ac:dyDescent="0.25">
      <c r="A56" s="354">
        <v>490</v>
      </c>
      <c r="B56" s="397">
        <v>14</v>
      </c>
    </row>
    <row r="57" spans="1:2" x14ac:dyDescent="0.25">
      <c r="A57" s="354">
        <v>500</v>
      </c>
      <c r="B57" s="397">
        <v>14.5</v>
      </c>
    </row>
    <row r="58" spans="1:2" x14ac:dyDescent="0.25">
      <c r="A58" s="354">
        <v>510</v>
      </c>
      <c r="B58" s="397">
        <v>15</v>
      </c>
    </row>
    <row r="59" spans="1:2" x14ac:dyDescent="0.25">
      <c r="A59" s="354">
        <v>520</v>
      </c>
      <c r="B59" s="397">
        <v>15.5</v>
      </c>
    </row>
    <row r="60" spans="1:2" x14ac:dyDescent="0.25">
      <c r="A60" s="354">
        <v>530</v>
      </c>
      <c r="B60" s="397">
        <v>16</v>
      </c>
    </row>
    <row r="61" spans="1:2" x14ac:dyDescent="0.25">
      <c r="A61" s="354">
        <v>540</v>
      </c>
      <c r="B61" s="397">
        <v>16.5</v>
      </c>
    </row>
    <row r="62" spans="1:2" x14ac:dyDescent="0.25">
      <c r="A62" s="354">
        <v>550</v>
      </c>
      <c r="B62" s="397">
        <v>17</v>
      </c>
    </row>
    <row r="63" spans="1:2" x14ac:dyDescent="0.25">
      <c r="A63" s="354">
        <v>560</v>
      </c>
      <c r="B63" s="397">
        <v>17.5</v>
      </c>
    </row>
    <row r="64" spans="1:2" x14ac:dyDescent="0.25">
      <c r="A64" s="354">
        <v>570</v>
      </c>
      <c r="B64" s="397">
        <v>18</v>
      </c>
    </row>
    <row r="65" spans="1:2" x14ac:dyDescent="0.25">
      <c r="A65" s="354">
        <v>580</v>
      </c>
      <c r="B65" s="397">
        <v>18.5</v>
      </c>
    </row>
    <row r="66" spans="1:2" x14ac:dyDescent="0.25">
      <c r="A66" s="354">
        <v>590</v>
      </c>
      <c r="B66" s="397">
        <v>19</v>
      </c>
    </row>
    <row r="67" spans="1:2" x14ac:dyDescent="0.25">
      <c r="A67" s="354">
        <v>600</v>
      </c>
      <c r="B67" s="397">
        <v>19.5</v>
      </c>
    </row>
    <row r="68" spans="1:2" x14ac:dyDescent="0.25">
      <c r="B68" s="397">
        <v>20</v>
      </c>
    </row>
  </sheetData>
  <sheetProtection algorithmName="SHA-512" hashValue="svxssRT/GNZ6zevwcnFK1X/PmgqR1UFWM4Y8dOPOMOq/TunSdpLbmp7KjkYDbvmO6OE8DqmItsFC6+8nq0pClA==" saltValue="ddBht9zwTWkJ+RYR+BECdg==" spinCount="100000" sheet="1" objects="1" scenarios="1" selectLockedCells="1" selectUnlockedCells="1"/>
  <mergeCells count="14">
    <mergeCell ref="A1:F1"/>
    <mergeCell ref="A32:E32"/>
    <mergeCell ref="A33:E33"/>
    <mergeCell ref="A23:E23"/>
    <mergeCell ref="A31:E31"/>
    <mergeCell ref="A24:E24"/>
    <mergeCell ref="A25:E25"/>
    <mergeCell ref="A26:E26"/>
    <mergeCell ref="A28:E28"/>
    <mergeCell ref="A29:E29"/>
    <mergeCell ref="A30:E30"/>
    <mergeCell ref="A27:E27"/>
    <mergeCell ref="A22:E22"/>
    <mergeCell ref="A21:E21"/>
  </mergeCells>
  <dataValidations count="2">
    <dataValidation type="list" allowBlank="1" showInputMessage="1" showErrorMessage="1" sqref="F23" xr:uid="{00000000-0002-0000-0200-000000000000}">
      <formula1>$A$37:$A$67</formula1>
    </dataValidation>
    <dataValidation type="list" allowBlank="1" showInputMessage="1" showErrorMessage="1" sqref="F24" xr:uid="{00000000-0002-0000-0200-000001000000}">
      <formula1>$B$37:$B$68</formula1>
    </dataValidation>
  </dataValidations>
  <pageMargins left="0.7" right="0.7" top="0.75" bottom="0.75" header="0.3" footer="0.3"/>
  <pageSetup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7"/>
  <sheetViews>
    <sheetView zoomScale="71" zoomScaleNormal="71" workbookViewId="0">
      <selection activeCell="AJ33" sqref="AJ33"/>
    </sheetView>
  </sheetViews>
  <sheetFormatPr baseColWidth="10" defaultColWidth="9.140625" defaultRowHeight="15" x14ac:dyDescent="0.25"/>
  <sheetData>
    <row r="1" spans="1:29" ht="30" customHeight="1" x14ac:dyDescent="0.25">
      <c r="A1" s="440" t="s">
        <v>73</v>
      </c>
      <c r="B1" s="441"/>
      <c r="C1" s="441"/>
      <c r="D1" s="441"/>
      <c r="E1" s="441"/>
      <c r="F1" s="441"/>
      <c r="G1" s="441"/>
      <c r="H1" s="441"/>
      <c r="I1" s="441"/>
      <c r="J1" s="441"/>
      <c r="K1" s="441"/>
      <c r="L1" s="441"/>
      <c r="M1" s="441"/>
      <c r="N1" s="441"/>
      <c r="O1" s="441"/>
      <c r="P1" s="441"/>
      <c r="Q1" s="441"/>
      <c r="R1" s="441"/>
      <c r="S1" s="441"/>
      <c r="T1" s="441"/>
      <c r="U1" s="441"/>
      <c r="V1" s="441"/>
      <c r="W1" s="441"/>
      <c r="X1" s="441"/>
      <c r="Y1" s="441"/>
      <c r="Z1" s="441"/>
      <c r="AA1" s="441"/>
      <c r="AB1" s="441"/>
      <c r="AC1" s="441"/>
    </row>
    <row r="3" spans="1:29" ht="15.75" x14ac:dyDescent="0.25">
      <c r="L3" s="2"/>
      <c r="M3" s="2"/>
      <c r="N3" s="2"/>
      <c r="O3" s="2"/>
      <c r="P3" s="2"/>
      <c r="Q3" s="2"/>
      <c r="R3" s="2"/>
      <c r="S3" s="2"/>
      <c r="T3" s="2"/>
      <c r="U3" s="2"/>
      <c r="V3" s="2"/>
      <c r="W3" s="2"/>
      <c r="X3" s="2"/>
      <c r="Y3" s="2"/>
      <c r="Z3" s="2"/>
      <c r="AA3" s="2"/>
      <c r="AB3" s="2"/>
    </row>
    <row r="4" spans="1:29" ht="15.75" x14ac:dyDescent="0.25">
      <c r="L4" s="2"/>
      <c r="M4" s="2"/>
      <c r="N4" s="2"/>
      <c r="O4" s="2"/>
      <c r="P4" s="2"/>
      <c r="Q4" s="2"/>
      <c r="R4" s="2"/>
      <c r="S4" s="2"/>
      <c r="T4" s="2"/>
      <c r="U4" s="2"/>
      <c r="V4" s="2"/>
      <c r="W4" s="2"/>
      <c r="X4" s="2"/>
      <c r="Y4" s="2"/>
      <c r="Z4" s="2"/>
      <c r="AA4" s="2"/>
      <c r="AB4" s="2"/>
    </row>
    <row r="5" spans="1:29" ht="15.75" x14ac:dyDescent="0.25">
      <c r="L5" s="2"/>
      <c r="M5" s="2"/>
      <c r="N5" s="2"/>
      <c r="O5" s="2"/>
      <c r="P5" s="2"/>
      <c r="Q5" s="2"/>
      <c r="R5" s="2"/>
      <c r="S5" s="2"/>
      <c r="T5" s="2"/>
      <c r="U5" s="2"/>
      <c r="V5" s="2"/>
      <c r="W5" s="2"/>
      <c r="X5" s="2"/>
      <c r="Y5" s="2"/>
      <c r="Z5" s="2"/>
      <c r="AA5" s="2"/>
      <c r="AB5" s="2"/>
    </row>
    <row r="6" spans="1:29" ht="15.75" x14ac:dyDescent="0.25">
      <c r="L6" s="2"/>
      <c r="M6" s="2"/>
      <c r="N6" s="2"/>
      <c r="O6" s="2"/>
      <c r="P6" s="2"/>
      <c r="Q6" s="2"/>
      <c r="R6" s="2"/>
      <c r="S6" s="2"/>
      <c r="T6" s="2"/>
      <c r="U6" s="2"/>
      <c r="V6" s="2"/>
      <c r="W6" s="2"/>
      <c r="X6" s="2"/>
      <c r="Y6" s="2"/>
      <c r="Z6" s="2"/>
      <c r="AA6" s="2"/>
      <c r="AB6" s="2"/>
    </row>
    <row r="7" spans="1:29" ht="15.75" x14ac:dyDescent="0.25">
      <c r="L7" s="2"/>
      <c r="M7" s="2"/>
      <c r="N7" s="2"/>
      <c r="O7" s="2"/>
      <c r="P7" s="2"/>
      <c r="Q7" s="2"/>
      <c r="R7" s="2"/>
      <c r="S7" s="2"/>
      <c r="T7" s="2"/>
      <c r="U7" s="2"/>
      <c r="V7" s="2"/>
      <c r="W7" s="2"/>
      <c r="X7" s="2"/>
      <c r="Y7" s="2"/>
      <c r="Z7" s="2"/>
      <c r="AA7" s="2"/>
      <c r="AB7" s="2"/>
    </row>
    <row r="8" spans="1:29" ht="15.75" x14ac:dyDescent="0.25">
      <c r="L8" s="2"/>
      <c r="M8" s="2"/>
      <c r="N8" s="2"/>
      <c r="O8" s="2"/>
      <c r="P8" s="2"/>
      <c r="Q8" s="2"/>
      <c r="R8" s="2"/>
      <c r="S8" s="2"/>
      <c r="T8" s="2"/>
      <c r="U8" s="2"/>
      <c r="V8" s="2"/>
      <c r="W8" s="2"/>
      <c r="X8" s="2"/>
      <c r="Y8" s="2"/>
      <c r="Z8" s="2"/>
      <c r="AA8" s="2"/>
      <c r="AB8" s="2"/>
    </row>
    <row r="9" spans="1:29" ht="15.75" x14ac:dyDescent="0.25">
      <c r="L9" s="2"/>
      <c r="M9" s="2"/>
      <c r="N9" s="2"/>
      <c r="O9" s="2"/>
      <c r="P9" s="2"/>
      <c r="Q9" s="2"/>
      <c r="R9" s="2"/>
      <c r="S9" s="2"/>
      <c r="T9" s="2"/>
      <c r="U9" s="2"/>
      <c r="V9" s="2"/>
      <c r="W9" s="2"/>
      <c r="X9" s="2"/>
      <c r="Y9" s="2"/>
      <c r="Z9" s="2"/>
      <c r="AA9" s="2"/>
      <c r="AB9" s="2"/>
    </row>
    <row r="10" spans="1:29" ht="15.75" x14ac:dyDescent="0.25">
      <c r="L10" s="2"/>
      <c r="M10" s="2"/>
      <c r="N10" s="2"/>
      <c r="O10" s="2"/>
      <c r="P10" s="2"/>
      <c r="Q10" s="2"/>
      <c r="R10" s="2"/>
      <c r="S10" s="2"/>
      <c r="T10" s="2"/>
      <c r="U10" s="2"/>
      <c r="V10" s="2"/>
      <c r="W10" s="2"/>
      <c r="X10" s="2"/>
      <c r="Y10" s="2"/>
      <c r="Z10" s="2"/>
      <c r="AA10" s="2"/>
      <c r="AB10" s="2"/>
    </row>
    <row r="11" spans="1:29" ht="15.75" x14ac:dyDescent="0.25">
      <c r="L11" s="2"/>
      <c r="M11" s="2"/>
      <c r="N11" s="2"/>
      <c r="O11" s="2"/>
      <c r="P11" s="2"/>
      <c r="Q11" s="2"/>
      <c r="R11" s="2"/>
      <c r="S11" s="2"/>
      <c r="T11" s="2"/>
      <c r="U11" s="2"/>
      <c r="V11" s="2"/>
      <c r="W11" s="2"/>
      <c r="X11" s="2"/>
      <c r="Y11" s="2"/>
      <c r="Z11" s="2"/>
      <c r="AA11" s="2"/>
      <c r="AB11" s="2"/>
    </row>
    <row r="12" spans="1:29" ht="15.75" x14ac:dyDescent="0.25">
      <c r="L12" s="2"/>
      <c r="M12" s="2"/>
      <c r="N12" s="2"/>
      <c r="O12" s="2"/>
      <c r="P12" s="2"/>
      <c r="Q12" s="2"/>
      <c r="R12" s="2"/>
      <c r="S12" s="2"/>
      <c r="T12" s="2"/>
      <c r="U12" s="2"/>
      <c r="V12" s="2"/>
      <c r="W12" s="2"/>
      <c r="X12" s="2"/>
      <c r="Y12" s="2"/>
      <c r="Z12" s="2"/>
      <c r="AA12" s="2"/>
      <c r="AB12" s="2"/>
    </row>
    <row r="13" spans="1:29" ht="15.75" x14ac:dyDescent="0.25">
      <c r="L13" s="2"/>
      <c r="M13" s="2"/>
      <c r="N13" s="2"/>
      <c r="O13" s="2"/>
      <c r="P13" s="2"/>
      <c r="Q13" s="2"/>
      <c r="R13" s="2"/>
      <c r="S13" s="2"/>
      <c r="T13" s="2"/>
      <c r="U13" s="2"/>
      <c r="V13" s="2"/>
      <c r="W13" s="2"/>
      <c r="X13" s="2"/>
      <c r="Y13" s="2"/>
      <c r="Z13" s="2"/>
      <c r="AA13" s="2"/>
      <c r="AB13" s="2"/>
    </row>
    <row r="14" spans="1:29" ht="15.75" x14ac:dyDescent="0.25">
      <c r="L14" s="2"/>
      <c r="M14" s="2"/>
      <c r="N14" s="2"/>
      <c r="O14" s="2"/>
      <c r="P14" s="2"/>
      <c r="Q14" s="2"/>
      <c r="R14" s="2"/>
      <c r="S14" s="2"/>
      <c r="T14" s="2"/>
      <c r="U14" s="2"/>
      <c r="V14" s="2"/>
      <c r="W14" s="2"/>
      <c r="X14" s="2"/>
      <c r="Y14" s="2"/>
      <c r="Z14" s="2"/>
      <c r="AA14" s="2"/>
      <c r="AB14" s="2"/>
    </row>
    <row r="15" spans="1:29" ht="15.75" x14ac:dyDescent="0.25">
      <c r="L15" s="2"/>
      <c r="M15" s="2"/>
      <c r="N15" s="2"/>
      <c r="O15" s="2"/>
      <c r="P15" s="2"/>
      <c r="Q15" s="2"/>
      <c r="R15" s="2"/>
      <c r="S15" s="2"/>
      <c r="T15" s="2"/>
      <c r="U15" s="2"/>
      <c r="V15" s="2"/>
      <c r="W15" s="2"/>
      <c r="X15" s="2"/>
      <c r="Y15" s="2"/>
      <c r="Z15" s="2"/>
      <c r="AA15" s="2"/>
      <c r="AB15" s="2"/>
    </row>
    <row r="16" spans="1:29" ht="15.75" x14ac:dyDescent="0.25">
      <c r="L16" s="2"/>
      <c r="M16" s="2"/>
      <c r="N16" s="2"/>
      <c r="O16" s="2"/>
      <c r="P16" s="2"/>
      <c r="Q16" s="2"/>
      <c r="R16" s="2"/>
      <c r="S16" s="2"/>
      <c r="T16" s="2"/>
      <c r="U16" s="2"/>
      <c r="V16" s="2"/>
      <c r="W16" s="2"/>
      <c r="X16" s="2"/>
      <c r="Y16" s="2"/>
      <c r="Z16" s="2"/>
      <c r="AA16" s="2"/>
      <c r="AB16" s="2"/>
    </row>
    <row r="17" spans="12:28" ht="15.75" x14ac:dyDescent="0.25">
      <c r="L17" s="2"/>
      <c r="M17" s="2"/>
      <c r="N17" s="2"/>
      <c r="O17" s="2"/>
      <c r="P17" s="2"/>
      <c r="Q17" s="2"/>
      <c r="R17" s="2"/>
      <c r="S17" s="2"/>
      <c r="T17" s="2"/>
      <c r="U17" s="2"/>
      <c r="V17" s="2"/>
      <c r="W17" s="2"/>
      <c r="X17" s="2"/>
      <c r="Y17" s="2"/>
      <c r="Z17" s="2"/>
      <c r="AA17" s="2"/>
      <c r="AB17" s="2"/>
    </row>
  </sheetData>
  <sheetProtection algorithmName="SHA-512" hashValue="pOqiOfNRiHuRiO3QOQH82HQcrQc9LqAFeGs+77XOkImayPUNo2Kg4uHOK8xRI+R/iGPW2VltGzHXb51xykJW/A==" saltValue="Cdq5Ldi8SEvOEm7OXI9o0g==" spinCount="100000" sheet="1" objects="1" scenarios="1" selectLockedCells="1" selectUnlockedCells="1"/>
  <mergeCells count="1">
    <mergeCell ref="A1:AC1"/>
  </mergeCells>
  <pageMargins left="0.7" right="0.7" top="0.75" bottom="0.75" header="0.3" footer="0.3"/>
  <pageSetup orientation="portrait" verticalDpi="3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1:O38"/>
  <sheetViews>
    <sheetView zoomScale="84" zoomScaleNormal="84" workbookViewId="0">
      <selection activeCell="A33" sqref="A33"/>
    </sheetView>
  </sheetViews>
  <sheetFormatPr baseColWidth="10" defaultColWidth="9.140625" defaultRowHeight="15" x14ac:dyDescent="0.25"/>
  <cols>
    <col min="1" max="7" width="10.7109375" customWidth="1"/>
  </cols>
  <sheetData>
    <row r="21" spans="1:15" ht="15.75" thickBot="1" x14ac:dyDescent="0.3"/>
    <row r="22" spans="1:15" ht="30" customHeight="1" thickBot="1" x14ac:dyDescent="0.3">
      <c r="A22" s="443">
        <f>'Substrates inputs'!B4*'Substrates inputs'!D4</f>
        <v>8.5</v>
      </c>
      <c r="B22" s="444"/>
      <c r="C22" s="95" t="s">
        <v>1</v>
      </c>
      <c r="D22" s="445">
        <v>60</v>
      </c>
      <c r="E22" s="445"/>
      <c r="F22" s="95" t="s">
        <v>62</v>
      </c>
      <c r="G22" s="95" t="s">
        <v>0</v>
      </c>
      <c r="H22" s="447">
        <v>0.37</v>
      </c>
      <c r="I22" s="447"/>
      <c r="J22" s="96" t="s">
        <v>2</v>
      </c>
      <c r="K22" s="442">
        <f>A22*D22/H22</f>
        <v>1378.3783783783783</v>
      </c>
      <c r="L22" s="442"/>
      <c r="M22" s="442"/>
      <c r="N22" s="97" t="s">
        <v>63</v>
      </c>
    </row>
    <row r="24" spans="1:15" x14ac:dyDescent="0.25">
      <c r="D24" s="72"/>
      <c r="M24" s="72"/>
    </row>
    <row r="25" spans="1:15" ht="19.5" x14ac:dyDescent="0.25">
      <c r="F25" s="73"/>
      <c r="G25" s="446"/>
      <c r="H25" s="446"/>
      <c r="I25" s="74"/>
    </row>
    <row r="27" spans="1:15" x14ac:dyDescent="0.25">
      <c r="O27" s="72"/>
    </row>
    <row r="28" spans="1:15" x14ac:dyDescent="0.25">
      <c r="A28" t="s">
        <v>62</v>
      </c>
    </row>
    <row r="29" spans="1:15" x14ac:dyDescent="0.25">
      <c r="A29">
        <v>30</v>
      </c>
    </row>
    <row r="30" spans="1:15" x14ac:dyDescent="0.25">
      <c r="A30">
        <v>40</v>
      </c>
    </row>
    <row r="31" spans="1:15" x14ac:dyDescent="0.25">
      <c r="A31">
        <v>50</v>
      </c>
    </row>
    <row r="32" spans="1:15" x14ac:dyDescent="0.25">
      <c r="A32">
        <v>60</v>
      </c>
    </row>
    <row r="33" spans="1:1" x14ac:dyDescent="0.25">
      <c r="A33">
        <v>70</v>
      </c>
    </row>
    <row r="34" spans="1:1" x14ac:dyDescent="0.25">
      <c r="A34">
        <v>80</v>
      </c>
    </row>
    <row r="35" spans="1:1" x14ac:dyDescent="0.25">
      <c r="A35">
        <v>90</v>
      </c>
    </row>
    <row r="36" spans="1:1" x14ac:dyDescent="0.25">
      <c r="A36">
        <v>100</v>
      </c>
    </row>
    <row r="37" spans="1:1" x14ac:dyDescent="0.25">
      <c r="A37">
        <v>110</v>
      </c>
    </row>
    <row r="38" spans="1:1" x14ac:dyDescent="0.25">
      <c r="A38">
        <v>120</v>
      </c>
    </row>
  </sheetData>
  <sheetProtection algorithmName="SHA-512" hashValue="y9lw28PE/xtdZ4wn3av79ZeYo1gpGKHozckztG5fY8X+GvJ3660rLSh7HlFI/OOf5Pq6FHxyO4vx9rjX8fe6sA==" saltValue="+DHpO/pgTy8npl/TsrpUKg==" spinCount="100000" sheet="1" objects="1" scenarios="1" selectLockedCells="1" selectUnlockedCells="1"/>
  <mergeCells count="5">
    <mergeCell ref="K22:M22"/>
    <mergeCell ref="A22:B22"/>
    <mergeCell ref="D22:E22"/>
    <mergeCell ref="G25:H25"/>
    <mergeCell ref="H22:I22"/>
  </mergeCells>
  <dataValidations count="1">
    <dataValidation type="list" allowBlank="1" showInputMessage="1" showErrorMessage="1" sqref="D22" xr:uid="{00000000-0002-0000-0400-000000000000}">
      <formula1>$A$29:$A$38</formula1>
    </dataValidation>
  </dataValidations>
  <pageMargins left="0.7" right="0.7" top="0.75" bottom="0.75" header="0.3" footer="0.3"/>
  <pageSetup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O34" sqref="O34"/>
    </sheetView>
  </sheetViews>
  <sheetFormatPr baseColWidth="10" defaultColWidth="9.140625" defaultRowHeight="15" x14ac:dyDescent="0.25"/>
  <sheetData/>
  <sheetProtection algorithmName="SHA-512" hashValue="TKgJEjiFEd6YOxsOZSW5HRNZEvUfYYNKHUI1/5RE93wJmdJ5xDly/xrkTaUqOwioVohP39qXqJDdpH0Tg3uj+w==" saltValue="1t2pvOwBPGgJw9CZR7hj6A==" spinCount="100000" sheet="1" objects="1" scenarios="1" selectLockedCells="1" selectUnlockedCell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73"/>
  <sheetViews>
    <sheetView zoomScale="78" zoomScaleNormal="78" workbookViewId="0">
      <selection activeCell="F7" sqref="F7"/>
    </sheetView>
  </sheetViews>
  <sheetFormatPr baseColWidth="10" defaultColWidth="50.7109375" defaultRowHeight="9" x14ac:dyDescent="0.15"/>
  <cols>
    <col min="1" max="3" width="30.7109375" style="1" customWidth="1"/>
    <col min="4" max="4" width="15.7109375" style="1" customWidth="1"/>
    <col min="5" max="6" width="30.7109375" style="1" customWidth="1"/>
    <col min="7" max="9" width="50.7109375" style="325"/>
    <col min="10" max="16384" width="50.7109375" style="1"/>
  </cols>
  <sheetData>
    <row r="1" spans="1:9" ht="50.1" customHeight="1" x14ac:dyDescent="0.15">
      <c r="A1" s="456" t="s">
        <v>200</v>
      </c>
      <c r="B1" s="456"/>
      <c r="C1" s="456"/>
      <c r="D1" s="323">
        <v>0.01</v>
      </c>
      <c r="E1" s="324">
        <f>C7*D1</f>
        <v>26745.017514307412</v>
      </c>
      <c r="F1" s="325"/>
      <c r="I1" s="1"/>
    </row>
    <row r="2" spans="1:9" ht="50.1" customHeight="1" x14ac:dyDescent="0.15">
      <c r="A2" s="456" t="s">
        <v>140</v>
      </c>
      <c r="B2" s="456"/>
      <c r="C2" s="456"/>
      <c r="D2" s="323">
        <v>2.5000000000000001E-2</v>
      </c>
      <c r="E2" s="326">
        <f>C7*D2</f>
        <v>66862.543785768532</v>
      </c>
      <c r="F2" s="325"/>
      <c r="I2" s="1"/>
    </row>
    <row r="3" spans="1:9" ht="50.1" customHeight="1" x14ac:dyDescent="0.15">
      <c r="A3" s="457" t="s">
        <v>141</v>
      </c>
      <c r="B3" s="458" t="s">
        <v>142</v>
      </c>
      <c r="C3" s="459">
        <f>'Substrates inputs'!G16*'CAPEX '!D3</f>
        <v>2325653.6968962965</v>
      </c>
      <c r="D3" s="460">
        <v>4600</v>
      </c>
      <c r="E3" s="327"/>
      <c r="F3" s="328"/>
      <c r="G3" s="1"/>
      <c r="H3" s="1"/>
      <c r="I3" s="1"/>
    </row>
    <row r="4" spans="1:9" ht="50.1" customHeight="1" x14ac:dyDescent="0.15">
      <c r="A4" s="457"/>
      <c r="B4" s="458"/>
      <c r="C4" s="459"/>
      <c r="D4" s="460"/>
      <c r="E4" s="329"/>
      <c r="F4" s="328"/>
      <c r="H4" s="1"/>
      <c r="I4" s="1"/>
    </row>
    <row r="5" spans="1:9" ht="50.1" customHeight="1" x14ac:dyDescent="0.15">
      <c r="A5" s="457" t="s">
        <v>143</v>
      </c>
      <c r="B5" s="458" t="s">
        <v>144</v>
      </c>
      <c r="C5" s="459">
        <f>C3*D5</f>
        <v>348848.05453444447</v>
      </c>
      <c r="D5" s="461">
        <v>0.15</v>
      </c>
      <c r="E5" s="329"/>
      <c r="H5" s="1"/>
      <c r="I5" s="1"/>
    </row>
    <row r="6" spans="1:9" ht="50.1" customHeight="1" x14ac:dyDescent="0.15">
      <c r="A6" s="457"/>
      <c r="B6" s="458"/>
      <c r="C6" s="459"/>
      <c r="D6" s="461"/>
      <c r="E6" s="329"/>
      <c r="F6" s="328"/>
      <c r="H6" s="1"/>
      <c r="I6" s="1"/>
    </row>
    <row r="7" spans="1:9" ht="50.1" customHeight="1" x14ac:dyDescent="0.15">
      <c r="A7" s="457" t="s">
        <v>145</v>
      </c>
      <c r="B7" s="457"/>
      <c r="C7" s="330">
        <f>C3+C5</f>
        <v>2674501.751430741</v>
      </c>
      <c r="D7" s="331"/>
      <c r="E7" s="332"/>
      <c r="F7" s="333"/>
    </row>
    <row r="8" spans="1:9" ht="50.1" customHeight="1" x14ac:dyDescent="0.15">
      <c r="A8" s="455" t="s">
        <v>199</v>
      </c>
      <c r="B8" s="455"/>
      <c r="C8" s="455"/>
      <c r="D8" s="455"/>
      <c r="E8" s="334">
        <f>C7+E1+E2</f>
        <v>2768109.3127308171</v>
      </c>
      <c r="F8" s="325"/>
      <c r="I8" s="1"/>
    </row>
    <row r="9" spans="1:9" ht="50.1" customHeight="1" x14ac:dyDescent="0.15">
      <c r="A9" s="450" t="s">
        <v>185</v>
      </c>
      <c r="B9" s="451"/>
      <c r="C9" s="451"/>
      <c r="D9" s="452"/>
      <c r="E9" s="334">
        <v>1000000</v>
      </c>
      <c r="F9" s="325"/>
      <c r="I9" s="1"/>
    </row>
    <row r="10" spans="1:9" ht="50.1" customHeight="1" x14ac:dyDescent="0.15">
      <c r="A10" s="411" t="s">
        <v>146</v>
      </c>
      <c r="B10" s="411"/>
      <c r="C10" s="411"/>
      <c r="D10" s="411"/>
      <c r="E10" s="335">
        <v>0.1</v>
      </c>
      <c r="F10" s="325"/>
      <c r="I10" s="1"/>
    </row>
    <row r="11" spans="1:9" ht="50.1" customHeight="1" x14ac:dyDescent="0.15">
      <c r="A11" s="453" t="s">
        <v>147</v>
      </c>
      <c r="B11" s="453"/>
      <c r="C11" s="453"/>
      <c r="D11" s="453"/>
      <c r="E11" s="336">
        <f>(E8+E9)*E10</f>
        <v>376810.93127308175</v>
      </c>
      <c r="F11" s="325"/>
      <c r="I11" s="1"/>
    </row>
    <row r="12" spans="1:9" ht="50.1" customHeight="1" x14ac:dyDescent="0.15">
      <c r="A12" s="448" t="s">
        <v>148</v>
      </c>
      <c r="B12" s="448"/>
      <c r="C12" s="448"/>
      <c r="D12" s="449">
        <f>E8+E9+E11</f>
        <v>4144920.2440038989</v>
      </c>
      <c r="E12" s="449"/>
      <c r="F12" s="325"/>
      <c r="I12" s="1"/>
    </row>
    <row r="13" spans="1:9" ht="50.1" customHeight="1" x14ac:dyDescent="0.15">
      <c r="A13" s="448" t="s">
        <v>149</v>
      </c>
      <c r="B13" s="448"/>
      <c r="C13" s="448"/>
      <c r="D13" s="454">
        <v>0</v>
      </c>
      <c r="E13" s="454"/>
      <c r="F13" s="325"/>
      <c r="I13" s="1"/>
    </row>
    <row r="14" spans="1:9" ht="50.1" customHeight="1" x14ac:dyDescent="0.15">
      <c r="A14" s="448" t="s">
        <v>150</v>
      </c>
      <c r="B14" s="448"/>
      <c r="C14" s="448"/>
      <c r="D14" s="449">
        <f>D12*D13</f>
        <v>0</v>
      </c>
      <c r="E14" s="449"/>
      <c r="F14" s="325"/>
      <c r="I14" s="1"/>
    </row>
    <row r="15" spans="1:9" ht="50.1" customHeight="1" x14ac:dyDescent="0.15">
      <c r="A15" s="448" t="s">
        <v>151</v>
      </c>
      <c r="B15" s="448"/>
      <c r="C15" s="448"/>
      <c r="D15" s="449">
        <f>D12-D14</f>
        <v>4144920.2440038989</v>
      </c>
      <c r="E15" s="449"/>
      <c r="F15" s="325">
        <v>313</v>
      </c>
      <c r="I15" s="1"/>
    </row>
    <row r="16" spans="1:9" ht="50.1" customHeight="1" x14ac:dyDescent="0.2">
      <c r="A16" s="77"/>
      <c r="B16" s="337"/>
      <c r="C16" s="337"/>
      <c r="D16" s="337"/>
      <c r="E16" s="338"/>
      <c r="F16" s="325"/>
    </row>
    <row r="17" spans="1:9" ht="50.1" customHeight="1" x14ac:dyDescent="0.2">
      <c r="A17" s="77"/>
      <c r="B17" s="337"/>
      <c r="C17" s="337"/>
      <c r="D17" s="337"/>
      <c r="E17" s="338"/>
      <c r="F17" s="325"/>
    </row>
    <row r="18" spans="1:9" ht="14.25" customHeight="1" x14ac:dyDescent="0.2">
      <c r="A18" s="339" t="s">
        <v>152</v>
      </c>
      <c r="B18" s="340" t="s">
        <v>153</v>
      </c>
      <c r="C18" s="339" t="s">
        <v>154</v>
      </c>
      <c r="D18" s="341" t="s">
        <v>155</v>
      </c>
      <c r="E18" s="342"/>
      <c r="F18" s="343"/>
      <c r="G18" s="343"/>
      <c r="H18" s="328"/>
      <c r="I18" s="1"/>
    </row>
    <row r="19" spans="1:9" ht="14.25" customHeight="1" x14ac:dyDescent="0.2">
      <c r="A19" s="344">
        <v>0</v>
      </c>
      <c r="B19" s="345">
        <v>0</v>
      </c>
      <c r="C19" s="346">
        <v>2500</v>
      </c>
      <c r="D19" s="347">
        <v>2.5000000000000001E-3</v>
      </c>
      <c r="E19" s="348"/>
      <c r="F19" s="325"/>
      <c r="I19" s="1"/>
    </row>
    <row r="20" spans="1:9" ht="14.25" x14ac:dyDescent="0.2">
      <c r="A20" s="344">
        <v>0.01</v>
      </c>
      <c r="B20" s="345">
        <v>0.01</v>
      </c>
      <c r="C20" s="346">
        <v>2600</v>
      </c>
      <c r="D20" s="349">
        <v>5.0000000000000001E-3</v>
      </c>
      <c r="E20" s="348"/>
      <c r="F20" s="325"/>
      <c r="H20" s="1"/>
      <c r="I20" s="1"/>
    </row>
    <row r="21" spans="1:9" ht="14.25" x14ac:dyDescent="0.2">
      <c r="A21" s="344">
        <v>0.02</v>
      </c>
      <c r="B21" s="345">
        <v>0.02</v>
      </c>
      <c r="C21" s="346">
        <v>2700</v>
      </c>
      <c r="D21" s="347">
        <v>7.4999999999999997E-3</v>
      </c>
      <c r="E21" s="348"/>
      <c r="F21" s="325"/>
      <c r="H21" s="1"/>
      <c r="I21" s="1"/>
    </row>
    <row r="22" spans="1:9" ht="14.25" x14ac:dyDescent="0.2">
      <c r="A22" s="344">
        <v>0.03</v>
      </c>
      <c r="B22" s="345">
        <v>0.03</v>
      </c>
      <c r="C22" s="346">
        <v>2800</v>
      </c>
      <c r="D22" s="349">
        <v>0.01</v>
      </c>
      <c r="E22" s="348"/>
      <c r="F22" s="325"/>
      <c r="H22" s="1"/>
      <c r="I22" s="1"/>
    </row>
    <row r="23" spans="1:9" ht="14.25" x14ac:dyDescent="0.2">
      <c r="A23" s="344">
        <v>0.04</v>
      </c>
      <c r="B23" s="345">
        <v>0.04</v>
      </c>
      <c r="C23" s="346">
        <v>2900</v>
      </c>
      <c r="D23" s="347">
        <v>1.2500000000000001E-2</v>
      </c>
      <c r="E23" s="348"/>
      <c r="F23" s="325"/>
      <c r="H23" s="1"/>
      <c r="I23" s="1"/>
    </row>
    <row r="24" spans="1:9" ht="14.25" x14ac:dyDescent="0.2">
      <c r="A24" s="344">
        <v>0.05</v>
      </c>
      <c r="B24" s="345">
        <v>0.05</v>
      </c>
      <c r="C24" s="346">
        <v>3000</v>
      </c>
      <c r="D24" s="349">
        <v>1.4999999999999999E-2</v>
      </c>
      <c r="E24" s="348"/>
      <c r="F24" s="325"/>
      <c r="H24" s="1"/>
      <c r="I24" s="1"/>
    </row>
    <row r="25" spans="1:9" ht="14.25" x14ac:dyDescent="0.2">
      <c r="A25" s="344">
        <v>0.06</v>
      </c>
      <c r="B25" s="345">
        <v>0.06</v>
      </c>
      <c r="C25" s="346">
        <v>3100</v>
      </c>
      <c r="D25" s="347">
        <v>1.7500000000000002E-2</v>
      </c>
      <c r="E25" s="348"/>
      <c r="F25" s="325"/>
      <c r="H25" s="1"/>
      <c r="I25" s="1"/>
    </row>
    <row r="26" spans="1:9" ht="14.25" x14ac:dyDescent="0.2">
      <c r="A26" s="344">
        <v>7.0000000000000007E-2</v>
      </c>
      <c r="B26" s="345">
        <v>7.0000000000000007E-2</v>
      </c>
      <c r="C26" s="346">
        <v>3200</v>
      </c>
      <c r="D26" s="349">
        <v>0.02</v>
      </c>
      <c r="E26" s="348"/>
      <c r="F26" s="325"/>
      <c r="H26" s="1"/>
      <c r="I26" s="1"/>
    </row>
    <row r="27" spans="1:9" ht="14.25" x14ac:dyDescent="0.2">
      <c r="A27" s="344">
        <v>0.08</v>
      </c>
      <c r="B27" s="345">
        <v>0.08</v>
      </c>
      <c r="C27" s="346">
        <v>3300</v>
      </c>
      <c r="D27" s="347">
        <v>2.2499999999999999E-2</v>
      </c>
      <c r="E27" s="348"/>
      <c r="F27" s="325"/>
      <c r="H27" s="1"/>
      <c r="I27" s="1"/>
    </row>
    <row r="28" spans="1:9" ht="14.25" x14ac:dyDescent="0.2">
      <c r="A28" s="344">
        <v>0.09</v>
      </c>
      <c r="B28" s="345">
        <v>0.09</v>
      </c>
      <c r="C28" s="346">
        <v>3400</v>
      </c>
      <c r="D28" s="349">
        <v>2.5000000000000001E-2</v>
      </c>
      <c r="E28" s="348"/>
      <c r="F28" s="325"/>
      <c r="H28" s="1"/>
      <c r="I28" s="1"/>
    </row>
    <row r="29" spans="1:9" ht="14.25" x14ac:dyDescent="0.2">
      <c r="A29" s="344">
        <v>0.1</v>
      </c>
      <c r="B29" s="345">
        <v>0.1</v>
      </c>
      <c r="C29" s="346">
        <v>3500</v>
      </c>
      <c r="D29" s="347">
        <v>2.75E-2</v>
      </c>
      <c r="E29" s="348"/>
      <c r="F29" s="325"/>
      <c r="H29" s="1"/>
      <c r="I29" s="1"/>
    </row>
    <row r="30" spans="1:9" ht="14.25" x14ac:dyDescent="0.2">
      <c r="A30" s="344">
        <v>0.11</v>
      </c>
      <c r="B30" s="345">
        <v>0.11</v>
      </c>
      <c r="C30" s="346">
        <v>3600</v>
      </c>
      <c r="D30" s="349">
        <v>0.03</v>
      </c>
      <c r="E30" s="348"/>
      <c r="F30" s="325"/>
      <c r="H30" s="1"/>
      <c r="I30" s="1"/>
    </row>
    <row r="31" spans="1:9" ht="14.25" x14ac:dyDescent="0.2">
      <c r="A31" s="344">
        <v>0.12</v>
      </c>
      <c r="B31" s="345">
        <v>0.12</v>
      </c>
      <c r="C31" s="346">
        <v>3700</v>
      </c>
      <c r="D31" s="347">
        <v>3.2500000000000001E-2</v>
      </c>
      <c r="E31" s="348"/>
      <c r="F31" s="325"/>
      <c r="H31" s="1"/>
      <c r="I31" s="1"/>
    </row>
    <row r="32" spans="1:9" ht="14.25" x14ac:dyDescent="0.2">
      <c r="A32" s="344">
        <v>0.13</v>
      </c>
      <c r="B32" s="345">
        <v>0.13</v>
      </c>
      <c r="C32" s="346">
        <v>3800</v>
      </c>
      <c r="D32" s="349">
        <v>3.5000000000000003E-2</v>
      </c>
      <c r="E32" s="348"/>
      <c r="F32" s="325"/>
      <c r="H32" s="1"/>
      <c r="I32" s="1"/>
    </row>
    <row r="33" spans="1:9" ht="14.25" x14ac:dyDescent="0.2">
      <c r="A33" s="344">
        <v>0.14000000000000001</v>
      </c>
      <c r="B33" s="345">
        <v>0.14000000000000001</v>
      </c>
      <c r="C33" s="346">
        <v>3900</v>
      </c>
      <c r="D33" s="347">
        <v>3.7499999999999999E-2</v>
      </c>
      <c r="E33" s="348"/>
      <c r="F33" s="325"/>
      <c r="H33" s="1"/>
      <c r="I33" s="1"/>
    </row>
    <row r="34" spans="1:9" ht="14.25" x14ac:dyDescent="0.2">
      <c r="A34" s="344">
        <v>0.15</v>
      </c>
      <c r="B34" s="345">
        <v>0.15</v>
      </c>
      <c r="C34" s="346">
        <v>4000</v>
      </c>
      <c r="D34" s="349">
        <v>0.04</v>
      </c>
      <c r="E34" s="348"/>
      <c r="F34" s="325"/>
      <c r="H34" s="1"/>
      <c r="I34" s="1"/>
    </row>
    <row r="35" spans="1:9" ht="14.25" x14ac:dyDescent="0.2">
      <c r="A35" s="344">
        <v>0.16</v>
      </c>
      <c r="B35" s="345">
        <v>0.16</v>
      </c>
      <c r="C35" s="346">
        <v>4100</v>
      </c>
      <c r="D35" s="347">
        <v>4.2500000000000003E-2</v>
      </c>
      <c r="E35" s="348"/>
      <c r="F35" s="325"/>
      <c r="H35" s="1"/>
      <c r="I35" s="1"/>
    </row>
    <row r="36" spans="1:9" ht="14.25" x14ac:dyDescent="0.2">
      <c r="A36" s="344">
        <v>0.17</v>
      </c>
      <c r="B36" s="345">
        <v>0.17</v>
      </c>
      <c r="C36" s="346">
        <v>4200</v>
      </c>
      <c r="D36" s="349">
        <v>4.4999999999999998E-2</v>
      </c>
      <c r="E36" s="348"/>
      <c r="F36" s="325"/>
      <c r="H36" s="1"/>
      <c r="I36" s="1"/>
    </row>
    <row r="37" spans="1:9" ht="14.25" x14ac:dyDescent="0.2">
      <c r="A37" s="344">
        <v>0.18</v>
      </c>
      <c r="B37" s="350"/>
      <c r="C37" s="346">
        <v>4300</v>
      </c>
      <c r="D37" s="347">
        <v>4.7500000000000001E-2</v>
      </c>
      <c r="E37" s="348"/>
      <c r="F37" s="325"/>
      <c r="H37" s="1"/>
      <c r="I37" s="1"/>
    </row>
    <row r="38" spans="1:9" ht="14.25" x14ac:dyDescent="0.2">
      <c r="A38" s="344">
        <v>0.19</v>
      </c>
      <c r="B38" s="350"/>
      <c r="C38" s="346">
        <v>4400</v>
      </c>
      <c r="D38" s="349">
        <v>0.05</v>
      </c>
      <c r="E38" s="348"/>
      <c r="F38" s="325"/>
      <c r="H38" s="1"/>
      <c r="I38" s="1"/>
    </row>
    <row r="39" spans="1:9" ht="14.25" x14ac:dyDescent="0.2">
      <c r="A39" s="344">
        <v>0.2</v>
      </c>
      <c r="B39" s="350"/>
      <c r="C39" s="346">
        <v>4500</v>
      </c>
      <c r="D39" s="351"/>
      <c r="E39" s="348"/>
      <c r="F39" s="325"/>
      <c r="H39" s="1"/>
      <c r="I39" s="1"/>
    </row>
    <row r="40" spans="1:9" ht="14.25" x14ac:dyDescent="0.2">
      <c r="A40" s="344">
        <v>0.21</v>
      </c>
      <c r="B40" s="350"/>
      <c r="C40" s="346">
        <v>4600</v>
      </c>
      <c r="D40" s="351"/>
      <c r="E40" s="348"/>
      <c r="F40" s="325"/>
      <c r="H40" s="1"/>
      <c r="I40" s="1"/>
    </row>
    <row r="41" spans="1:9" ht="14.25" x14ac:dyDescent="0.2">
      <c r="A41" s="344">
        <v>0.22</v>
      </c>
      <c r="B41" s="350"/>
      <c r="C41" s="346">
        <v>4700</v>
      </c>
      <c r="D41" s="351"/>
      <c r="E41" s="348"/>
      <c r="F41" s="325"/>
      <c r="H41" s="1"/>
      <c r="I41" s="1"/>
    </row>
    <row r="42" spans="1:9" ht="14.25" x14ac:dyDescent="0.2">
      <c r="A42" s="344">
        <v>0.23</v>
      </c>
      <c r="B42" s="350"/>
      <c r="C42" s="346">
        <v>4800</v>
      </c>
      <c r="D42" s="350"/>
      <c r="E42" s="348"/>
      <c r="F42" s="325"/>
      <c r="I42" s="1"/>
    </row>
    <row r="43" spans="1:9" ht="14.25" x14ac:dyDescent="0.2">
      <c r="A43" s="344">
        <v>0.24</v>
      </c>
      <c r="B43" s="352"/>
      <c r="C43" s="346">
        <v>4900</v>
      </c>
      <c r="D43" s="350"/>
      <c r="E43" s="77"/>
      <c r="F43" s="348"/>
    </row>
    <row r="44" spans="1:9" ht="14.25" x14ac:dyDescent="0.2">
      <c r="A44" s="344">
        <v>0.25</v>
      </c>
      <c r="B44" s="352"/>
      <c r="C44" s="346">
        <v>5000</v>
      </c>
      <c r="D44" s="350"/>
      <c r="E44" s="77"/>
      <c r="F44" s="348"/>
    </row>
    <row r="45" spans="1:9" ht="14.25" x14ac:dyDescent="0.2">
      <c r="A45" s="344">
        <v>0.26</v>
      </c>
      <c r="B45" s="353"/>
      <c r="C45" s="77"/>
      <c r="D45" s="77"/>
      <c r="E45" s="77"/>
      <c r="F45" s="348"/>
    </row>
    <row r="46" spans="1:9" ht="14.25" x14ac:dyDescent="0.2">
      <c r="A46" s="344">
        <v>0.27</v>
      </c>
      <c r="B46" s="353"/>
      <c r="C46" s="77"/>
      <c r="D46" s="77"/>
      <c r="E46" s="77"/>
      <c r="F46" s="348"/>
    </row>
    <row r="47" spans="1:9" ht="14.25" x14ac:dyDescent="0.2">
      <c r="A47" s="344">
        <v>0.28000000000000003</v>
      </c>
      <c r="B47" s="353"/>
      <c r="C47" s="77"/>
      <c r="D47" s="77"/>
      <c r="E47" s="77"/>
      <c r="F47" s="348"/>
    </row>
    <row r="48" spans="1:9" ht="14.25" x14ac:dyDescent="0.2">
      <c r="A48" s="344">
        <v>0.28999999999999998</v>
      </c>
      <c r="B48" s="353"/>
      <c r="C48" s="77"/>
      <c r="D48" s="77"/>
      <c r="E48" s="77"/>
      <c r="F48" s="348"/>
    </row>
    <row r="49" spans="1:6" ht="14.25" x14ac:dyDescent="0.2">
      <c r="A49" s="344">
        <v>0.3</v>
      </c>
      <c r="B49" s="353"/>
      <c r="C49" s="77"/>
      <c r="D49" s="77"/>
      <c r="E49" s="77"/>
      <c r="F49" s="348"/>
    </row>
    <row r="50" spans="1:6" ht="14.25" x14ac:dyDescent="0.2">
      <c r="A50" s="344">
        <v>0.31</v>
      </c>
      <c r="B50" s="77"/>
      <c r="C50" s="77"/>
      <c r="D50" s="77"/>
      <c r="E50" s="77"/>
      <c r="F50" s="348"/>
    </row>
    <row r="51" spans="1:6" ht="14.25" x14ac:dyDescent="0.2">
      <c r="A51" s="344">
        <v>0.32</v>
      </c>
      <c r="B51" s="77"/>
      <c r="C51" s="77"/>
      <c r="D51" s="77"/>
      <c r="E51" s="77"/>
      <c r="F51" s="348"/>
    </row>
    <row r="52" spans="1:6" ht="14.25" x14ac:dyDescent="0.2">
      <c r="A52" s="344">
        <v>0.33</v>
      </c>
      <c r="B52" s="77"/>
      <c r="C52" s="77"/>
      <c r="D52" s="77"/>
      <c r="E52" s="77"/>
      <c r="F52" s="348"/>
    </row>
    <row r="53" spans="1:6" ht="14.25" x14ac:dyDescent="0.2">
      <c r="A53" s="344">
        <v>0.34</v>
      </c>
      <c r="B53" s="77"/>
      <c r="C53" s="77"/>
      <c r="D53" s="77"/>
      <c r="E53" s="77"/>
      <c r="F53" s="348"/>
    </row>
    <row r="54" spans="1:6" ht="14.25" x14ac:dyDescent="0.2">
      <c r="A54" s="344">
        <v>0.35</v>
      </c>
      <c r="B54" s="77"/>
      <c r="C54" s="77"/>
      <c r="D54" s="77"/>
      <c r="E54" s="77"/>
      <c r="F54" s="348"/>
    </row>
    <row r="55" spans="1:6" ht="14.25" x14ac:dyDescent="0.2">
      <c r="A55" s="344">
        <v>0.36</v>
      </c>
      <c r="B55" s="77"/>
      <c r="C55" s="77"/>
      <c r="D55" s="77"/>
      <c r="E55" s="77"/>
      <c r="F55" s="348"/>
    </row>
    <row r="56" spans="1:6" ht="14.25" x14ac:dyDescent="0.2">
      <c r="A56" s="344">
        <v>0.37</v>
      </c>
      <c r="B56" s="77"/>
      <c r="C56" s="77"/>
      <c r="D56" s="77"/>
      <c r="E56" s="77"/>
      <c r="F56" s="348"/>
    </row>
    <row r="57" spans="1:6" ht="14.25" x14ac:dyDescent="0.2">
      <c r="A57" s="344">
        <v>0.38</v>
      </c>
      <c r="B57" s="77"/>
      <c r="C57" s="348"/>
      <c r="D57" s="348"/>
      <c r="E57" s="348"/>
      <c r="F57" s="348"/>
    </row>
    <row r="58" spans="1:6" ht="14.25" x14ac:dyDescent="0.2">
      <c r="A58" s="344">
        <v>0.39</v>
      </c>
      <c r="B58" s="348"/>
      <c r="C58" s="348"/>
      <c r="D58" s="348"/>
      <c r="E58" s="348"/>
      <c r="F58" s="348"/>
    </row>
    <row r="59" spans="1:6" ht="14.25" x14ac:dyDescent="0.2">
      <c r="A59" s="344">
        <v>0.4</v>
      </c>
      <c r="B59" s="348"/>
      <c r="C59" s="348"/>
      <c r="D59" s="348"/>
      <c r="E59" s="348"/>
      <c r="F59" s="348"/>
    </row>
    <row r="60" spans="1:6" ht="14.25" x14ac:dyDescent="0.2">
      <c r="A60" s="344">
        <v>0.41</v>
      </c>
      <c r="B60" s="348"/>
      <c r="C60" s="348"/>
      <c r="D60" s="348"/>
      <c r="E60" s="348"/>
      <c r="F60" s="348"/>
    </row>
    <row r="61" spans="1:6" ht="14.25" x14ac:dyDescent="0.2">
      <c r="A61" s="344">
        <v>0.42</v>
      </c>
      <c r="B61" s="348"/>
      <c r="C61" s="348"/>
      <c r="D61" s="348"/>
      <c r="E61" s="348"/>
      <c r="F61" s="348"/>
    </row>
    <row r="62" spans="1:6" ht="14.25" x14ac:dyDescent="0.2">
      <c r="A62" s="344">
        <v>0.43</v>
      </c>
      <c r="B62" s="348"/>
      <c r="C62" s="348"/>
      <c r="D62" s="348"/>
      <c r="E62" s="348"/>
      <c r="F62" s="348"/>
    </row>
    <row r="63" spans="1:6" ht="14.25" x14ac:dyDescent="0.2">
      <c r="A63" s="344">
        <v>0.44</v>
      </c>
      <c r="B63" s="348"/>
      <c r="C63" s="348"/>
      <c r="D63" s="348"/>
      <c r="E63" s="348"/>
      <c r="F63" s="348"/>
    </row>
    <row r="64" spans="1:6" ht="14.25" x14ac:dyDescent="0.2">
      <c r="A64" s="344">
        <v>0.45</v>
      </c>
      <c r="B64" s="348"/>
      <c r="C64" s="348"/>
      <c r="D64" s="348"/>
      <c r="E64" s="348"/>
      <c r="F64" s="348"/>
    </row>
    <row r="65" spans="1:6" ht="14.25" x14ac:dyDescent="0.2">
      <c r="A65" s="344">
        <v>0.46</v>
      </c>
      <c r="B65" s="348"/>
      <c r="C65" s="348"/>
      <c r="D65" s="348"/>
      <c r="E65" s="348"/>
      <c r="F65" s="348"/>
    </row>
    <row r="66" spans="1:6" ht="14.25" x14ac:dyDescent="0.2">
      <c r="A66" s="344">
        <v>0.47</v>
      </c>
      <c r="B66" s="348"/>
      <c r="C66" s="348"/>
      <c r="D66" s="348"/>
      <c r="E66" s="348"/>
      <c r="F66" s="348"/>
    </row>
    <row r="67" spans="1:6" ht="14.25" x14ac:dyDescent="0.2">
      <c r="A67" s="344">
        <v>0.48</v>
      </c>
      <c r="B67" s="348"/>
      <c r="C67" s="348"/>
      <c r="D67" s="348"/>
      <c r="E67" s="348"/>
      <c r="F67" s="348"/>
    </row>
    <row r="68" spans="1:6" ht="14.25" x14ac:dyDescent="0.2">
      <c r="A68" s="344">
        <v>0.49</v>
      </c>
      <c r="B68" s="348"/>
      <c r="C68" s="348"/>
      <c r="D68" s="348"/>
      <c r="E68" s="348"/>
      <c r="F68" s="348"/>
    </row>
    <row r="69" spans="1:6" ht="14.25" x14ac:dyDescent="0.2">
      <c r="A69" s="344">
        <v>0.5</v>
      </c>
      <c r="B69" s="348"/>
      <c r="C69" s="348"/>
      <c r="D69" s="348"/>
      <c r="E69" s="348"/>
      <c r="F69" s="348"/>
    </row>
    <row r="70" spans="1:6" ht="14.25" x14ac:dyDescent="0.2">
      <c r="A70" s="344">
        <v>0.51</v>
      </c>
      <c r="B70" s="348"/>
      <c r="C70" s="348"/>
      <c r="D70" s="348"/>
      <c r="E70" s="348"/>
      <c r="F70" s="348"/>
    </row>
    <row r="71" spans="1:6" ht="14.25" x14ac:dyDescent="0.2">
      <c r="A71" s="344">
        <v>0.52</v>
      </c>
      <c r="B71" s="348"/>
      <c r="C71" s="348"/>
      <c r="D71" s="348"/>
      <c r="E71" s="348"/>
      <c r="F71" s="348"/>
    </row>
    <row r="72" spans="1:6" ht="14.25" x14ac:dyDescent="0.2">
      <c r="A72" s="344">
        <v>0.53</v>
      </c>
      <c r="B72" s="348"/>
      <c r="C72" s="348"/>
      <c r="D72" s="348"/>
      <c r="E72" s="348"/>
      <c r="F72" s="348"/>
    </row>
    <row r="73" spans="1:6" ht="14.25" x14ac:dyDescent="0.2">
      <c r="A73" s="344">
        <v>0.54</v>
      </c>
      <c r="B73" s="348"/>
      <c r="C73" s="348"/>
      <c r="D73" s="348"/>
      <c r="E73" s="348"/>
      <c r="F73" s="348"/>
    </row>
    <row r="74" spans="1:6" ht="14.25" x14ac:dyDescent="0.2">
      <c r="A74" s="344">
        <v>0.55000000000000004</v>
      </c>
      <c r="B74" s="348"/>
      <c r="C74" s="348"/>
      <c r="D74" s="348"/>
      <c r="E74" s="348"/>
      <c r="F74" s="348"/>
    </row>
    <row r="75" spans="1:6" ht="14.25" x14ac:dyDescent="0.2">
      <c r="A75" s="344">
        <v>0.56000000000000005</v>
      </c>
      <c r="B75" s="348"/>
      <c r="C75" s="348"/>
      <c r="D75" s="348"/>
      <c r="E75" s="348"/>
      <c r="F75" s="348"/>
    </row>
    <row r="76" spans="1:6" ht="14.25" x14ac:dyDescent="0.2">
      <c r="A76" s="344">
        <v>0.56999999999999995</v>
      </c>
      <c r="B76" s="348"/>
      <c r="C76" s="348"/>
      <c r="D76" s="348"/>
      <c r="E76" s="348"/>
      <c r="F76" s="348"/>
    </row>
    <row r="77" spans="1:6" ht="14.25" x14ac:dyDescent="0.2">
      <c r="A77" s="344">
        <v>0.57999999999999996</v>
      </c>
      <c r="B77" s="348"/>
      <c r="C77" s="348"/>
      <c r="D77" s="348"/>
      <c r="E77" s="348"/>
      <c r="F77" s="348"/>
    </row>
    <row r="78" spans="1:6" ht="14.25" x14ac:dyDescent="0.2">
      <c r="A78" s="344">
        <v>0.59</v>
      </c>
      <c r="B78" s="348"/>
      <c r="C78" s="348"/>
      <c r="D78" s="348"/>
      <c r="E78" s="348"/>
      <c r="F78" s="348"/>
    </row>
    <row r="79" spans="1:6" ht="14.25" x14ac:dyDescent="0.2">
      <c r="A79" s="344">
        <v>0.6</v>
      </c>
      <c r="B79" s="348"/>
      <c r="C79" s="348"/>
      <c r="D79" s="348"/>
      <c r="E79" s="348"/>
      <c r="F79" s="348"/>
    </row>
    <row r="80" spans="1:6" ht="14.25" x14ac:dyDescent="0.2">
      <c r="A80" s="344">
        <v>0.61</v>
      </c>
      <c r="B80" s="348"/>
      <c r="C80" s="348"/>
      <c r="D80" s="348"/>
      <c r="E80" s="348"/>
      <c r="F80" s="348"/>
    </row>
    <row r="81" spans="1:6" ht="14.25" x14ac:dyDescent="0.2">
      <c r="A81" s="344">
        <v>0.62</v>
      </c>
      <c r="B81" s="348"/>
      <c r="C81" s="348"/>
      <c r="D81" s="348"/>
      <c r="E81" s="348"/>
      <c r="F81" s="348"/>
    </row>
    <row r="82" spans="1:6" ht="14.25" x14ac:dyDescent="0.2">
      <c r="A82" s="344">
        <v>0.63</v>
      </c>
      <c r="B82" s="348"/>
      <c r="C82" s="348"/>
      <c r="D82" s="348"/>
      <c r="E82" s="348"/>
      <c r="F82" s="348"/>
    </row>
    <row r="83" spans="1:6" ht="14.25" x14ac:dyDescent="0.2">
      <c r="A83" s="344">
        <v>0.64</v>
      </c>
      <c r="B83" s="348"/>
      <c r="C83" s="348"/>
      <c r="D83" s="348"/>
      <c r="E83" s="348"/>
      <c r="F83" s="348"/>
    </row>
    <row r="84" spans="1:6" ht="14.25" x14ac:dyDescent="0.2">
      <c r="A84" s="344">
        <v>0.65</v>
      </c>
      <c r="B84" s="348"/>
      <c r="C84" s="348"/>
      <c r="D84" s="348"/>
      <c r="E84" s="348"/>
      <c r="F84" s="348"/>
    </row>
    <row r="85" spans="1:6" ht="14.25" x14ac:dyDescent="0.2">
      <c r="A85" s="344">
        <v>0.66</v>
      </c>
      <c r="B85" s="348"/>
      <c r="C85" s="348"/>
      <c r="D85" s="348"/>
      <c r="E85" s="348"/>
      <c r="F85" s="348"/>
    </row>
    <row r="86" spans="1:6" ht="14.25" x14ac:dyDescent="0.2">
      <c r="A86" s="344">
        <v>0.67</v>
      </c>
      <c r="B86" s="348"/>
      <c r="C86" s="348"/>
      <c r="D86" s="348"/>
      <c r="E86" s="348"/>
      <c r="F86" s="348"/>
    </row>
    <row r="87" spans="1:6" ht="14.25" x14ac:dyDescent="0.2">
      <c r="A87" s="344">
        <v>0.68</v>
      </c>
      <c r="B87" s="348"/>
      <c r="C87" s="348"/>
      <c r="D87" s="348"/>
      <c r="E87" s="348"/>
      <c r="F87" s="348"/>
    </row>
    <row r="88" spans="1:6" ht="14.25" x14ac:dyDescent="0.2">
      <c r="A88" s="344">
        <v>0.69</v>
      </c>
      <c r="B88" s="348"/>
      <c r="C88" s="348"/>
      <c r="D88" s="348"/>
      <c r="E88" s="348"/>
      <c r="F88" s="348"/>
    </row>
    <row r="89" spans="1:6" ht="14.25" x14ac:dyDescent="0.2">
      <c r="A89" s="344">
        <v>0.7</v>
      </c>
      <c r="B89" s="348"/>
      <c r="C89" s="348"/>
      <c r="D89" s="348"/>
      <c r="E89" s="348"/>
      <c r="F89" s="348"/>
    </row>
    <row r="90" spans="1:6" ht="14.25" x14ac:dyDescent="0.2">
      <c r="A90" s="344">
        <v>0.71</v>
      </c>
      <c r="B90" s="348"/>
      <c r="C90" s="348"/>
      <c r="D90" s="348"/>
      <c r="E90" s="348"/>
      <c r="F90" s="348"/>
    </row>
    <row r="91" spans="1:6" ht="14.25" x14ac:dyDescent="0.2">
      <c r="A91" s="344">
        <v>0.72</v>
      </c>
      <c r="B91" s="348"/>
      <c r="C91" s="348"/>
      <c r="D91" s="348"/>
      <c r="E91" s="348"/>
      <c r="F91" s="348"/>
    </row>
    <row r="92" spans="1:6" ht="14.25" x14ac:dyDescent="0.2">
      <c r="A92" s="344">
        <v>0.73</v>
      </c>
      <c r="B92" s="348"/>
      <c r="C92" s="348"/>
      <c r="D92" s="348"/>
      <c r="E92" s="348"/>
      <c r="F92" s="348"/>
    </row>
    <row r="93" spans="1:6" ht="14.25" x14ac:dyDescent="0.2">
      <c r="A93" s="344">
        <v>0.74</v>
      </c>
      <c r="B93" s="348"/>
      <c r="C93" s="348"/>
      <c r="D93" s="348"/>
      <c r="E93" s="348"/>
      <c r="F93" s="348"/>
    </row>
    <row r="94" spans="1:6" ht="14.25" x14ac:dyDescent="0.2">
      <c r="A94" s="344">
        <v>0.75</v>
      </c>
      <c r="B94" s="348"/>
      <c r="C94" s="348"/>
      <c r="D94" s="348"/>
      <c r="E94" s="348"/>
      <c r="F94" s="348"/>
    </row>
    <row r="95" spans="1:6" ht="14.25" x14ac:dyDescent="0.2">
      <c r="A95" s="344">
        <v>0.76</v>
      </c>
      <c r="B95" s="348"/>
      <c r="C95" s="348"/>
      <c r="D95" s="348"/>
      <c r="E95" s="348"/>
      <c r="F95" s="348"/>
    </row>
    <row r="96" spans="1:6" ht="14.25" x14ac:dyDescent="0.2">
      <c r="A96" s="344">
        <v>0.77</v>
      </c>
      <c r="B96" s="348"/>
      <c r="C96" s="348"/>
      <c r="D96" s="348"/>
      <c r="E96" s="348"/>
      <c r="F96" s="348"/>
    </row>
    <row r="97" spans="1:6" ht="14.25" x14ac:dyDescent="0.2">
      <c r="A97" s="344">
        <v>0.78</v>
      </c>
      <c r="B97" s="348"/>
      <c r="C97" s="348"/>
      <c r="D97" s="348"/>
      <c r="E97" s="348"/>
      <c r="F97" s="348"/>
    </row>
    <row r="98" spans="1:6" ht="14.25" x14ac:dyDescent="0.2">
      <c r="A98" s="344">
        <v>0.79</v>
      </c>
      <c r="B98" s="348"/>
      <c r="C98" s="348"/>
      <c r="D98" s="348"/>
      <c r="E98" s="348"/>
      <c r="F98" s="348"/>
    </row>
    <row r="99" spans="1:6" ht="14.25" x14ac:dyDescent="0.2">
      <c r="A99" s="344">
        <v>0.8</v>
      </c>
      <c r="B99" s="348"/>
      <c r="C99" s="348"/>
      <c r="D99" s="348"/>
      <c r="E99" s="348"/>
      <c r="F99" s="348"/>
    </row>
    <row r="100" spans="1:6" ht="14.25" x14ac:dyDescent="0.2">
      <c r="A100" s="344">
        <v>0.81</v>
      </c>
      <c r="B100" s="348"/>
      <c r="C100" s="348"/>
      <c r="D100" s="348"/>
      <c r="E100" s="348"/>
      <c r="F100" s="348"/>
    </row>
    <row r="101" spans="1:6" ht="14.25" x14ac:dyDescent="0.2">
      <c r="A101" s="344">
        <v>0.82</v>
      </c>
      <c r="B101" s="348"/>
      <c r="C101" s="348"/>
      <c r="D101" s="348"/>
      <c r="E101" s="348"/>
      <c r="F101" s="348"/>
    </row>
    <row r="102" spans="1:6" ht="14.25" x14ac:dyDescent="0.2">
      <c r="A102" s="344">
        <v>0.83</v>
      </c>
      <c r="B102" s="348"/>
      <c r="C102" s="348"/>
      <c r="D102" s="348"/>
      <c r="E102" s="348"/>
      <c r="F102" s="348"/>
    </row>
    <row r="103" spans="1:6" ht="14.25" x14ac:dyDescent="0.2">
      <c r="A103" s="344">
        <v>0.84</v>
      </c>
      <c r="B103" s="348"/>
      <c r="C103" s="348"/>
      <c r="D103" s="348"/>
      <c r="E103" s="348"/>
      <c r="F103" s="348"/>
    </row>
    <row r="104" spans="1:6" ht="14.25" x14ac:dyDescent="0.2">
      <c r="A104" s="344">
        <v>0.85</v>
      </c>
      <c r="B104" s="348"/>
      <c r="C104" s="348"/>
      <c r="D104" s="348"/>
      <c r="E104" s="348"/>
      <c r="F104" s="348"/>
    </row>
    <row r="105" spans="1:6" ht="14.25" x14ac:dyDescent="0.2">
      <c r="A105" s="344">
        <v>0.86</v>
      </c>
      <c r="B105" s="348"/>
      <c r="C105" s="348"/>
      <c r="D105" s="348"/>
      <c r="E105" s="348"/>
      <c r="F105" s="348"/>
    </row>
    <row r="106" spans="1:6" ht="14.25" x14ac:dyDescent="0.2">
      <c r="A106" s="344">
        <v>0.87</v>
      </c>
      <c r="B106" s="348"/>
      <c r="C106" s="348"/>
      <c r="D106" s="348"/>
      <c r="E106" s="348"/>
      <c r="F106" s="348"/>
    </row>
    <row r="107" spans="1:6" ht="14.25" x14ac:dyDescent="0.2">
      <c r="A107" s="344">
        <v>0.88</v>
      </c>
      <c r="B107" s="348"/>
      <c r="C107" s="348"/>
      <c r="D107" s="348"/>
      <c r="E107" s="348"/>
      <c r="F107" s="348"/>
    </row>
    <row r="108" spans="1:6" ht="14.25" x14ac:dyDescent="0.2">
      <c r="A108" s="344">
        <v>0.89</v>
      </c>
      <c r="B108" s="348"/>
      <c r="C108" s="348"/>
      <c r="D108" s="348"/>
      <c r="E108" s="348"/>
      <c r="F108" s="348"/>
    </row>
    <row r="109" spans="1:6" ht="14.25" x14ac:dyDescent="0.2">
      <c r="A109" s="344">
        <v>0.9</v>
      </c>
      <c r="B109" s="348"/>
      <c r="C109" s="348"/>
      <c r="D109" s="348"/>
      <c r="E109" s="348"/>
      <c r="F109" s="348"/>
    </row>
    <row r="110" spans="1:6" ht="14.25" x14ac:dyDescent="0.2">
      <c r="A110" s="344">
        <v>0.91</v>
      </c>
      <c r="B110" s="348"/>
      <c r="C110" s="348"/>
      <c r="D110" s="348"/>
      <c r="E110" s="348"/>
      <c r="F110" s="348"/>
    </row>
    <row r="111" spans="1:6" ht="14.25" x14ac:dyDescent="0.2">
      <c r="A111" s="344">
        <v>0.92</v>
      </c>
      <c r="B111" s="348"/>
      <c r="C111" s="348"/>
      <c r="D111" s="348"/>
      <c r="E111" s="348"/>
      <c r="F111" s="348"/>
    </row>
    <row r="112" spans="1:6" ht="14.25" x14ac:dyDescent="0.2">
      <c r="A112" s="344">
        <v>0.93</v>
      </c>
      <c r="B112" s="348"/>
      <c r="C112" s="348"/>
      <c r="D112" s="348"/>
      <c r="E112" s="348"/>
      <c r="F112" s="348"/>
    </row>
    <row r="113" spans="1:6" ht="14.25" x14ac:dyDescent="0.2">
      <c r="A113" s="344">
        <v>0.94</v>
      </c>
      <c r="B113" s="348"/>
      <c r="C113" s="348"/>
      <c r="D113" s="348"/>
      <c r="E113" s="348"/>
      <c r="F113" s="348"/>
    </row>
    <row r="114" spans="1:6" ht="14.25" x14ac:dyDescent="0.2">
      <c r="A114" s="344">
        <v>0.95</v>
      </c>
      <c r="B114" s="348"/>
      <c r="C114" s="348"/>
      <c r="D114" s="348"/>
      <c r="E114" s="348"/>
      <c r="F114" s="348"/>
    </row>
    <row r="115" spans="1:6" ht="14.25" x14ac:dyDescent="0.2">
      <c r="A115" s="344">
        <v>0.96</v>
      </c>
      <c r="B115" s="348"/>
      <c r="C115" s="348"/>
      <c r="D115" s="348"/>
      <c r="E115" s="348"/>
      <c r="F115" s="348"/>
    </row>
    <row r="116" spans="1:6" ht="14.25" x14ac:dyDescent="0.2">
      <c r="A116" s="344">
        <v>0.97</v>
      </c>
      <c r="B116" s="348"/>
      <c r="C116" s="348"/>
      <c r="D116" s="348"/>
      <c r="E116" s="348"/>
      <c r="F116" s="348"/>
    </row>
    <row r="117" spans="1:6" ht="14.25" x14ac:dyDescent="0.2">
      <c r="A117" s="344">
        <v>0.98</v>
      </c>
      <c r="B117" s="348"/>
      <c r="C117" s="348"/>
      <c r="D117" s="348"/>
      <c r="E117" s="348"/>
      <c r="F117" s="348"/>
    </row>
    <row r="118" spans="1:6" ht="14.25" x14ac:dyDescent="0.2">
      <c r="A118" s="344">
        <v>0.99</v>
      </c>
      <c r="B118" s="348"/>
      <c r="C118" s="348"/>
      <c r="D118" s="348"/>
      <c r="E118" s="348"/>
      <c r="F118" s="348"/>
    </row>
    <row r="119" spans="1:6" ht="14.25" x14ac:dyDescent="0.2">
      <c r="A119" s="344">
        <v>1</v>
      </c>
      <c r="B119" s="348"/>
      <c r="C119" s="348"/>
      <c r="D119" s="348"/>
      <c r="E119" s="348"/>
      <c r="F119" s="348"/>
    </row>
    <row r="120" spans="1:6" ht="14.25" x14ac:dyDescent="0.2">
      <c r="A120" s="348"/>
      <c r="B120" s="348"/>
      <c r="C120" s="348"/>
      <c r="D120" s="348"/>
      <c r="E120" s="348"/>
      <c r="F120" s="348"/>
    </row>
    <row r="121" spans="1:6" ht="14.25" x14ac:dyDescent="0.2">
      <c r="A121" s="348"/>
      <c r="B121" s="348"/>
      <c r="C121" s="348"/>
      <c r="D121" s="348"/>
      <c r="E121" s="348"/>
      <c r="F121" s="348"/>
    </row>
    <row r="122" spans="1:6" ht="14.25" x14ac:dyDescent="0.2">
      <c r="A122" s="348"/>
      <c r="B122" s="348"/>
      <c r="C122" s="348"/>
      <c r="D122" s="348"/>
      <c r="E122" s="348"/>
      <c r="F122" s="348"/>
    </row>
    <row r="123" spans="1:6" ht="14.25" x14ac:dyDescent="0.2">
      <c r="A123" s="348"/>
      <c r="B123" s="348"/>
      <c r="C123" s="348"/>
      <c r="D123" s="348"/>
      <c r="E123" s="348"/>
      <c r="F123" s="348"/>
    </row>
    <row r="124" spans="1:6" ht="14.25" x14ac:dyDescent="0.2">
      <c r="A124" s="348"/>
      <c r="B124" s="348"/>
      <c r="C124" s="348"/>
      <c r="D124" s="348"/>
      <c r="E124" s="348"/>
      <c r="F124" s="348"/>
    </row>
    <row r="125" spans="1:6" ht="14.25" x14ac:dyDescent="0.2">
      <c r="A125" s="348"/>
      <c r="B125" s="348"/>
      <c r="C125" s="348"/>
      <c r="D125" s="348"/>
      <c r="E125" s="348"/>
      <c r="F125" s="348"/>
    </row>
    <row r="126" spans="1:6" ht="14.25" x14ac:dyDescent="0.2">
      <c r="A126" s="348"/>
      <c r="B126" s="348"/>
      <c r="C126" s="348"/>
      <c r="D126" s="348"/>
      <c r="E126" s="348"/>
      <c r="F126" s="348"/>
    </row>
    <row r="127" spans="1:6" ht="14.25" x14ac:dyDescent="0.2">
      <c r="A127" s="348"/>
      <c r="B127" s="348"/>
      <c r="C127" s="348"/>
      <c r="D127" s="348"/>
      <c r="E127" s="348"/>
      <c r="F127" s="348"/>
    </row>
    <row r="128" spans="1:6" ht="14.25" x14ac:dyDescent="0.2">
      <c r="A128" s="348"/>
      <c r="B128" s="348"/>
      <c r="C128" s="348"/>
      <c r="D128" s="348"/>
      <c r="E128" s="348"/>
      <c r="F128" s="348"/>
    </row>
    <row r="129" spans="1:6" ht="14.25" x14ac:dyDescent="0.2">
      <c r="A129" s="348"/>
      <c r="B129" s="348"/>
      <c r="C129" s="348"/>
      <c r="D129" s="348"/>
      <c r="E129" s="348"/>
      <c r="F129" s="348"/>
    </row>
    <row r="130" spans="1:6" ht="14.25" x14ac:dyDescent="0.2">
      <c r="A130" s="348"/>
      <c r="B130" s="348"/>
      <c r="C130" s="348"/>
      <c r="D130" s="348"/>
      <c r="E130" s="348"/>
      <c r="F130" s="348"/>
    </row>
    <row r="131" spans="1:6" ht="14.25" x14ac:dyDescent="0.2">
      <c r="A131" s="348"/>
      <c r="B131" s="348"/>
      <c r="C131" s="348"/>
      <c r="D131" s="348"/>
      <c r="E131" s="348"/>
      <c r="F131" s="348"/>
    </row>
    <row r="132" spans="1:6" ht="14.25" x14ac:dyDescent="0.2">
      <c r="A132" s="348"/>
      <c r="B132" s="348"/>
      <c r="C132" s="348"/>
      <c r="D132" s="348"/>
      <c r="E132" s="348"/>
      <c r="F132" s="348"/>
    </row>
    <row r="133" spans="1:6" ht="14.25" x14ac:dyDescent="0.2">
      <c r="A133" s="348"/>
      <c r="B133" s="348"/>
      <c r="C133" s="348"/>
      <c r="D133" s="348"/>
      <c r="E133" s="348"/>
      <c r="F133" s="348"/>
    </row>
    <row r="134" spans="1:6" ht="14.25" x14ac:dyDescent="0.2">
      <c r="A134" s="348"/>
      <c r="B134" s="348"/>
      <c r="C134" s="348"/>
      <c r="D134" s="348"/>
      <c r="E134" s="348"/>
      <c r="F134" s="348"/>
    </row>
    <row r="135" spans="1:6" ht="14.25" x14ac:dyDescent="0.2">
      <c r="A135" s="348"/>
      <c r="B135" s="348"/>
      <c r="C135" s="348"/>
      <c r="D135" s="348"/>
      <c r="E135" s="348"/>
      <c r="F135" s="348"/>
    </row>
    <row r="136" spans="1:6" ht="14.25" x14ac:dyDescent="0.2">
      <c r="A136" s="348"/>
      <c r="B136" s="348"/>
      <c r="C136" s="348"/>
      <c r="D136" s="348"/>
      <c r="E136" s="348"/>
      <c r="F136" s="348"/>
    </row>
    <row r="137" spans="1:6" ht="14.25" x14ac:dyDescent="0.2">
      <c r="A137" s="348"/>
      <c r="B137" s="348"/>
      <c r="C137" s="348"/>
      <c r="D137" s="348"/>
      <c r="E137" s="348"/>
      <c r="F137" s="348"/>
    </row>
    <row r="138" spans="1:6" ht="14.25" x14ac:dyDescent="0.2">
      <c r="A138" s="348"/>
      <c r="B138" s="348"/>
      <c r="C138" s="348"/>
      <c r="D138" s="348"/>
      <c r="E138" s="348"/>
      <c r="F138" s="348"/>
    </row>
    <row r="139" spans="1:6" ht="14.25" x14ac:dyDescent="0.2">
      <c r="A139" s="348"/>
      <c r="B139" s="348"/>
      <c r="C139" s="348"/>
      <c r="D139" s="348"/>
      <c r="E139" s="348"/>
      <c r="F139" s="348"/>
    </row>
    <row r="140" spans="1:6" ht="14.25" x14ac:dyDescent="0.2">
      <c r="A140" s="348"/>
      <c r="B140" s="348"/>
      <c r="C140" s="348"/>
      <c r="D140" s="348"/>
      <c r="E140" s="348"/>
      <c r="F140" s="348"/>
    </row>
    <row r="141" spans="1:6" ht="14.25" x14ac:dyDescent="0.2">
      <c r="A141" s="348"/>
      <c r="B141" s="348"/>
      <c r="C141" s="348"/>
      <c r="D141" s="348"/>
      <c r="E141" s="348"/>
      <c r="F141" s="348"/>
    </row>
    <row r="142" spans="1:6" ht="14.25" x14ac:dyDescent="0.2">
      <c r="A142" s="348"/>
      <c r="B142" s="348"/>
      <c r="C142" s="348"/>
      <c r="D142" s="348"/>
      <c r="E142" s="348"/>
      <c r="F142" s="348"/>
    </row>
    <row r="143" spans="1:6" ht="14.25" x14ac:dyDescent="0.2">
      <c r="A143" s="348"/>
      <c r="B143" s="348"/>
      <c r="C143" s="348"/>
      <c r="D143" s="348"/>
      <c r="E143" s="348"/>
      <c r="F143" s="348"/>
    </row>
    <row r="144" spans="1:6" ht="14.25" x14ac:dyDescent="0.2">
      <c r="A144" s="348"/>
      <c r="B144" s="348"/>
      <c r="C144" s="348"/>
      <c r="D144" s="348"/>
      <c r="E144" s="348"/>
      <c r="F144" s="348"/>
    </row>
    <row r="145" spans="1:6" ht="14.25" x14ac:dyDescent="0.2">
      <c r="A145" s="348"/>
      <c r="B145" s="348"/>
      <c r="C145" s="348"/>
      <c r="D145" s="348"/>
      <c r="E145" s="348"/>
      <c r="F145" s="348"/>
    </row>
    <row r="146" spans="1:6" ht="14.25" x14ac:dyDescent="0.2">
      <c r="A146" s="348"/>
      <c r="B146" s="348"/>
      <c r="C146" s="348"/>
      <c r="D146" s="348"/>
      <c r="E146" s="348"/>
      <c r="F146" s="348"/>
    </row>
    <row r="147" spans="1:6" ht="14.25" x14ac:dyDescent="0.2">
      <c r="A147" s="348"/>
      <c r="B147" s="348"/>
      <c r="C147" s="348"/>
      <c r="D147" s="348"/>
      <c r="E147" s="348"/>
      <c r="F147" s="348"/>
    </row>
    <row r="148" spans="1:6" ht="14.25" x14ac:dyDescent="0.2">
      <c r="A148" s="348"/>
      <c r="B148" s="348"/>
      <c r="C148" s="348"/>
      <c r="D148" s="348"/>
      <c r="E148" s="348"/>
      <c r="F148" s="348"/>
    </row>
    <row r="149" spans="1:6" ht="14.25" x14ac:dyDescent="0.2">
      <c r="A149" s="348"/>
      <c r="B149" s="348"/>
      <c r="C149" s="348"/>
      <c r="D149" s="348"/>
      <c r="E149" s="348"/>
      <c r="F149" s="348"/>
    </row>
    <row r="150" spans="1:6" ht="14.25" x14ac:dyDescent="0.2">
      <c r="A150" s="348"/>
      <c r="B150" s="348"/>
      <c r="C150" s="348"/>
      <c r="D150" s="348"/>
      <c r="E150" s="348"/>
      <c r="F150" s="348"/>
    </row>
    <row r="151" spans="1:6" ht="14.25" x14ac:dyDescent="0.2">
      <c r="A151" s="348"/>
      <c r="B151" s="348"/>
      <c r="C151" s="348"/>
      <c r="D151" s="348"/>
      <c r="E151" s="348"/>
      <c r="F151" s="348"/>
    </row>
    <row r="152" spans="1:6" ht="14.25" x14ac:dyDescent="0.2">
      <c r="A152" s="348"/>
      <c r="B152" s="348"/>
      <c r="C152" s="348"/>
      <c r="D152" s="348"/>
      <c r="E152" s="348"/>
      <c r="F152" s="348"/>
    </row>
    <row r="153" spans="1:6" ht="14.25" x14ac:dyDescent="0.2">
      <c r="A153" s="348"/>
      <c r="B153" s="348"/>
      <c r="C153" s="348"/>
      <c r="D153" s="348"/>
      <c r="E153" s="348"/>
      <c r="F153" s="348"/>
    </row>
    <row r="154" spans="1:6" ht="14.25" x14ac:dyDescent="0.2">
      <c r="A154" s="348"/>
      <c r="B154" s="348"/>
      <c r="C154" s="348"/>
      <c r="D154" s="348"/>
      <c r="E154" s="348"/>
      <c r="F154" s="348"/>
    </row>
    <row r="155" spans="1:6" ht="14.25" x14ac:dyDescent="0.2">
      <c r="A155" s="348"/>
      <c r="B155" s="348"/>
      <c r="C155" s="348"/>
      <c r="D155" s="348"/>
      <c r="E155" s="348"/>
      <c r="F155" s="348"/>
    </row>
    <row r="156" spans="1:6" ht="14.25" x14ac:dyDescent="0.2">
      <c r="A156" s="348"/>
      <c r="B156" s="348"/>
      <c r="C156" s="348"/>
      <c r="D156" s="348"/>
      <c r="E156" s="348"/>
      <c r="F156" s="348"/>
    </row>
    <row r="157" spans="1:6" ht="14.25" x14ac:dyDescent="0.2">
      <c r="A157" s="348"/>
      <c r="B157" s="348"/>
      <c r="C157" s="348"/>
      <c r="D157" s="348"/>
      <c r="E157" s="348"/>
      <c r="F157" s="348"/>
    </row>
    <row r="158" spans="1:6" ht="14.25" x14ac:dyDescent="0.2">
      <c r="A158" s="348"/>
      <c r="B158" s="348"/>
      <c r="C158" s="348"/>
      <c r="D158" s="348"/>
      <c r="E158" s="348"/>
      <c r="F158" s="348"/>
    </row>
    <row r="159" spans="1:6" ht="14.25" x14ac:dyDescent="0.2">
      <c r="A159" s="348"/>
      <c r="B159" s="348"/>
      <c r="C159" s="348"/>
      <c r="D159" s="348"/>
      <c r="E159" s="348"/>
      <c r="F159" s="348"/>
    </row>
    <row r="160" spans="1:6" ht="14.25" x14ac:dyDescent="0.2">
      <c r="A160" s="348"/>
      <c r="B160" s="348"/>
      <c r="C160" s="348"/>
      <c r="D160" s="348"/>
      <c r="E160" s="348"/>
      <c r="F160" s="348"/>
    </row>
    <row r="161" spans="1:6" ht="14.25" x14ac:dyDescent="0.2">
      <c r="A161" s="348"/>
      <c r="B161" s="348"/>
      <c r="C161" s="348"/>
      <c r="D161" s="348"/>
      <c r="E161" s="348"/>
      <c r="F161" s="348"/>
    </row>
    <row r="162" spans="1:6" ht="14.25" x14ac:dyDescent="0.2">
      <c r="A162" s="348"/>
      <c r="B162" s="348"/>
      <c r="C162" s="348"/>
      <c r="D162" s="348"/>
      <c r="E162" s="348"/>
      <c r="F162" s="348"/>
    </row>
    <row r="163" spans="1:6" ht="14.25" x14ac:dyDescent="0.2">
      <c r="A163" s="348"/>
      <c r="B163" s="348"/>
      <c r="C163" s="348"/>
      <c r="D163" s="348"/>
      <c r="E163" s="348"/>
      <c r="F163" s="348"/>
    </row>
    <row r="164" spans="1:6" ht="14.25" x14ac:dyDescent="0.2">
      <c r="A164" s="348"/>
      <c r="B164" s="348"/>
      <c r="C164" s="348"/>
      <c r="D164" s="348"/>
      <c r="E164" s="348"/>
      <c r="F164" s="348"/>
    </row>
    <row r="165" spans="1:6" ht="14.25" x14ac:dyDescent="0.2">
      <c r="A165" s="348"/>
      <c r="B165" s="348"/>
      <c r="C165" s="348"/>
      <c r="D165" s="348"/>
      <c r="E165" s="348"/>
      <c r="F165" s="348"/>
    </row>
    <row r="166" spans="1:6" ht="14.25" x14ac:dyDescent="0.2">
      <c r="A166" s="348"/>
      <c r="B166" s="348"/>
      <c r="C166" s="348"/>
      <c r="D166" s="348"/>
      <c r="E166" s="348"/>
      <c r="F166" s="348"/>
    </row>
    <row r="167" spans="1:6" ht="14.25" x14ac:dyDescent="0.2">
      <c r="A167" s="348"/>
      <c r="B167" s="348"/>
      <c r="C167" s="348"/>
      <c r="D167" s="348"/>
      <c r="E167" s="348"/>
      <c r="F167" s="348"/>
    </row>
    <row r="168" spans="1:6" ht="14.25" x14ac:dyDescent="0.2">
      <c r="A168" s="348"/>
      <c r="B168" s="348"/>
      <c r="C168" s="348"/>
      <c r="D168" s="348"/>
      <c r="E168" s="348"/>
      <c r="F168" s="348"/>
    </row>
    <row r="169" spans="1:6" ht="14.25" x14ac:dyDescent="0.2">
      <c r="A169" s="348"/>
      <c r="B169" s="348"/>
      <c r="C169" s="348"/>
      <c r="D169" s="348"/>
      <c r="E169" s="348"/>
      <c r="F169" s="348"/>
    </row>
    <row r="170" spans="1:6" ht="14.25" x14ac:dyDescent="0.2">
      <c r="A170" s="348"/>
      <c r="B170" s="348"/>
      <c r="C170" s="348"/>
      <c r="D170" s="348"/>
      <c r="E170" s="348"/>
      <c r="F170" s="348"/>
    </row>
    <row r="171" spans="1:6" ht="14.25" x14ac:dyDescent="0.2">
      <c r="A171" s="348"/>
      <c r="B171" s="348"/>
      <c r="C171" s="348"/>
      <c r="D171" s="348"/>
      <c r="E171" s="348"/>
      <c r="F171" s="348"/>
    </row>
    <row r="172" spans="1:6" ht="14.25" x14ac:dyDescent="0.2">
      <c r="A172" s="348"/>
      <c r="B172" s="348"/>
      <c r="C172" s="348"/>
      <c r="D172" s="348"/>
      <c r="E172" s="348"/>
      <c r="F172" s="348"/>
    </row>
    <row r="173" spans="1:6" ht="14.25" x14ac:dyDescent="0.2">
      <c r="A173" s="348"/>
      <c r="B173" s="348"/>
      <c r="C173" s="348"/>
      <c r="D173" s="348"/>
      <c r="E173" s="348"/>
      <c r="F173" s="348"/>
    </row>
  </sheetData>
  <sheetProtection algorithmName="SHA-512" hashValue="KJ6BJlDrAT3KK5JFl2b+w7v1TumykxwC9knN9ZDPrBAXAUvLeCV3q3mM5L2yP/l5R3XAaselRyTU5ZTOc22dGQ==" saltValue="pgRrTr0ZxwBCxp59t2X53g==" spinCount="100000" sheet="1" objects="1" scenarios="1" selectLockedCells="1" selectUnlockedCells="1"/>
  <mergeCells count="22">
    <mergeCell ref="A8:D8"/>
    <mergeCell ref="A1:C1"/>
    <mergeCell ref="A2:C2"/>
    <mergeCell ref="A3:A4"/>
    <mergeCell ref="B3:B4"/>
    <mergeCell ref="C3:C4"/>
    <mergeCell ref="D3:D4"/>
    <mergeCell ref="A5:A6"/>
    <mergeCell ref="B5:B6"/>
    <mergeCell ref="C5:C6"/>
    <mergeCell ref="D5:D6"/>
    <mergeCell ref="A7:B7"/>
    <mergeCell ref="A14:C14"/>
    <mergeCell ref="D14:E14"/>
    <mergeCell ref="A15:C15"/>
    <mergeCell ref="D15:E15"/>
    <mergeCell ref="A9:D9"/>
    <mergeCell ref="A11:D11"/>
    <mergeCell ref="A12:C12"/>
    <mergeCell ref="D12:E12"/>
    <mergeCell ref="A13:C13"/>
    <mergeCell ref="D13:E13"/>
  </mergeCells>
  <dataValidations count="5">
    <dataValidation type="list" allowBlank="1" showInputMessage="1" showErrorMessage="1" sqref="D1:D2" xr:uid="{00000000-0002-0000-0600-000000000000}">
      <formula1>$D$19:$D$38</formula1>
    </dataValidation>
    <dataValidation type="list" allowBlank="1" showInputMessage="1" showErrorMessage="1" sqref="D5:D6" xr:uid="{00000000-0002-0000-0600-000001000000}">
      <formula1>$A$19:$A$69</formula1>
    </dataValidation>
    <dataValidation type="list" allowBlank="1" showInputMessage="1" showErrorMessage="1" sqref="E10" xr:uid="{00000000-0002-0000-0600-000002000000}">
      <formula1>$B$19:$B$36</formula1>
    </dataValidation>
    <dataValidation type="list" allowBlank="1" showInputMessage="1" showErrorMessage="1" sqref="D3" xr:uid="{00000000-0002-0000-0600-000003000000}">
      <formula1>$C$19:$C$44</formula1>
    </dataValidation>
    <dataValidation type="list" allowBlank="1" showInputMessage="1" showErrorMessage="1" sqref="D13:E13" xr:uid="{00000000-0002-0000-0600-000004000000}">
      <formula1>$A$19:$A$119</formula1>
    </dataValidation>
  </dataValidations>
  <pageMargins left="0.7" right="0.7" top="0.75" bottom="0.75" header="0.3" footer="0.3"/>
  <pageSetup paperSize="9" scale="5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604"/>
  <sheetViews>
    <sheetView zoomScale="79" zoomScaleNormal="79" zoomScalePageLayoutView="90" workbookViewId="0">
      <selection activeCell="C30" sqref="C30"/>
    </sheetView>
  </sheetViews>
  <sheetFormatPr baseColWidth="10" defaultColWidth="8.85546875" defaultRowHeight="15" x14ac:dyDescent="0.25"/>
  <cols>
    <col min="1" max="1" width="80.28515625" style="3" customWidth="1"/>
    <col min="2" max="2" width="31.42578125" style="3" customWidth="1"/>
    <col min="3" max="3" width="23.85546875" style="3" customWidth="1"/>
    <col min="4" max="4" width="22.140625" style="3" customWidth="1"/>
    <col min="5" max="5" width="29.5703125" style="3" customWidth="1"/>
    <col min="6" max="6" width="21.85546875" style="3" customWidth="1"/>
    <col min="7" max="7" width="22" style="3" customWidth="1"/>
    <col min="8" max="8" width="29" style="3" customWidth="1"/>
    <col min="9" max="9" width="21.85546875" style="3" bestFit="1" customWidth="1"/>
    <col min="10" max="10" width="20.5703125" style="3" bestFit="1" customWidth="1"/>
    <col min="11" max="11" width="20.28515625" style="3" customWidth="1"/>
    <col min="12" max="12" width="20.5703125" style="3" bestFit="1" customWidth="1"/>
    <col min="13" max="13" width="25.42578125" style="3" bestFit="1" customWidth="1"/>
    <col min="14" max="15" width="20.5703125" style="3" bestFit="1" customWidth="1"/>
    <col min="16" max="16" width="21.42578125" style="3" customWidth="1"/>
    <col min="17" max="17" width="24.5703125" style="3" customWidth="1"/>
    <col min="18" max="18" width="20.5703125" style="3" bestFit="1" customWidth="1"/>
    <col min="19" max="19" width="22" style="3" customWidth="1"/>
    <col min="20" max="20" width="22.28515625" style="3" customWidth="1"/>
    <col min="21" max="21" width="20.5703125" style="3" bestFit="1" customWidth="1"/>
    <col min="22" max="22" width="21.85546875" style="3" bestFit="1" customWidth="1"/>
    <col min="23" max="23" width="22.85546875" style="3" customWidth="1"/>
    <col min="24" max="16384" width="8.85546875" style="3"/>
  </cols>
  <sheetData>
    <row r="1" spans="1:23" ht="30.95" customHeight="1" x14ac:dyDescent="0.25">
      <c r="A1" s="462" t="s">
        <v>201</v>
      </c>
      <c r="B1" s="463"/>
      <c r="C1" s="463"/>
      <c r="D1" s="463"/>
      <c r="E1" s="463"/>
      <c r="F1" s="464"/>
      <c r="G1" s="18"/>
      <c r="H1" s="510" t="s">
        <v>42</v>
      </c>
      <c r="I1" s="511"/>
      <c r="J1" s="511"/>
      <c r="K1" s="19"/>
      <c r="L1" s="157"/>
      <c r="M1" s="20"/>
      <c r="N1" s="21"/>
      <c r="O1" s="18"/>
      <c r="P1" s="22"/>
      <c r="Q1" s="22"/>
      <c r="R1" s="23"/>
      <c r="S1" s="22"/>
      <c r="T1" s="22"/>
      <c r="U1" s="22"/>
      <c r="V1" s="22"/>
      <c r="W1" s="22"/>
    </row>
    <row r="2" spans="1:23" ht="21" customHeight="1" x14ac:dyDescent="0.25">
      <c r="A2" s="465"/>
      <c r="B2" s="466"/>
      <c r="C2" s="466"/>
      <c r="D2" s="466"/>
      <c r="E2" s="466"/>
      <c r="F2" s="467"/>
      <c r="G2" s="18"/>
      <c r="H2" s="511"/>
      <c r="I2" s="511"/>
      <c r="J2" s="511"/>
      <c r="K2" s="19"/>
      <c r="L2" s="25"/>
      <c r="M2" s="20"/>
      <c r="N2" s="21"/>
      <c r="O2" s="18"/>
      <c r="P2" s="22"/>
      <c r="Q2" s="22"/>
      <c r="R2" s="23"/>
      <c r="S2" s="22"/>
      <c r="T2" s="22"/>
      <c r="U2" s="22"/>
      <c r="V2" s="22"/>
      <c r="W2" s="22"/>
    </row>
    <row r="3" spans="1:23" ht="16.5" thickBot="1" x14ac:dyDescent="0.3">
      <c r="A3" s="468"/>
      <c r="B3" s="469"/>
      <c r="C3" s="469"/>
      <c r="D3" s="469"/>
      <c r="E3" s="469"/>
      <c r="F3" s="470"/>
      <c r="G3" s="29"/>
      <c r="H3" s="27"/>
      <c r="I3" s="27"/>
      <c r="J3" s="27"/>
      <c r="K3" s="27"/>
      <c r="L3" s="25"/>
      <c r="M3" s="18"/>
      <c r="N3" s="18"/>
      <c r="O3" s="18"/>
      <c r="P3" s="22"/>
      <c r="Q3" s="44"/>
      <c r="R3" s="22"/>
      <c r="S3" s="22"/>
      <c r="T3" s="22"/>
      <c r="U3" s="22"/>
      <c r="V3" s="22"/>
      <c r="W3" s="22"/>
    </row>
    <row r="4" spans="1:23" ht="15.75" x14ac:dyDescent="0.25">
      <c r="A4" s="30"/>
      <c r="B4" s="30"/>
      <c r="C4" s="30"/>
      <c r="D4" s="29"/>
      <c r="E4" s="29"/>
      <c r="F4" s="29"/>
      <c r="G4" s="29"/>
      <c r="H4" s="27"/>
      <c r="I4" s="27"/>
      <c r="J4" s="27"/>
      <c r="K4" s="471"/>
      <c r="L4" s="471"/>
      <c r="M4" s="471"/>
      <c r="N4" s="18"/>
      <c r="O4" s="18"/>
      <c r="P4" s="22"/>
      <c r="Q4" s="44"/>
      <c r="R4" s="22"/>
      <c r="S4" s="22"/>
      <c r="T4" s="22"/>
      <c r="U4" s="22"/>
      <c r="V4" s="22"/>
      <c r="W4" s="22"/>
    </row>
    <row r="5" spans="1:23" ht="15.75" x14ac:dyDescent="0.25">
      <c r="A5" s="31" t="s">
        <v>41</v>
      </c>
      <c r="B5" s="508">
        <v>0.02</v>
      </c>
      <c r="C5" s="29"/>
      <c r="D5" s="31" t="s">
        <v>40</v>
      </c>
      <c r="E5" s="29"/>
      <c r="F5" s="29"/>
      <c r="G5" s="29"/>
      <c r="H5" s="512">
        <v>0.02</v>
      </c>
      <c r="I5" s="59"/>
      <c r="J5" s="18"/>
      <c r="K5" s="24"/>
      <c r="L5" s="18"/>
      <c r="M5" s="18"/>
      <c r="N5" s="26"/>
      <c r="O5" s="18"/>
      <c r="P5" s="22"/>
      <c r="Q5" s="22"/>
      <c r="R5" s="22"/>
      <c r="S5" s="22"/>
      <c r="T5" s="22"/>
      <c r="U5" s="22"/>
      <c r="V5" s="22"/>
      <c r="W5" s="22"/>
    </row>
    <row r="6" spans="1:23" ht="15.75" x14ac:dyDescent="0.25">
      <c r="A6" s="31" t="s">
        <v>124</v>
      </c>
      <c r="B6" s="307">
        <f>'CAPEX '!D15</f>
        <v>4144920.2440038989</v>
      </c>
      <c r="C6" s="29"/>
      <c r="D6" s="31" t="s">
        <v>39</v>
      </c>
      <c r="E6" s="29"/>
      <c r="F6" s="29"/>
      <c r="G6" s="29"/>
      <c r="H6" s="512">
        <v>0.02</v>
      </c>
      <c r="I6" s="59"/>
      <c r="J6" s="18"/>
      <c r="K6" s="18"/>
      <c r="L6" s="18"/>
      <c r="M6" s="18"/>
      <c r="N6" s="26"/>
      <c r="O6" s="18"/>
      <c r="P6" s="22"/>
      <c r="Q6" s="22"/>
      <c r="R6" s="22"/>
      <c r="S6" s="22"/>
      <c r="T6" s="22"/>
      <c r="U6" s="22"/>
      <c r="V6" s="22"/>
      <c r="W6" s="22"/>
    </row>
    <row r="7" spans="1:23" ht="15.75" x14ac:dyDescent="0.25">
      <c r="A7" s="31"/>
      <c r="B7" s="32"/>
      <c r="C7" s="29"/>
      <c r="D7" s="31"/>
      <c r="E7" s="29"/>
      <c r="F7" s="29"/>
      <c r="G7" s="29"/>
      <c r="H7" s="59"/>
      <c r="I7" s="59"/>
      <c r="J7" s="18"/>
      <c r="K7" s="18"/>
      <c r="L7" s="18"/>
      <c r="M7" s="18"/>
      <c r="N7" s="26"/>
      <c r="O7" s="18"/>
      <c r="P7" s="22"/>
      <c r="Q7" s="22"/>
      <c r="R7" s="22"/>
      <c r="S7" s="22"/>
      <c r="T7" s="22"/>
      <c r="U7" s="22"/>
      <c r="V7" s="22"/>
      <c r="W7" s="22"/>
    </row>
    <row r="8" spans="1:23" ht="15.75" x14ac:dyDescent="0.25">
      <c r="C8" s="29"/>
      <c r="D8" s="31"/>
      <c r="E8" s="29"/>
      <c r="F8" s="29"/>
      <c r="G8" s="29"/>
      <c r="H8" s="28"/>
      <c r="I8" s="26"/>
      <c r="J8" s="18"/>
      <c r="K8" s="18"/>
      <c r="L8" s="18"/>
      <c r="M8" s="18"/>
      <c r="N8" s="26"/>
      <c r="O8" s="18"/>
      <c r="P8" s="22"/>
      <c r="Q8" s="22"/>
      <c r="R8" s="22"/>
      <c r="S8" s="22"/>
      <c r="T8" s="22"/>
      <c r="U8" s="22"/>
      <c r="V8" s="22"/>
      <c r="W8" s="22"/>
    </row>
    <row r="9" spans="1:23" ht="15.75" x14ac:dyDescent="0.25">
      <c r="A9" s="31"/>
      <c r="B9" s="32"/>
      <c r="C9" s="160"/>
      <c r="D9" s="88"/>
      <c r="E9" s="88"/>
      <c r="F9" s="88"/>
      <c r="G9" s="88"/>
      <c r="H9" s="88"/>
      <c r="I9" s="88"/>
      <c r="J9" s="88"/>
      <c r="K9" s="88"/>
      <c r="L9" s="88"/>
      <c r="M9" s="88"/>
      <c r="N9" s="88"/>
      <c r="O9" s="88"/>
      <c r="P9" s="88"/>
      <c r="Q9" s="88"/>
      <c r="R9" s="88"/>
      <c r="S9" s="88"/>
      <c r="T9" s="88"/>
      <c r="U9" s="88"/>
      <c r="V9" s="88"/>
      <c r="W9" s="22"/>
    </row>
    <row r="10" spans="1:23" ht="15.75" x14ac:dyDescent="0.25">
      <c r="A10" s="24"/>
      <c r="B10" s="472"/>
      <c r="C10" s="472"/>
      <c r="D10" s="18"/>
      <c r="E10" s="18"/>
      <c r="F10" s="18"/>
      <c r="G10" s="18"/>
      <c r="H10" s="18"/>
      <c r="I10" s="18"/>
      <c r="J10" s="18"/>
      <c r="K10" s="18"/>
      <c r="L10" s="18"/>
      <c r="M10" s="18"/>
      <c r="N10" s="26"/>
      <c r="O10" s="18"/>
      <c r="P10" s="22"/>
      <c r="Q10" s="22"/>
      <c r="R10" s="22"/>
      <c r="S10" s="22"/>
      <c r="T10" s="22"/>
      <c r="U10" s="22"/>
      <c r="V10" s="22"/>
      <c r="W10" s="22"/>
    </row>
    <row r="11" spans="1:23" ht="15.75" x14ac:dyDescent="0.25">
      <c r="A11" s="33" t="s">
        <v>31</v>
      </c>
      <c r="B11" s="509">
        <v>2022</v>
      </c>
      <c r="C11" s="34">
        <f t="shared" ref="C11:R12" si="0">B11+1</f>
        <v>2023</v>
      </c>
      <c r="D11" s="34">
        <f t="shared" si="0"/>
        <v>2024</v>
      </c>
      <c r="E11" s="34">
        <f t="shared" si="0"/>
        <v>2025</v>
      </c>
      <c r="F11" s="34">
        <f t="shared" si="0"/>
        <v>2026</v>
      </c>
      <c r="G11" s="34">
        <f t="shared" si="0"/>
        <v>2027</v>
      </c>
      <c r="H11" s="34">
        <f t="shared" si="0"/>
        <v>2028</v>
      </c>
      <c r="I11" s="34">
        <f t="shared" si="0"/>
        <v>2029</v>
      </c>
      <c r="J11" s="34">
        <f t="shared" si="0"/>
        <v>2030</v>
      </c>
      <c r="K11" s="34">
        <f t="shared" si="0"/>
        <v>2031</v>
      </c>
      <c r="L11" s="34">
        <f t="shared" si="0"/>
        <v>2032</v>
      </c>
      <c r="M11" s="16">
        <f t="shared" si="0"/>
        <v>2033</v>
      </c>
      <c r="N11" s="16">
        <f t="shared" si="0"/>
        <v>2034</v>
      </c>
      <c r="O11" s="16">
        <f t="shared" si="0"/>
        <v>2035</v>
      </c>
      <c r="P11" s="16">
        <f t="shared" si="0"/>
        <v>2036</v>
      </c>
      <c r="Q11" s="16">
        <f t="shared" si="0"/>
        <v>2037</v>
      </c>
      <c r="R11" s="16">
        <f t="shared" si="0"/>
        <v>2038</v>
      </c>
      <c r="S11" s="16">
        <f t="shared" ref="S11:V12" si="1">R11+1</f>
        <v>2039</v>
      </c>
      <c r="T11" s="16">
        <f>S11+1</f>
        <v>2040</v>
      </c>
      <c r="U11" s="16">
        <f>T11+1</f>
        <v>2041</v>
      </c>
      <c r="V11" s="16">
        <f t="shared" si="1"/>
        <v>2042</v>
      </c>
      <c r="W11" s="17" t="s">
        <v>26</v>
      </c>
    </row>
    <row r="12" spans="1:23" ht="15.75" x14ac:dyDescent="0.25">
      <c r="A12" s="161" t="s">
        <v>38</v>
      </c>
      <c r="B12" s="162">
        <v>0</v>
      </c>
      <c r="C12" s="162">
        <f t="shared" si="0"/>
        <v>1</v>
      </c>
      <c r="D12" s="162">
        <f t="shared" si="0"/>
        <v>2</v>
      </c>
      <c r="E12" s="162">
        <f t="shared" si="0"/>
        <v>3</v>
      </c>
      <c r="F12" s="162">
        <f t="shared" si="0"/>
        <v>4</v>
      </c>
      <c r="G12" s="162">
        <f t="shared" si="0"/>
        <v>5</v>
      </c>
      <c r="H12" s="162">
        <f t="shared" si="0"/>
        <v>6</v>
      </c>
      <c r="I12" s="162">
        <f t="shared" si="0"/>
        <v>7</v>
      </c>
      <c r="J12" s="162">
        <f t="shared" si="0"/>
        <v>8</v>
      </c>
      <c r="K12" s="162">
        <f t="shared" si="0"/>
        <v>9</v>
      </c>
      <c r="L12" s="162">
        <f t="shared" si="0"/>
        <v>10</v>
      </c>
      <c r="M12" s="163">
        <f t="shared" si="0"/>
        <v>11</v>
      </c>
      <c r="N12" s="163">
        <f t="shared" si="0"/>
        <v>12</v>
      </c>
      <c r="O12" s="163">
        <f t="shared" si="0"/>
        <v>13</v>
      </c>
      <c r="P12" s="163">
        <f t="shared" si="0"/>
        <v>14</v>
      </c>
      <c r="Q12" s="163">
        <f t="shared" si="0"/>
        <v>15</v>
      </c>
      <c r="R12" s="163">
        <f t="shared" si="0"/>
        <v>16</v>
      </c>
      <c r="S12" s="163">
        <f t="shared" si="1"/>
        <v>17</v>
      </c>
      <c r="T12" s="163">
        <f>S12+1</f>
        <v>18</v>
      </c>
      <c r="U12" s="163">
        <f>T12+1</f>
        <v>19</v>
      </c>
      <c r="V12" s="163">
        <f t="shared" si="1"/>
        <v>20</v>
      </c>
      <c r="W12" s="164"/>
    </row>
    <row r="13" spans="1:23" ht="15.75" x14ac:dyDescent="0.25">
      <c r="A13" s="165" t="s">
        <v>54</v>
      </c>
      <c r="B13" s="166"/>
      <c r="C13" s="167">
        <f>C38</f>
        <v>530133.77136129199</v>
      </c>
      <c r="D13" s="168">
        <f t="shared" ref="D13:M13" si="2">C13/(100%-$H$5)</f>
        <v>540952.82791968575</v>
      </c>
      <c r="E13" s="168">
        <f t="shared" si="2"/>
        <v>551992.68155069975</v>
      </c>
      <c r="F13" s="168">
        <f t="shared" si="2"/>
        <v>563257.83831704059</v>
      </c>
      <c r="G13" s="168">
        <f t="shared" si="2"/>
        <v>574752.89624187816</v>
      </c>
      <c r="H13" s="168">
        <f t="shared" si="2"/>
        <v>586482.54718559003</v>
      </c>
      <c r="I13" s="168">
        <f t="shared" si="2"/>
        <v>598451.57876080612</v>
      </c>
      <c r="J13" s="168">
        <f t="shared" si="2"/>
        <v>610664.87628653692</v>
      </c>
      <c r="K13" s="168">
        <f t="shared" si="2"/>
        <v>623127.42478218058</v>
      </c>
      <c r="L13" s="168">
        <f t="shared" si="2"/>
        <v>635844.31100222503</v>
      </c>
      <c r="M13" s="168">
        <f t="shared" si="2"/>
        <v>648820.72551247454</v>
      </c>
      <c r="N13" s="168">
        <f>M13/(100%-$H$5)</f>
        <v>662061.96480864752</v>
      </c>
      <c r="O13" s="168">
        <f t="shared" ref="O13:V13" si="3">N13/(100%-$H$5)</f>
        <v>675573.43347821175</v>
      </c>
      <c r="P13" s="168">
        <f t="shared" si="3"/>
        <v>689360.64640633855</v>
      </c>
      <c r="Q13" s="168">
        <f t="shared" si="3"/>
        <v>703429.23102687614</v>
      </c>
      <c r="R13" s="168">
        <f t="shared" si="3"/>
        <v>717784.92961926141</v>
      </c>
      <c r="S13" s="168">
        <f t="shared" si="3"/>
        <v>732433.60165230755</v>
      </c>
      <c r="T13" s="168">
        <f>S13/(100%-$H$5)</f>
        <v>747381.22617582406</v>
      </c>
      <c r="U13" s="168">
        <f>T13/(100%-$H$5)</f>
        <v>762633.90426104493</v>
      </c>
      <c r="V13" s="168">
        <f t="shared" si="3"/>
        <v>778197.86149086221</v>
      </c>
      <c r="W13" s="169">
        <f t="shared" ref="W13:W20" si="4">SUM(C13:V13)</f>
        <v>12933338.277839784</v>
      </c>
    </row>
    <row r="14" spans="1:23" ht="15.75" x14ac:dyDescent="0.25">
      <c r="A14" s="165" t="s">
        <v>55</v>
      </c>
      <c r="B14" s="166"/>
      <c r="C14" s="167">
        <f>(-(H38))</f>
        <v>-787193.43990322703</v>
      </c>
      <c r="D14" s="170">
        <f>C14+($H$6*C14)</f>
        <v>-802937.30870129156</v>
      </c>
      <c r="E14" s="170">
        <f t="shared" ref="E14:V14" si="5">D14+($H$6*D14)</f>
        <v>-818996.05487531738</v>
      </c>
      <c r="F14" s="170">
        <f t="shared" si="5"/>
        <v>-835375.97597282368</v>
      </c>
      <c r="G14" s="170">
        <f t="shared" si="5"/>
        <v>-852083.49549228011</v>
      </c>
      <c r="H14" s="170">
        <f t="shared" si="5"/>
        <v>-869125.16540212568</v>
      </c>
      <c r="I14" s="170">
        <f t="shared" si="5"/>
        <v>-886507.66871016822</v>
      </c>
      <c r="J14" s="170">
        <f t="shared" si="5"/>
        <v>-904237.82208437158</v>
      </c>
      <c r="K14" s="170">
        <f t="shared" si="5"/>
        <v>-922322.57852605905</v>
      </c>
      <c r="L14" s="170">
        <f t="shared" si="5"/>
        <v>-940769.03009658027</v>
      </c>
      <c r="M14" s="170">
        <f t="shared" si="5"/>
        <v>-959584.41069851187</v>
      </c>
      <c r="N14" s="170">
        <f t="shared" si="5"/>
        <v>-978776.09891248215</v>
      </c>
      <c r="O14" s="170">
        <f t="shared" si="5"/>
        <v>-998351.62089073181</v>
      </c>
      <c r="P14" s="170">
        <f t="shared" si="5"/>
        <v>-1018318.6533085464</v>
      </c>
      <c r="Q14" s="170">
        <f t="shared" si="5"/>
        <v>-1038685.0263747174</v>
      </c>
      <c r="R14" s="170">
        <f t="shared" si="5"/>
        <v>-1059458.7269022118</v>
      </c>
      <c r="S14" s="170">
        <f t="shared" si="5"/>
        <v>-1080647.901440256</v>
      </c>
      <c r="T14" s="170">
        <f>S14+($H$6*S14)</f>
        <v>-1102260.8594690613</v>
      </c>
      <c r="U14" s="170">
        <f>T14+($H$6*T14)</f>
        <v>-1124306.0766584424</v>
      </c>
      <c r="V14" s="170">
        <f t="shared" si="5"/>
        <v>-1146792.1981916113</v>
      </c>
      <c r="W14" s="169">
        <f t="shared" si="4"/>
        <v>-19126730.112610817</v>
      </c>
    </row>
    <row r="15" spans="1:23" s="7" customFormat="1" ht="15.75" x14ac:dyDescent="0.25">
      <c r="A15" s="171" t="s">
        <v>77</v>
      </c>
      <c r="B15" s="172" t="s">
        <v>50</v>
      </c>
      <c r="C15" s="167">
        <f>-$M38</f>
        <v>-335738.53976431582</v>
      </c>
      <c r="D15" s="167">
        <f>-$M39</f>
        <v>-328277.68332510884</v>
      </c>
      <c r="E15" s="167">
        <f>-$M40</f>
        <v>-320816.82688590174</v>
      </c>
      <c r="F15" s="167">
        <f>-$M41</f>
        <v>-313355.97044669476</v>
      </c>
      <c r="G15" s="167">
        <f>-$M42</f>
        <v>-305895.11400748778</v>
      </c>
      <c r="H15" s="167">
        <f>-$M43</f>
        <v>-298434.25756828074</v>
      </c>
      <c r="I15" s="167">
        <f>-$M44</f>
        <v>-290973.4011290737</v>
      </c>
      <c r="J15" s="167">
        <f>-$M45</f>
        <v>-283512.54468986671</v>
      </c>
      <c r="K15" s="167">
        <f>-$M46</f>
        <v>-276051.68825065967</v>
      </c>
      <c r="L15" s="167">
        <f>-$M47</f>
        <v>-268590.83181145263</v>
      </c>
      <c r="M15" s="167">
        <f>-$M48</f>
        <v>-261129.97537224565</v>
      </c>
      <c r="N15" s="167">
        <f>-$M49</f>
        <v>-253669.11893303861</v>
      </c>
      <c r="O15" s="167">
        <f>-$M50</f>
        <v>-246208.2624938316</v>
      </c>
      <c r="P15" s="167">
        <f>-$M51</f>
        <v>-238747.40605462459</v>
      </c>
      <c r="Q15" s="167">
        <f>-$M52</f>
        <v>-231286.54961541758</v>
      </c>
      <c r="R15" s="167">
        <f>-$M53</f>
        <v>-223825.69317621054</v>
      </c>
      <c r="S15" s="167">
        <f>-$M54</f>
        <v>-216364.83673700353</v>
      </c>
      <c r="T15" s="167">
        <f>-$M55</f>
        <v>-208903.98029779652</v>
      </c>
      <c r="U15" s="167">
        <f>-$M56</f>
        <v>-201443.1238585895</v>
      </c>
      <c r="V15" s="167">
        <f>-$M57</f>
        <v>-193982.26741938249</v>
      </c>
      <c r="W15" s="173">
        <f t="shared" si="4"/>
        <v>-5297208.0718369838</v>
      </c>
    </row>
    <row r="16" spans="1:23" s="7" customFormat="1" ht="15.75" x14ac:dyDescent="0.25">
      <c r="A16" s="174" t="s">
        <v>78</v>
      </c>
      <c r="B16" s="175">
        <f>-B6</f>
        <v>-4144920.2440038989</v>
      </c>
      <c r="C16" s="176">
        <f>SUM(C13:C15)</f>
        <v>-592798.20830625086</v>
      </c>
      <c r="D16" s="176">
        <f>SUM(D13:D15)</f>
        <v>-590262.16410671466</v>
      </c>
      <c r="E16" s="176">
        <f t="shared" ref="E16:V16" si="6">SUM(E13:E15)</f>
        <v>-587820.20021051937</v>
      </c>
      <c r="F16" s="176">
        <f t="shared" si="6"/>
        <v>-585474.10810247785</v>
      </c>
      <c r="G16" s="176">
        <f t="shared" si="6"/>
        <v>-583225.71325788973</v>
      </c>
      <c r="H16" s="176">
        <f t="shared" si="6"/>
        <v>-581076.87578481645</v>
      </c>
      <c r="I16" s="176">
        <f t="shared" si="6"/>
        <v>-579029.49107843579</v>
      </c>
      <c r="J16" s="176">
        <f t="shared" si="6"/>
        <v>-577085.49048770138</v>
      </c>
      <c r="K16" s="176">
        <f t="shared" si="6"/>
        <v>-575246.8419945382</v>
      </c>
      <c r="L16" s="176">
        <f t="shared" si="6"/>
        <v>-573515.55090580788</v>
      </c>
      <c r="M16" s="176">
        <f t="shared" si="6"/>
        <v>-571893.66055828298</v>
      </c>
      <c r="N16" s="176">
        <f t="shared" si="6"/>
        <v>-570383.25303687318</v>
      </c>
      <c r="O16" s="176">
        <f t="shared" si="6"/>
        <v>-568986.44990635163</v>
      </c>
      <c r="P16" s="176">
        <f t="shared" si="6"/>
        <v>-567705.41295683244</v>
      </c>
      <c r="Q16" s="176">
        <f t="shared" si="6"/>
        <v>-566542.34496325883</v>
      </c>
      <c r="R16" s="176">
        <f t="shared" si="6"/>
        <v>-565499.49045916088</v>
      </c>
      <c r="S16" s="176">
        <f t="shared" si="6"/>
        <v>-564579.13652495202</v>
      </c>
      <c r="T16" s="176">
        <f t="shared" si="6"/>
        <v>-563783.61359103373</v>
      </c>
      <c r="U16" s="176">
        <f t="shared" si="6"/>
        <v>-563115.2962559869</v>
      </c>
      <c r="V16" s="176">
        <f t="shared" si="6"/>
        <v>-562576.60412013158</v>
      </c>
      <c r="W16" s="177">
        <f t="shared" si="4"/>
        <v>-11490599.906608019</v>
      </c>
    </row>
    <row r="17" spans="1:23" s="7" customFormat="1" ht="15.75" x14ac:dyDescent="0.25">
      <c r="A17" s="171" t="s">
        <v>79</v>
      </c>
      <c r="B17" s="178" t="s">
        <v>50</v>
      </c>
      <c r="C17" s="167">
        <f>$S38</f>
        <v>37304.282196035085</v>
      </c>
      <c r="D17" s="167">
        <f>$S39</f>
        <v>36475.298147234302</v>
      </c>
      <c r="E17" s="167">
        <f>$S40</f>
        <v>35646.314098433526</v>
      </c>
      <c r="F17" s="167">
        <f>$S41</f>
        <v>34817.330049632743</v>
      </c>
      <c r="G17" s="167">
        <f>$S42</f>
        <v>33988.34600083196</v>
      </c>
      <c r="H17" s="167">
        <f>$S43</f>
        <v>33159.361952031184</v>
      </c>
      <c r="I17" s="167">
        <f>$S44</f>
        <v>32330.377903230405</v>
      </c>
      <c r="J17" s="167">
        <f>$S45</f>
        <v>31501.393854429625</v>
      </c>
      <c r="K17" s="167">
        <f>$S46</f>
        <v>30672.409805628846</v>
      </c>
      <c r="L17" s="167">
        <f>$S47</f>
        <v>29843.425756828066</v>
      </c>
      <c r="M17" s="167">
        <f>$S48</f>
        <v>29014.441708027287</v>
      </c>
      <c r="N17" s="167">
        <f>$S49</f>
        <v>28185.457659226508</v>
      </c>
      <c r="O17" s="167">
        <f>$S50</f>
        <v>27356.473610425728</v>
      </c>
      <c r="P17" s="167">
        <f>$S51</f>
        <v>26527.489561624949</v>
      </c>
      <c r="Q17" s="167">
        <f>$S52</f>
        <v>25698.505512824166</v>
      </c>
      <c r="R17" s="167">
        <f>$S53</f>
        <v>24869.52146402339</v>
      </c>
      <c r="S17" s="167">
        <f>$S54</f>
        <v>24040.537415222607</v>
      </c>
      <c r="T17" s="167">
        <f>$S55</f>
        <v>23211.553366421827</v>
      </c>
      <c r="U17" s="167">
        <f>$S56</f>
        <v>22382.569317621052</v>
      </c>
      <c r="V17" s="167">
        <f>$S57</f>
        <v>21553.585268820269</v>
      </c>
      <c r="W17" s="173">
        <f t="shared" si="4"/>
        <v>588578.67464855348</v>
      </c>
    </row>
    <row r="18" spans="1:23" s="7" customFormat="1" ht="15.75" x14ac:dyDescent="0.25">
      <c r="A18" s="174" t="s">
        <v>80</v>
      </c>
      <c r="B18" s="175">
        <f>-B6</f>
        <v>-4144920.2440038989</v>
      </c>
      <c r="C18" s="176">
        <f>C16-C17</f>
        <v>-630102.490502286</v>
      </c>
      <c r="D18" s="176">
        <f>D16-D17</f>
        <v>-626737.46225394891</v>
      </c>
      <c r="E18" s="176">
        <f>E16-E17</f>
        <v>-623466.51430895284</v>
      </c>
      <c r="F18" s="176">
        <f t="shared" ref="F18:V18" si="7">F16-F17</f>
        <v>-620291.43815211055</v>
      </c>
      <c r="G18" s="176">
        <f t="shared" si="7"/>
        <v>-617214.05925872165</v>
      </c>
      <c r="H18" s="176">
        <f t="shared" si="7"/>
        <v>-614236.2377368476</v>
      </c>
      <c r="I18" s="176">
        <f t="shared" si="7"/>
        <v>-611359.86898166616</v>
      </c>
      <c r="J18" s="176">
        <f t="shared" si="7"/>
        <v>-608586.88434213097</v>
      </c>
      <c r="K18" s="176">
        <f t="shared" si="7"/>
        <v>-605919.25180016703</v>
      </c>
      <c r="L18" s="176">
        <f t="shared" si="7"/>
        <v>-603358.97666263592</v>
      </c>
      <c r="M18" s="176">
        <f t="shared" si="7"/>
        <v>-600908.10226631025</v>
      </c>
      <c r="N18" s="176">
        <f t="shared" si="7"/>
        <v>-598568.71069609968</v>
      </c>
      <c r="O18" s="176">
        <f t="shared" si="7"/>
        <v>-596342.92351677734</v>
      </c>
      <c r="P18" s="176">
        <f t="shared" si="7"/>
        <v>-594232.90251845738</v>
      </c>
      <c r="Q18" s="176">
        <f t="shared" si="7"/>
        <v>-592240.850476083</v>
      </c>
      <c r="R18" s="176">
        <f t="shared" si="7"/>
        <v>-590369.01192318427</v>
      </c>
      <c r="S18" s="176">
        <f t="shared" si="7"/>
        <v>-588619.67394017463</v>
      </c>
      <c r="T18" s="176">
        <f t="shared" si="7"/>
        <v>-586995.16695745557</v>
      </c>
      <c r="U18" s="176">
        <f t="shared" si="7"/>
        <v>-585497.86557360797</v>
      </c>
      <c r="V18" s="176">
        <f t="shared" si="7"/>
        <v>-584130.18938895187</v>
      </c>
      <c r="W18" s="177">
        <f t="shared" si="4"/>
        <v>-12079178.581256568</v>
      </c>
    </row>
    <row r="19" spans="1:23" s="7" customFormat="1" ht="15.75" x14ac:dyDescent="0.25">
      <c r="A19" s="171" t="s">
        <v>138</v>
      </c>
      <c r="B19" s="178" t="s">
        <v>50</v>
      </c>
      <c r="C19" s="167">
        <f t="shared" ref="C19:V19" si="8">IF($G$60=0%, 0, $H$60*C18)</f>
        <v>-63010.249050228602</v>
      </c>
      <c r="D19" s="167">
        <f t="shared" si="8"/>
        <v>-62673.746225394891</v>
      </c>
      <c r="E19" s="167">
        <f t="shared" si="8"/>
        <v>-62346.65143089529</v>
      </c>
      <c r="F19" s="167">
        <f t="shared" si="8"/>
        <v>-62029.143815211057</v>
      </c>
      <c r="G19" s="167">
        <f t="shared" si="8"/>
        <v>-61721.405925872168</v>
      </c>
      <c r="H19" s="167">
        <f t="shared" si="8"/>
        <v>-61423.623773684762</v>
      </c>
      <c r="I19" s="167">
        <f t="shared" si="8"/>
        <v>-61135.986898166622</v>
      </c>
      <c r="J19" s="167">
        <f t="shared" si="8"/>
        <v>-60858.688434213102</v>
      </c>
      <c r="K19" s="167">
        <f t="shared" si="8"/>
        <v>-60591.925180016704</v>
      </c>
      <c r="L19" s="167">
        <f t="shared" si="8"/>
        <v>-60335.897666263598</v>
      </c>
      <c r="M19" s="167">
        <f t="shared" si="8"/>
        <v>-60090.810226631031</v>
      </c>
      <c r="N19" s="167">
        <f t="shared" si="8"/>
        <v>-59856.871069609973</v>
      </c>
      <c r="O19" s="167">
        <f t="shared" si="8"/>
        <v>-59634.292351677737</v>
      </c>
      <c r="P19" s="167">
        <f t="shared" si="8"/>
        <v>-59423.290251845741</v>
      </c>
      <c r="Q19" s="167">
        <f t="shared" si="8"/>
        <v>-59224.0850476083</v>
      </c>
      <c r="R19" s="167">
        <f t="shared" si="8"/>
        <v>-59036.90119231843</v>
      </c>
      <c r="S19" s="167">
        <f t="shared" si="8"/>
        <v>-58861.967394017469</v>
      </c>
      <c r="T19" s="167">
        <f t="shared" si="8"/>
        <v>-58699.516695745559</v>
      </c>
      <c r="U19" s="167">
        <f t="shared" si="8"/>
        <v>-58549.7865573608</v>
      </c>
      <c r="V19" s="167">
        <f t="shared" si="8"/>
        <v>-58413.018938895191</v>
      </c>
      <c r="W19" s="173">
        <f t="shared" si="4"/>
        <v>-1207917.8581256571</v>
      </c>
    </row>
    <row r="20" spans="1:23" s="7" customFormat="1" ht="15.75" x14ac:dyDescent="0.25">
      <c r="A20" s="174" t="s">
        <v>139</v>
      </c>
      <c r="B20" s="175">
        <f>-B6</f>
        <v>-4144920.2440038989</v>
      </c>
      <c r="C20" s="176">
        <f>C18-C19</f>
        <v>-567092.24145205738</v>
      </c>
      <c r="D20" s="176">
        <f>D18-D19</f>
        <v>-564063.71602855402</v>
      </c>
      <c r="E20" s="176">
        <f>E18-E19</f>
        <v>-561119.86287805752</v>
      </c>
      <c r="F20" s="176">
        <f>F18-F19</f>
        <v>-558262.29433689953</v>
      </c>
      <c r="G20" s="176">
        <f t="shared" ref="G20:V20" si="9">G18-G19</f>
        <v>-555492.6533328495</v>
      </c>
      <c r="H20" s="176">
        <f t="shared" si="9"/>
        <v>-552812.61396316288</v>
      </c>
      <c r="I20" s="176">
        <f t="shared" si="9"/>
        <v>-550223.88208349957</v>
      </c>
      <c r="J20" s="176">
        <f t="shared" si="9"/>
        <v>-547728.19590791792</v>
      </c>
      <c r="K20" s="176">
        <f t="shared" si="9"/>
        <v>-545327.32662015036</v>
      </c>
      <c r="L20" s="176">
        <f t="shared" si="9"/>
        <v>-543023.07899637229</v>
      </c>
      <c r="M20" s="176">
        <f t="shared" si="9"/>
        <v>-540817.29203967925</v>
      </c>
      <c r="N20" s="176">
        <f t="shared" si="9"/>
        <v>-538711.83962648967</v>
      </c>
      <c r="O20" s="176">
        <f t="shared" si="9"/>
        <v>-536708.63116509956</v>
      </c>
      <c r="P20" s="176">
        <f t="shared" si="9"/>
        <v>-534809.61226661166</v>
      </c>
      <c r="Q20" s="176">
        <f t="shared" si="9"/>
        <v>-533016.76542847464</v>
      </c>
      <c r="R20" s="176">
        <f t="shared" si="9"/>
        <v>-531332.11073086585</v>
      </c>
      <c r="S20" s="176">
        <f t="shared" si="9"/>
        <v>-529757.70654615713</v>
      </c>
      <c r="T20" s="176">
        <f t="shared" si="9"/>
        <v>-528295.65026171005</v>
      </c>
      <c r="U20" s="176">
        <f t="shared" si="9"/>
        <v>-526948.07901624718</v>
      </c>
      <c r="V20" s="176">
        <f t="shared" si="9"/>
        <v>-525717.17045005667</v>
      </c>
      <c r="W20" s="177">
        <f t="shared" si="4"/>
        <v>-10871260.723130913</v>
      </c>
    </row>
    <row r="21" spans="1:23" s="182" customFormat="1" ht="15.75" x14ac:dyDescent="0.25">
      <c r="A21" s="179" t="s">
        <v>81</v>
      </c>
      <c r="B21" s="180">
        <f>0</f>
        <v>0</v>
      </c>
      <c r="C21" s="181">
        <f>SUM(C17,C19)</f>
        <v>-25705.966854193517</v>
      </c>
      <c r="D21" s="181">
        <f>SUM(D17,D19)</f>
        <v>-26198.448078160589</v>
      </c>
      <c r="E21" s="181">
        <f t="shared" ref="E21:V21" si="10">SUM(E17,E19)</f>
        <v>-26700.337332461764</v>
      </c>
      <c r="F21" s="181">
        <f>SUM(F17,F19)</f>
        <v>-27211.813765578314</v>
      </c>
      <c r="G21" s="181">
        <f t="shared" si="10"/>
        <v>-27733.059925040208</v>
      </c>
      <c r="H21" s="181">
        <f t="shared" si="10"/>
        <v>-28264.261821653577</v>
      </c>
      <c r="I21" s="181">
        <f t="shared" si="10"/>
        <v>-28805.608994936218</v>
      </c>
      <c r="J21" s="181">
        <f t="shared" si="10"/>
        <v>-29357.294579783476</v>
      </c>
      <c r="K21" s="181">
        <f t="shared" si="10"/>
        <v>-29919.515374387858</v>
      </c>
      <c r="L21" s="181">
        <f t="shared" si="10"/>
        <v>-30492.471909435531</v>
      </c>
      <c r="M21" s="181">
        <f t="shared" si="10"/>
        <v>-31076.368518603744</v>
      </c>
      <c r="N21" s="181">
        <f t="shared" si="10"/>
        <v>-31671.413410383466</v>
      </c>
      <c r="O21" s="181">
        <f t="shared" si="10"/>
        <v>-32277.818741252009</v>
      </c>
      <c r="P21" s="181">
        <f t="shared" si="10"/>
        <v>-32895.800690220793</v>
      </c>
      <c r="Q21" s="181">
        <f t="shared" si="10"/>
        <v>-33525.579534784134</v>
      </c>
      <c r="R21" s="181">
        <f t="shared" si="10"/>
        <v>-34167.37972829504</v>
      </c>
      <c r="S21" s="181">
        <f t="shared" si="10"/>
        <v>-34821.429978794862</v>
      </c>
      <c r="T21" s="181">
        <f t="shared" si="10"/>
        <v>-35487.963329323728</v>
      </c>
      <c r="U21" s="181">
        <f t="shared" si="10"/>
        <v>-36167.217239739752</v>
      </c>
      <c r="V21" s="181">
        <f t="shared" si="10"/>
        <v>-36859.433670074926</v>
      </c>
      <c r="W21" s="181">
        <f>SUM(C21:V21)</f>
        <v>-619339.18347710348</v>
      </c>
    </row>
    <row r="22" spans="1:23" ht="15.75" x14ac:dyDescent="0.25">
      <c r="A22" s="171" t="s">
        <v>137</v>
      </c>
      <c r="B22" s="183">
        <f>0</f>
        <v>0</v>
      </c>
      <c r="C22" s="184">
        <f t="shared" ref="C22:W22" si="11">$G$63*C20</f>
        <v>-28354.612072602871</v>
      </c>
      <c r="D22" s="184">
        <f t="shared" si="11"/>
        <v>-28203.185801427702</v>
      </c>
      <c r="E22" s="184">
        <f t="shared" si="11"/>
        <v>-28055.993143902877</v>
      </c>
      <c r="F22" s="184">
        <f t="shared" si="11"/>
        <v>-27913.114716844979</v>
      </c>
      <c r="G22" s="184">
        <f t="shared" si="11"/>
        <v>-27774.632666642476</v>
      </c>
      <c r="H22" s="184">
        <f t="shared" si="11"/>
        <v>-27640.630698158144</v>
      </c>
      <c r="I22" s="184">
        <f t="shared" si="11"/>
        <v>-27511.194104174981</v>
      </c>
      <c r="J22" s="184">
        <f t="shared" si="11"/>
        <v>-27386.409795395899</v>
      </c>
      <c r="K22" s="184">
        <f t="shared" si="11"/>
        <v>-27266.366331007521</v>
      </c>
      <c r="L22" s="184">
        <f t="shared" si="11"/>
        <v>-27151.153949818618</v>
      </c>
      <c r="M22" s="184">
        <f t="shared" si="11"/>
        <v>-27040.864601983965</v>
      </c>
      <c r="N22" s="184">
        <f t="shared" si="11"/>
        <v>-26935.591981324484</v>
      </c>
      <c r="O22" s="184">
        <f t="shared" si="11"/>
        <v>-26835.431558254979</v>
      </c>
      <c r="P22" s="184">
        <f t="shared" si="11"/>
        <v>-26740.480613330583</v>
      </c>
      <c r="Q22" s="184">
        <f t="shared" si="11"/>
        <v>-26650.838271423734</v>
      </c>
      <c r="R22" s="184">
        <f t="shared" si="11"/>
        <v>-26566.605536543295</v>
      </c>
      <c r="S22" s="184">
        <f t="shared" si="11"/>
        <v>-26487.885327307857</v>
      </c>
      <c r="T22" s="184">
        <f t="shared" si="11"/>
        <v>-26414.782513085505</v>
      </c>
      <c r="U22" s="184">
        <f t="shared" si="11"/>
        <v>-26347.403950812361</v>
      </c>
      <c r="V22" s="184">
        <f t="shared" si="11"/>
        <v>-26285.858522502836</v>
      </c>
      <c r="W22" s="322">
        <f t="shared" si="11"/>
        <v>-543563.03615654574</v>
      </c>
    </row>
    <row r="23" spans="1:23" ht="15.75" x14ac:dyDescent="0.25">
      <c r="A23" s="174" t="s">
        <v>82</v>
      </c>
      <c r="B23" s="176">
        <f>0</f>
        <v>0</v>
      </c>
      <c r="C23" s="176">
        <f>C20-C22</f>
        <v>-538737.62937945453</v>
      </c>
      <c r="D23" s="176">
        <f t="shared" ref="D23:W23" si="12">D20-D22</f>
        <v>-535860.53022712632</v>
      </c>
      <c r="E23" s="176">
        <f t="shared" si="12"/>
        <v>-533063.86973415466</v>
      </c>
      <c r="F23" s="176">
        <f t="shared" si="12"/>
        <v>-530349.17962005455</v>
      </c>
      <c r="G23" s="176">
        <f t="shared" si="12"/>
        <v>-527718.02066620707</v>
      </c>
      <c r="H23" s="176">
        <f t="shared" si="12"/>
        <v>-525171.9832650047</v>
      </c>
      <c r="I23" s="176">
        <f t="shared" si="12"/>
        <v>-522712.6879793246</v>
      </c>
      <c r="J23" s="176">
        <f t="shared" si="12"/>
        <v>-520341.78611252201</v>
      </c>
      <c r="K23" s="176">
        <f t="shared" si="12"/>
        <v>-518060.96028914285</v>
      </c>
      <c r="L23" s="176">
        <f t="shared" si="12"/>
        <v>-515871.92504655366</v>
      </c>
      <c r="M23" s="176">
        <f t="shared" si="12"/>
        <v>-513776.42743769527</v>
      </c>
      <c r="N23" s="176">
        <f t="shared" si="12"/>
        <v>-511776.24764516519</v>
      </c>
      <c r="O23" s="176">
        <f t="shared" si="12"/>
        <v>-509873.19960684457</v>
      </c>
      <c r="P23" s="176">
        <f t="shared" si="12"/>
        <v>-508069.13165328105</v>
      </c>
      <c r="Q23" s="176">
        <f t="shared" si="12"/>
        <v>-506365.92715705093</v>
      </c>
      <c r="R23" s="176">
        <f t="shared" si="12"/>
        <v>-504765.50519432256</v>
      </c>
      <c r="S23" s="176">
        <f t="shared" si="12"/>
        <v>-503269.82121884928</v>
      </c>
      <c r="T23" s="176">
        <f t="shared" si="12"/>
        <v>-501880.86774862453</v>
      </c>
      <c r="U23" s="176">
        <f t="shared" si="12"/>
        <v>-500600.67506543483</v>
      </c>
      <c r="V23" s="176">
        <f t="shared" si="12"/>
        <v>-499431.31192755385</v>
      </c>
      <c r="W23" s="177">
        <f t="shared" si="12"/>
        <v>-10327697.686974367</v>
      </c>
    </row>
    <row r="24" spans="1:23" ht="15.75" x14ac:dyDescent="0.25">
      <c r="A24" s="165" t="s">
        <v>83</v>
      </c>
      <c r="B24" s="183">
        <f>0</f>
        <v>0</v>
      </c>
      <c r="C24" s="168">
        <f>C23+B24</f>
        <v>-538737.62937945453</v>
      </c>
      <c r="D24" s="168">
        <f>D23+C24</f>
        <v>-1074598.1596065809</v>
      </c>
      <c r="E24" s="168">
        <f t="shared" ref="E24:U24" si="13">E23+D24</f>
        <v>-1607662.0293407356</v>
      </c>
      <c r="F24" s="168">
        <f t="shared" si="13"/>
        <v>-2138011.2089607902</v>
      </c>
      <c r="G24" s="168">
        <f t="shared" si="13"/>
        <v>-2665729.2296269974</v>
      </c>
      <c r="H24" s="168">
        <f t="shared" si="13"/>
        <v>-3190901.212892002</v>
      </c>
      <c r="I24" s="168">
        <f t="shared" si="13"/>
        <v>-3713613.9008713267</v>
      </c>
      <c r="J24" s="168">
        <f t="shared" si="13"/>
        <v>-4233955.6869838489</v>
      </c>
      <c r="K24" s="168">
        <f t="shared" si="13"/>
        <v>-4752016.6472729919</v>
      </c>
      <c r="L24" s="168">
        <f t="shared" si="13"/>
        <v>-5267888.5723195458</v>
      </c>
      <c r="M24" s="168">
        <f t="shared" si="13"/>
        <v>-5781664.9997572415</v>
      </c>
      <c r="N24" s="168">
        <f t="shared" si="13"/>
        <v>-6293441.2474024063</v>
      </c>
      <c r="O24" s="168">
        <f t="shared" si="13"/>
        <v>-6803314.4470092505</v>
      </c>
      <c r="P24" s="168">
        <f t="shared" si="13"/>
        <v>-7311383.5786625315</v>
      </c>
      <c r="Q24" s="168">
        <f t="shared" si="13"/>
        <v>-7817749.5058195824</v>
      </c>
      <c r="R24" s="168">
        <f t="shared" si="13"/>
        <v>-8322515.0110139046</v>
      </c>
      <c r="S24" s="168">
        <f t="shared" si="13"/>
        <v>-8825784.8322327547</v>
      </c>
      <c r="T24" s="168">
        <f t="shared" si="13"/>
        <v>-9327665.6999813784</v>
      </c>
      <c r="U24" s="168">
        <f t="shared" si="13"/>
        <v>-9828266.3750468139</v>
      </c>
      <c r="V24" s="168">
        <f>V23+U24</f>
        <v>-10327697.686974367</v>
      </c>
      <c r="W24" s="169">
        <f>SUM(C24:V24)</f>
        <v>-109822597.66115451</v>
      </c>
    </row>
    <row r="25" spans="1:23" ht="15.75" x14ac:dyDescent="0.25">
      <c r="A25" s="185" t="s">
        <v>37</v>
      </c>
      <c r="B25" s="186">
        <f>0</f>
        <v>0</v>
      </c>
      <c r="C25" s="187">
        <f>C23/(1+$B$5)^C12</f>
        <v>-528174.14645044564</v>
      </c>
      <c r="D25" s="187">
        <f>D23/(1+$B$5)^D12</f>
        <v>-515052.41275194765</v>
      </c>
      <c r="E25" s="187">
        <f t="shared" ref="E25:V25" si="14">E23/(1+$B$5)^E12</f>
        <v>-502317.9901905703</v>
      </c>
      <c r="F25" s="187">
        <f t="shared" si="14"/>
        <v>-489960.66378890164</v>
      </c>
      <c r="G25" s="187">
        <f t="shared" si="14"/>
        <v>-477970.47021984402</v>
      </c>
      <c r="H25" s="187">
        <f t="shared" si="14"/>
        <v>-466337.69186528993</v>
      </c>
      <c r="I25" s="187">
        <f t="shared" si="14"/>
        <v>-455052.85101103986</v>
      </c>
      <c r="J25" s="187">
        <f t="shared" si="14"/>
        <v>-444106.70417490206</v>
      </c>
      <c r="K25" s="187">
        <f t="shared" si="14"/>
        <v>-433490.23656498647</v>
      </c>
      <c r="L25" s="187">
        <f t="shared" si="14"/>
        <v>-423194.65666526381</v>
      </c>
      <c r="M25" s="187">
        <f t="shared" si="14"/>
        <v>-413211.39094553381</v>
      </c>
      <c r="N25" s="187">
        <f t="shared" si="14"/>
        <v>-403532.07869300048</v>
      </c>
      <c r="O25" s="187">
        <f t="shared" si="14"/>
        <v>-394148.56696272612</v>
      </c>
      <c r="P25" s="187">
        <f t="shared" si="14"/>
        <v>-385052.90564428124</v>
      </c>
      <c r="Q25" s="187">
        <f t="shared" si="14"/>
        <v>-376237.34264198242</v>
      </c>
      <c r="R25" s="187">
        <f t="shared" si="14"/>
        <v>-367694.31916615495</v>
      </c>
      <c r="S25" s="187">
        <f t="shared" si="14"/>
        <v>-359416.46513292345</v>
      </c>
      <c r="T25" s="187">
        <f t="shared" si="14"/>
        <v>-351396.59467008163</v>
      </c>
      <c r="U25" s="187">
        <f t="shared" si="14"/>
        <v>-343627.70172665094</v>
      </c>
      <c r="V25" s="187">
        <f t="shared" si="14"/>
        <v>-336102.95578379213</v>
      </c>
      <c r="W25" s="169">
        <f>SUM(C25:V25)</f>
        <v>-8466078.1450503189</v>
      </c>
    </row>
    <row r="26" spans="1:23" ht="15.75" x14ac:dyDescent="0.25">
      <c r="A26" s="18"/>
      <c r="B26" s="4"/>
      <c r="C26" s="4"/>
      <c r="D26" s="4"/>
      <c r="E26" s="4"/>
      <c r="F26" s="4"/>
      <c r="G26" s="4"/>
      <c r="H26" s="4"/>
      <c r="I26" s="4"/>
      <c r="J26" s="4"/>
      <c r="K26" s="4"/>
      <c r="L26" s="4"/>
      <c r="M26" s="4"/>
      <c r="N26" s="4"/>
      <c r="O26" s="4"/>
    </row>
    <row r="27" spans="1:23" ht="18" x14ac:dyDescent="0.25">
      <c r="A27" s="188" t="s">
        <v>84</v>
      </c>
      <c r="B27" s="189">
        <f>W22</f>
        <v>-543563.03615654574</v>
      </c>
      <c r="C27" s="4"/>
      <c r="D27" s="4"/>
      <c r="E27" s="4"/>
      <c r="F27" s="4"/>
      <c r="G27" s="4"/>
      <c r="H27" s="4"/>
      <c r="I27" s="4"/>
      <c r="J27" s="4"/>
      <c r="K27" s="4"/>
      <c r="L27" s="4"/>
      <c r="M27" s="4"/>
      <c r="N27" s="4"/>
      <c r="O27" s="4"/>
    </row>
    <row r="28" spans="1:23" ht="18" customHeight="1" x14ac:dyDescent="0.25">
      <c r="A28" s="188" t="s">
        <v>126</v>
      </c>
      <c r="B28" s="189">
        <f>H61</f>
        <v>414492.02440038981</v>
      </c>
      <c r="C28" s="4"/>
      <c r="D28" s="190"/>
      <c r="E28" s="4"/>
      <c r="F28" s="4"/>
      <c r="G28" s="4"/>
      <c r="H28" s="4"/>
      <c r="I28" s="4"/>
      <c r="J28" s="4"/>
      <c r="K28" s="4"/>
      <c r="L28" s="4"/>
      <c r="M28" s="4"/>
      <c r="N28" s="4"/>
      <c r="O28" s="4"/>
    </row>
    <row r="29" spans="1:23" ht="18" customHeight="1" x14ac:dyDescent="0.25">
      <c r="A29" s="188" t="s">
        <v>127</v>
      </c>
      <c r="B29" s="189">
        <f>W21</f>
        <v>-619339.18347710348</v>
      </c>
      <c r="C29" s="4"/>
      <c r="D29" s="4"/>
      <c r="E29" s="4"/>
      <c r="F29" s="4"/>
      <c r="G29" s="4"/>
      <c r="H29" s="4"/>
      <c r="I29" s="4"/>
      <c r="J29" s="4"/>
      <c r="K29" s="4"/>
      <c r="L29" s="4"/>
      <c r="M29" s="4"/>
      <c r="N29" s="4"/>
      <c r="O29" s="4"/>
      <c r="W29" s="191"/>
    </row>
    <row r="30" spans="1:23" ht="18" customHeight="1" thickBot="1" x14ac:dyDescent="0.35">
      <c r="A30" s="192" t="s">
        <v>85</v>
      </c>
      <c r="B30" s="193">
        <f>B29/B28</f>
        <v>-1.4942125469676975</v>
      </c>
      <c r="C30" s="194"/>
      <c r="D30" s="195"/>
      <c r="E30" s="196"/>
      <c r="F30" s="196"/>
      <c r="G30" s="4"/>
      <c r="H30" s="89"/>
      <c r="I30" s="4"/>
      <c r="J30" s="4"/>
      <c r="K30" s="4"/>
      <c r="L30" s="4"/>
      <c r="M30" s="4"/>
      <c r="N30" s="4"/>
      <c r="O30" s="4"/>
    </row>
    <row r="31" spans="1:23" ht="18" customHeight="1" x14ac:dyDescent="0.25">
      <c r="A31" s="188" t="s">
        <v>86</v>
      </c>
      <c r="B31" s="197" t="e">
        <f>$C$12*((W21/H61)^(1/($C$12*$V$12))-1)</f>
        <v>#NUM!</v>
      </c>
      <c r="C31" s="4"/>
      <c r="D31" s="473" t="str">
        <f>IF(B32&gt;0, "This investment is profitable", "This investment is NOT profitable")</f>
        <v>This investment is NOT profitable</v>
      </c>
      <c r="E31" s="474"/>
      <c r="F31" s="474"/>
      <c r="G31" s="475"/>
      <c r="H31" s="4"/>
      <c r="I31" s="482" t="s">
        <v>35</v>
      </c>
      <c r="J31" s="483"/>
      <c r="K31" s="483"/>
      <c r="L31" s="484"/>
      <c r="M31" s="4"/>
      <c r="N31" s="4"/>
      <c r="O31" s="4"/>
      <c r="T31" s="198"/>
    </row>
    <row r="32" spans="1:23" ht="18" customHeight="1" thickBot="1" x14ac:dyDescent="0.3">
      <c r="A32" s="199" t="s">
        <v>36</v>
      </c>
      <c r="B32" s="189">
        <f>W25</f>
        <v>-8466078.1450503189</v>
      </c>
      <c r="C32" s="200"/>
      <c r="D32" s="476"/>
      <c r="E32" s="477"/>
      <c r="F32" s="477"/>
      <c r="G32" s="478"/>
      <c r="H32" s="201"/>
      <c r="I32" s="485"/>
      <c r="J32" s="486"/>
      <c r="K32" s="486"/>
      <c r="L32" s="487"/>
      <c r="M32" s="15"/>
      <c r="N32" s="15"/>
      <c r="O32" s="15"/>
      <c r="P32" s="14"/>
      <c r="Q32" s="14"/>
      <c r="R32" s="14"/>
      <c r="S32" s="10"/>
      <c r="T32" s="10"/>
    </row>
    <row r="33" spans="1:23" ht="18" customHeight="1" thickBot="1" x14ac:dyDescent="0.3">
      <c r="A33" s="202" t="s">
        <v>34</v>
      </c>
      <c r="B33" s="203" t="e">
        <f>A102</f>
        <v>#NUM!</v>
      </c>
      <c r="C33" s="204" t="s">
        <v>74</v>
      </c>
      <c r="D33" s="479"/>
      <c r="E33" s="480"/>
      <c r="F33" s="480"/>
      <c r="G33" s="481"/>
      <c r="H33" s="4"/>
      <c r="I33" s="488" t="s">
        <v>33</v>
      </c>
      <c r="J33" s="489"/>
      <c r="K33" s="159">
        <f>IF(G57=0, "NO LOAN",H58)</f>
        <v>20</v>
      </c>
      <c r="L33" s="94" t="s">
        <v>10</v>
      </c>
      <c r="M33" s="13"/>
      <c r="N33" s="12"/>
      <c r="O33" s="12"/>
      <c r="P33" s="11"/>
      <c r="Q33" s="11"/>
      <c r="R33" s="11"/>
    </row>
    <row r="34" spans="1:23" ht="57.75" customHeight="1" thickBot="1" x14ac:dyDescent="0.3">
      <c r="A34" s="205" t="s">
        <v>87</v>
      </c>
      <c r="B34" s="206">
        <f>COUNTIF(B24:L24, "&lt;=0")</f>
        <v>11</v>
      </c>
      <c r="C34" s="4"/>
      <c r="D34" s="485" t="s">
        <v>48</v>
      </c>
      <c r="E34" s="486"/>
      <c r="F34" s="486"/>
      <c r="G34" s="158">
        <f>IF(B34&gt;J94,B34,J94)</f>
        <v>11</v>
      </c>
      <c r="H34" s="4"/>
      <c r="I34" s="496" t="str">
        <f>IF(K33="NO LOAN", "The project M23is paid back in or after", "However, the investor will be able to pay back the bank after")</f>
        <v>However, the investor will be able to pay back the bank after</v>
      </c>
      <c r="J34" s="497"/>
      <c r="K34" s="92" t="s">
        <v>32</v>
      </c>
      <c r="L34" s="93">
        <f>B11+G34</f>
        <v>2033</v>
      </c>
      <c r="M34" s="13"/>
      <c r="N34" s="12"/>
      <c r="O34" s="12"/>
      <c r="P34" s="11"/>
      <c r="Q34" s="11"/>
      <c r="R34" s="11"/>
    </row>
    <row r="35" spans="1:23" ht="19.5" thickBot="1" x14ac:dyDescent="0.35">
      <c r="A35" s="4"/>
      <c r="B35" s="4"/>
      <c r="C35" s="4"/>
      <c r="D35" s="4"/>
      <c r="E35" s="4"/>
      <c r="F35" s="4"/>
      <c r="G35" s="4"/>
      <c r="H35" s="4"/>
      <c r="I35" s="4"/>
      <c r="J35" s="4"/>
      <c r="K35" s="4"/>
      <c r="L35" s="4"/>
      <c r="M35" s="498" t="str">
        <f>CONCATENATE("Financier Interest &amp; Principle : ", (G57*100),"%")</f>
        <v>Financier Interest &amp; Principle : 90%</v>
      </c>
      <c r="N35" s="499"/>
      <c r="O35" s="499"/>
      <c r="P35" s="499"/>
      <c r="Q35" s="499"/>
      <c r="R35" s="500" t="str">
        <f>CONCATENATE("Investor Fixed Returns: ",(G60*100),"%")</f>
        <v>Investor Fixed Returns: 10%</v>
      </c>
      <c r="S35" s="500"/>
      <c r="T35" s="500"/>
    </row>
    <row r="36" spans="1:23" ht="30" customHeight="1" x14ac:dyDescent="0.25">
      <c r="A36" s="501" t="s">
        <v>58</v>
      </c>
      <c r="B36" s="502"/>
      <c r="C36" s="502"/>
      <c r="D36" s="502"/>
      <c r="E36" s="502"/>
      <c r="F36" s="502"/>
      <c r="G36" s="502"/>
      <c r="H36" s="502"/>
      <c r="I36" s="503"/>
      <c r="J36" s="4"/>
      <c r="K36" s="29"/>
      <c r="L36" s="504" t="s">
        <v>31</v>
      </c>
      <c r="M36" s="490" t="s">
        <v>30</v>
      </c>
      <c r="N36" s="490" t="s">
        <v>29</v>
      </c>
      <c r="O36" s="490" t="s">
        <v>29</v>
      </c>
      <c r="P36" s="490" t="s">
        <v>28</v>
      </c>
      <c r="Q36" s="490" t="s">
        <v>88</v>
      </c>
      <c r="R36" s="490" t="s">
        <v>29</v>
      </c>
      <c r="S36" s="490" t="s">
        <v>89</v>
      </c>
      <c r="T36" s="490" t="s">
        <v>90</v>
      </c>
    </row>
    <row r="37" spans="1:23" ht="18.75" thickBot="1" x14ac:dyDescent="0.3">
      <c r="A37" s="132"/>
      <c r="B37" s="38"/>
      <c r="C37" s="38"/>
      <c r="D37" s="38"/>
      <c r="E37" s="38"/>
      <c r="F37" s="38"/>
      <c r="G37" s="38"/>
      <c r="H37" s="38"/>
      <c r="I37" s="130"/>
      <c r="J37" s="4"/>
      <c r="K37" s="29"/>
      <c r="L37" s="505"/>
      <c r="M37" s="491"/>
      <c r="N37" s="491"/>
      <c r="O37" s="491"/>
      <c r="P37" s="491"/>
      <c r="Q37" s="491"/>
      <c r="R37" s="491"/>
      <c r="S37" s="491"/>
      <c r="T37" s="491"/>
    </row>
    <row r="38" spans="1:23" s="56" customFormat="1" ht="24" customHeight="1" thickBot="1" x14ac:dyDescent="0.3">
      <c r="A38" s="98" t="s">
        <v>91</v>
      </c>
      <c r="B38" s="135" t="s">
        <v>119</v>
      </c>
      <c r="C38" s="207">
        <f>B42+B47+B51+B55+B59+B62+B65+B68+B71+B74+B78+B80</f>
        <v>530133.77136129199</v>
      </c>
      <c r="D38" s="52"/>
      <c r="E38" s="208" t="s">
        <v>27</v>
      </c>
      <c r="F38" s="209"/>
      <c r="G38" s="210" t="s">
        <v>26</v>
      </c>
      <c r="H38" s="211">
        <f>H39+H43+H48+H49+H52+H53+H54+H55</f>
        <v>787193.43990322703</v>
      </c>
      <c r="I38" s="212" t="s">
        <v>119</v>
      </c>
      <c r="J38" s="53"/>
      <c r="K38" s="54" t="s">
        <v>25</v>
      </c>
      <c r="L38" s="55">
        <v>1</v>
      </c>
      <c r="M38" s="213">
        <f t="shared" ref="M38:M57" si="15">IF($L38&lt;=$H$58, P38, 0)</f>
        <v>335738.53976431582</v>
      </c>
      <c r="N38" s="214">
        <f>IF($O38&gt;0, O38, 0)</f>
        <v>149217.12878414037</v>
      </c>
      <c r="O38" s="214">
        <f>$H$57*$H$56/100</f>
        <v>149217.12878414037</v>
      </c>
      <c r="P38" s="214">
        <f>$H$57*$H$56/100+$H$57/$H$58</f>
        <v>335738.53976431582</v>
      </c>
      <c r="Q38" s="215">
        <f>M38-N38</f>
        <v>186521.41098017545</v>
      </c>
      <c r="R38" s="216">
        <f>$H$61*$H$56/100</f>
        <v>16579.680976015592</v>
      </c>
      <c r="S38" s="216">
        <f>$H$61*$H$56/100+$H$61/$H$62</f>
        <v>37304.282196035085</v>
      </c>
      <c r="T38" s="216">
        <f>S38-R38</f>
        <v>20724.601220019493</v>
      </c>
      <c r="U38" s="217"/>
      <c r="V38" s="218"/>
      <c r="W38" s="218"/>
    </row>
    <row r="39" spans="1:23" ht="15.75" x14ac:dyDescent="0.25">
      <c r="A39" s="99" t="s">
        <v>68</v>
      </c>
      <c r="B39" s="143"/>
      <c r="C39" s="100"/>
      <c r="D39" s="36"/>
      <c r="E39" s="219" t="s">
        <v>134</v>
      </c>
      <c r="F39" s="384">
        <f>'Tonnes and Hectares of HTG'!F24</f>
        <v>20</v>
      </c>
      <c r="G39" s="45"/>
      <c r="H39" s="312">
        <f>'Substrates inputs'!C4*F39</f>
        <v>248200</v>
      </c>
      <c r="I39" s="220" t="s">
        <v>119</v>
      </c>
      <c r="J39" s="221"/>
      <c r="K39" s="29"/>
      <c r="L39" s="29">
        <v>2</v>
      </c>
      <c r="M39" s="222">
        <f t="shared" si="15"/>
        <v>328277.68332510884</v>
      </c>
      <c r="N39" s="223">
        <f t="shared" ref="N39:N57" si="16">IF($O39&gt;0, O39, 0)</f>
        <v>141756.27234493336</v>
      </c>
      <c r="O39" s="223">
        <f t="shared" ref="O39:O57" si="17">($H$57-(($H$57/$H$58)*L38))*$H$56%</f>
        <v>141756.27234493336</v>
      </c>
      <c r="P39" s="223">
        <f t="shared" ref="P39:P57" si="18">($H$57-(($H$57/$H$58)*L38))*$H$56%+($H$57/$H$58)</f>
        <v>328277.68332510884</v>
      </c>
      <c r="Q39" s="215">
        <f>M39-N39</f>
        <v>186521.41098017548</v>
      </c>
      <c r="R39" s="216">
        <f t="shared" ref="R39:R57" si="19">(($H$61-(($H$61/$H$62)*L38))*$H$56)/100</f>
        <v>15750.696927214813</v>
      </c>
      <c r="S39" s="224">
        <f t="shared" ref="S39:S57" si="20">($H$61-(($H$61/$H$62)*L38))*$H$56%+($H$61/$H$62)</f>
        <v>36475.298147234302</v>
      </c>
      <c r="T39" s="216">
        <f t="shared" ref="T39:T57" si="21">S39-R39</f>
        <v>20724.601220019489</v>
      </c>
      <c r="U39" s="225"/>
      <c r="V39" s="218"/>
      <c r="W39" s="218"/>
    </row>
    <row r="40" spans="1:23" ht="15.75" x14ac:dyDescent="0.25">
      <c r="A40" s="145" t="s">
        <v>118</v>
      </c>
      <c r="B40" s="61"/>
      <c r="C40" s="100" t="s">
        <v>3</v>
      </c>
      <c r="D40" s="36"/>
      <c r="E40" s="219"/>
      <c r="F40" s="227"/>
      <c r="G40" s="45"/>
      <c r="H40" s="313"/>
      <c r="I40" s="220"/>
      <c r="J40" s="9"/>
      <c r="K40" s="29"/>
      <c r="L40" s="29">
        <v>3</v>
      </c>
      <c r="M40" s="222">
        <f t="shared" si="15"/>
        <v>320816.82688590174</v>
      </c>
      <c r="N40" s="223">
        <f>IF($O40&gt;0, O40, 0)</f>
        <v>134295.41590572632</v>
      </c>
      <c r="O40" s="223">
        <f t="shared" si="17"/>
        <v>134295.41590572632</v>
      </c>
      <c r="P40" s="223">
        <f t="shared" si="18"/>
        <v>320816.82688590174</v>
      </c>
      <c r="Q40" s="215">
        <f>M40-N40</f>
        <v>186521.41098017542</v>
      </c>
      <c r="R40" s="216">
        <f t="shared" si="19"/>
        <v>14921.712878414033</v>
      </c>
      <c r="S40" s="224">
        <f t="shared" si="20"/>
        <v>35646.314098433526</v>
      </c>
      <c r="T40" s="216">
        <f t="shared" si="21"/>
        <v>20724.601220019493</v>
      </c>
      <c r="U40" s="225"/>
      <c r="V40" s="218"/>
      <c r="W40" s="218"/>
    </row>
    <row r="41" spans="1:23" ht="15.75" x14ac:dyDescent="0.25">
      <c r="A41" s="101" t="s">
        <v>120</v>
      </c>
      <c r="B41" s="143">
        <v>0</v>
      </c>
      <c r="C41" s="100" t="s">
        <v>69</v>
      </c>
      <c r="D41" s="36"/>
      <c r="E41" s="228" t="s">
        <v>59</v>
      </c>
      <c r="F41" s="46"/>
      <c r="G41" s="47"/>
      <c r="H41" s="229">
        <f>'Substrates inputs'!G17</f>
        <v>3985968.2057240005</v>
      </c>
      <c r="I41" s="127" t="s">
        <v>49</v>
      </c>
      <c r="J41" s="8"/>
      <c r="K41" s="29"/>
      <c r="L41" s="29">
        <v>4</v>
      </c>
      <c r="M41" s="222">
        <f t="shared" si="15"/>
        <v>313355.97044669476</v>
      </c>
      <c r="N41" s="223">
        <f t="shared" si="16"/>
        <v>126834.55946651932</v>
      </c>
      <c r="O41" s="223">
        <f t="shared" si="17"/>
        <v>126834.55946651932</v>
      </c>
      <c r="P41" s="223">
        <f t="shared" si="18"/>
        <v>313355.97044669476</v>
      </c>
      <c r="Q41" s="215">
        <f>M41-N41</f>
        <v>186521.41098017542</v>
      </c>
      <c r="R41" s="216">
        <f t="shared" si="19"/>
        <v>14092.728829613254</v>
      </c>
      <c r="S41" s="224">
        <f t="shared" si="20"/>
        <v>34817.330049632743</v>
      </c>
      <c r="T41" s="216">
        <f t="shared" si="21"/>
        <v>20724.601220019489</v>
      </c>
      <c r="U41" s="225"/>
      <c r="V41" s="218"/>
      <c r="W41" s="218"/>
    </row>
    <row r="42" spans="1:23" ht="15.75" x14ac:dyDescent="0.25">
      <c r="A42" s="102" t="s">
        <v>65</v>
      </c>
      <c r="B42" s="144">
        <f>B40*B41/100</f>
        <v>0</v>
      </c>
      <c r="C42" s="103" t="s">
        <v>119</v>
      </c>
      <c r="D42" s="36"/>
      <c r="E42" s="230" t="s">
        <v>72</v>
      </c>
      <c r="F42" s="45"/>
      <c r="G42" s="45"/>
      <c r="H42" s="146">
        <v>1.8</v>
      </c>
      <c r="I42" s="127"/>
      <c r="J42" s="6"/>
      <c r="K42" s="29"/>
      <c r="L42" s="29">
        <v>5</v>
      </c>
      <c r="M42" s="222">
        <f t="shared" si="15"/>
        <v>305895.11400748778</v>
      </c>
      <c r="N42" s="223">
        <f>IF($O42&gt;0, O42, 0)</f>
        <v>119373.70302731229</v>
      </c>
      <c r="O42" s="223">
        <f t="shared" si="17"/>
        <v>119373.70302731229</v>
      </c>
      <c r="P42" s="223">
        <f t="shared" si="18"/>
        <v>305895.11400748778</v>
      </c>
      <c r="Q42" s="215">
        <f t="shared" ref="Q42:Q56" si="22">M42-N42</f>
        <v>186521.41098017548</v>
      </c>
      <c r="R42" s="216">
        <f t="shared" si="19"/>
        <v>13263.744780812473</v>
      </c>
      <c r="S42" s="224">
        <f t="shared" si="20"/>
        <v>33988.34600083196</v>
      </c>
      <c r="T42" s="216">
        <f t="shared" si="21"/>
        <v>20724.601220019489</v>
      </c>
      <c r="U42" s="231"/>
      <c r="V42" s="218"/>
      <c r="W42" s="218"/>
    </row>
    <row r="43" spans="1:23" ht="15.75" x14ac:dyDescent="0.25">
      <c r="A43" s="99" t="s">
        <v>24</v>
      </c>
      <c r="B43" s="60"/>
      <c r="C43" s="100"/>
      <c r="D43" s="36"/>
      <c r="E43" s="232" t="s">
        <v>60</v>
      </c>
      <c r="F43" s="45"/>
      <c r="G43" s="48"/>
      <c r="H43" s="137">
        <f>H41*H42/100</f>
        <v>71747.427703032008</v>
      </c>
      <c r="I43" s="128" t="s">
        <v>119</v>
      </c>
      <c r="J43" s="6"/>
      <c r="K43" s="29"/>
      <c r="L43" s="29">
        <v>6</v>
      </c>
      <c r="M43" s="222">
        <f t="shared" si="15"/>
        <v>298434.25756828074</v>
      </c>
      <c r="N43" s="223">
        <f t="shared" si="16"/>
        <v>111912.84658810528</v>
      </c>
      <c r="O43" s="223">
        <f t="shared" si="17"/>
        <v>111912.84658810528</v>
      </c>
      <c r="P43" s="223">
        <f t="shared" si="18"/>
        <v>298434.25756828074</v>
      </c>
      <c r="Q43" s="215">
        <f t="shared" si="22"/>
        <v>186521.41098017545</v>
      </c>
      <c r="R43" s="216">
        <f t="shared" si="19"/>
        <v>12434.760732011695</v>
      </c>
      <c r="S43" s="224">
        <f t="shared" si="20"/>
        <v>33159.361952031184</v>
      </c>
      <c r="T43" s="216">
        <f t="shared" si="21"/>
        <v>20724.601220019489</v>
      </c>
      <c r="U43" s="231"/>
      <c r="V43" s="218"/>
      <c r="W43" s="218"/>
    </row>
    <row r="44" spans="1:23" ht="15.75" x14ac:dyDescent="0.25">
      <c r="A44" s="104" t="s">
        <v>21</v>
      </c>
      <c r="B44" s="62"/>
      <c r="C44" s="105"/>
      <c r="D44" s="36"/>
      <c r="E44" s="233" t="s">
        <v>92</v>
      </c>
      <c r="F44" s="234"/>
      <c r="G44" s="235"/>
      <c r="H44" s="147">
        <v>20</v>
      </c>
      <c r="I44" s="128" t="s">
        <v>128</v>
      </c>
      <c r="J44" s="6"/>
      <c r="K44" s="29"/>
      <c r="L44" s="29">
        <v>7</v>
      </c>
      <c r="M44" s="222">
        <f t="shared" si="15"/>
        <v>290973.4011290737</v>
      </c>
      <c r="N44" s="223">
        <f t="shared" si="16"/>
        <v>104451.99014889826</v>
      </c>
      <c r="O44" s="223">
        <f t="shared" si="17"/>
        <v>104451.99014889826</v>
      </c>
      <c r="P44" s="223">
        <f t="shared" si="18"/>
        <v>290973.4011290737</v>
      </c>
      <c r="Q44" s="215">
        <f t="shared" si="22"/>
        <v>186521.41098017542</v>
      </c>
      <c r="R44" s="216">
        <f t="shared" si="19"/>
        <v>11605.776683210914</v>
      </c>
      <c r="S44" s="224">
        <f t="shared" si="20"/>
        <v>32330.377903230405</v>
      </c>
      <c r="T44" s="216">
        <f t="shared" si="21"/>
        <v>20724.601220019489</v>
      </c>
      <c r="U44" s="225"/>
      <c r="V44" s="218"/>
      <c r="W44" s="218"/>
    </row>
    <row r="45" spans="1:23" ht="15.75" x14ac:dyDescent="0.25">
      <c r="A45" s="106" t="s">
        <v>93</v>
      </c>
      <c r="B45" s="63">
        <f>'Substrates inputs'!G20</f>
        <v>3786669.7954378002</v>
      </c>
      <c r="C45" s="105" t="s">
        <v>3</v>
      </c>
      <c r="D45" s="36"/>
      <c r="E45" s="236" t="s">
        <v>51</v>
      </c>
      <c r="F45" s="234"/>
      <c r="G45" s="235"/>
      <c r="H45" s="49">
        <v>5</v>
      </c>
      <c r="I45" s="128"/>
      <c r="J45" s="6"/>
      <c r="K45" s="29"/>
      <c r="L45" s="29">
        <v>8</v>
      </c>
      <c r="M45" s="222">
        <f t="shared" si="15"/>
        <v>283512.54468986671</v>
      </c>
      <c r="N45" s="223">
        <f t="shared" si="16"/>
        <v>96991.133709691247</v>
      </c>
      <c r="O45" s="223">
        <f t="shared" si="17"/>
        <v>96991.133709691247</v>
      </c>
      <c r="P45" s="223">
        <f t="shared" si="18"/>
        <v>283512.54468986671</v>
      </c>
      <c r="Q45" s="215">
        <f>M45-N45</f>
        <v>186521.41098017548</v>
      </c>
      <c r="R45" s="216">
        <f t="shared" si="19"/>
        <v>10776.792634410136</v>
      </c>
      <c r="S45" s="224">
        <f t="shared" si="20"/>
        <v>31501.393854429625</v>
      </c>
      <c r="T45" s="216">
        <f t="shared" si="21"/>
        <v>20724.601220019489</v>
      </c>
      <c r="U45" s="225"/>
      <c r="V45" s="218"/>
      <c r="W45" s="218"/>
    </row>
    <row r="46" spans="1:23" ht="15.75" x14ac:dyDescent="0.25">
      <c r="A46" s="106" t="s">
        <v>70</v>
      </c>
      <c r="B46" s="141">
        <v>14</v>
      </c>
      <c r="C46" s="105" t="s">
        <v>69</v>
      </c>
      <c r="D46" s="36"/>
      <c r="E46" s="230" t="s">
        <v>23</v>
      </c>
      <c r="F46" s="45"/>
      <c r="G46" s="48"/>
      <c r="H46" s="48">
        <v>10</v>
      </c>
      <c r="I46" s="128" t="s">
        <v>22</v>
      </c>
      <c r="J46" s="6"/>
      <c r="K46" s="41"/>
      <c r="L46" s="41">
        <v>9</v>
      </c>
      <c r="M46" s="222">
        <f t="shared" si="15"/>
        <v>276051.68825065967</v>
      </c>
      <c r="N46" s="223">
        <f t="shared" si="16"/>
        <v>89530.277270484235</v>
      </c>
      <c r="O46" s="223">
        <f t="shared" si="17"/>
        <v>89530.277270484235</v>
      </c>
      <c r="P46" s="223">
        <f t="shared" si="18"/>
        <v>276051.68825065967</v>
      </c>
      <c r="Q46" s="215">
        <f t="shared" si="22"/>
        <v>186521.41098017542</v>
      </c>
      <c r="R46" s="216">
        <f t="shared" si="19"/>
        <v>9947.8085856093567</v>
      </c>
      <c r="S46" s="224">
        <f t="shared" si="20"/>
        <v>30672.409805628846</v>
      </c>
      <c r="T46" s="216">
        <f t="shared" si="21"/>
        <v>20724.601220019489</v>
      </c>
      <c r="U46" s="225"/>
      <c r="V46" s="218"/>
      <c r="W46" s="218"/>
    </row>
    <row r="47" spans="1:23" s="7" customFormat="1" ht="15.75" x14ac:dyDescent="0.25">
      <c r="A47" s="104" t="s">
        <v>17</v>
      </c>
      <c r="B47" s="134">
        <f>B45*B46/100</f>
        <v>530133.77136129199</v>
      </c>
      <c r="C47" s="105" t="s">
        <v>119</v>
      </c>
      <c r="D47" s="37"/>
      <c r="E47" s="230" t="s">
        <v>20</v>
      </c>
      <c r="F47" s="45"/>
      <c r="G47" s="48"/>
      <c r="H47" s="49">
        <v>260</v>
      </c>
      <c r="I47" s="128" t="s">
        <v>19</v>
      </c>
      <c r="J47" s="6"/>
      <c r="K47" s="41"/>
      <c r="L47" s="41">
        <v>10</v>
      </c>
      <c r="M47" s="222">
        <f t="shared" si="15"/>
        <v>268590.83181145263</v>
      </c>
      <c r="N47" s="223">
        <f t="shared" si="16"/>
        <v>82069.42083127721</v>
      </c>
      <c r="O47" s="223">
        <f t="shared" si="17"/>
        <v>82069.42083127721</v>
      </c>
      <c r="P47" s="223">
        <f t="shared" si="18"/>
        <v>268590.83181145263</v>
      </c>
      <c r="Q47" s="215">
        <f t="shared" si="22"/>
        <v>186521.41098017542</v>
      </c>
      <c r="R47" s="216">
        <f t="shared" si="19"/>
        <v>9118.8245368085772</v>
      </c>
      <c r="S47" s="224">
        <f t="shared" si="20"/>
        <v>29843.425756828066</v>
      </c>
      <c r="T47" s="216">
        <f t="shared" si="21"/>
        <v>20724.601220019489</v>
      </c>
      <c r="U47" s="237"/>
      <c r="V47" s="218"/>
      <c r="W47" s="218"/>
    </row>
    <row r="48" spans="1:23" s="7" customFormat="1" ht="15.75" x14ac:dyDescent="0.25">
      <c r="A48" s="107" t="s">
        <v>16</v>
      </c>
      <c r="B48" s="64"/>
      <c r="C48" s="108"/>
      <c r="D48" s="238"/>
      <c r="E48" s="232" t="s">
        <v>18</v>
      </c>
      <c r="F48" s="45"/>
      <c r="G48" s="48"/>
      <c r="H48" s="137">
        <f>H44*H46*H47*H45</f>
        <v>260000</v>
      </c>
      <c r="I48" s="128" t="s">
        <v>119</v>
      </c>
      <c r="J48" s="6"/>
      <c r="K48" s="29"/>
      <c r="L48" s="29">
        <v>11</v>
      </c>
      <c r="M48" s="222">
        <f t="shared" si="15"/>
        <v>261129.97537224565</v>
      </c>
      <c r="N48" s="223">
        <f t="shared" si="16"/>
        <v>74608.564392070184</v>
      </c>
      <c r="O48" s="223">
        <f t="shared" si="17"/>
        <v>74608.564392070184</v>
      </c>
      <c r="P48" s="223">
        <f t="shared" si="18"/>
        <v>261129.97537224565</v>
      </c>
      <c r="Q48" s="215">
        <f t="shared" si="22"/>
        <v>186521.41098017548</v>
      </c>
      <c r="R48" s="216">
        <f t="shared" si="19"/>
        <v>8289.8404880077978</v>
      </c>
      <c r="S48" s="224">
        <f t="shared" si="20"/>
        <v>29014.441708027287</v>
      </c>
      <c r="T48" s="216">
        <f t="shared" si="21"/>
        <v>20724.601220019489</v>
      </c>
      <c r="U48" s="237"/>
      <c r="V48" s="218"/>
      <c r="W48" s="218"/>
    </row>
    <row r="49" spans="1:23" ht="15.75" x14ac:dyDescent="0.25">
      <c r="A49" s="109" t="s">
        <v>57</v>
      </c>
      <c r="B49" s="91"/>
      <c r="C49" s="110" t="s">
        <v>3</v>
      </c>
      <c r="D49" s="36"/>
      <c r="E49" s="239" t="s">
        <v>135</v>
      </c>
      <c r="F49" s="75"/>
      <c r="G49" s="240">
        <v>0.05</v>
      </c>
      <c r="H49" s="138">
        <f>'CAPEX '!D12*G49</f>
        <v>207246.01220019496</v>
      </c>
      <c r="I49" s="129" t="s">
        <v>119</v>
      </c>
      <c r="J49" s="6"/>
      <c r="K49" s="35"/>
      <c r="L49" s="29">
        <v>12</v>
      </c>
      <c r="M49" s="222">
        <f t="shared" si="15"/>
        <v>253669.11893303861</v>
      </c>
      <c r="N49" s="223">
        <f t="shared" si="16"/>
        <v>67147.707952863158</v>
      </c>
      <c r="O49" s="223">
        <f t="shared" si="17"/>
        <v>67147.707952863158</v>
      </c>
      <c r="P49" s="223">
        <f t="shared" si="18"/>
        <v>253669.11893303861</v>
      </c>
      <c r="Q49" s="215">
        <f t="shared" si="22"/>
        <v>186521.41098017545</v>
      </c>
      <c r="R49" s="216">
        <f t="shared" si="19"/>
        <v>7460.8564392070166</v>
      </c>
      <c r="S49" s="224">
        <f t="shared" si="20"/>
        <v>28185.457659226508</v>
      </c>
      <c r="T49" s="216">
        <f t="shared" si="21"/>
        <v>20724.601220019489</v>
      </c>
      <c r="U49" s="225"/>
      <c r="V49" s="218"/>
      <c r="W49" s="218"/>
    </row>
    <row r="50" spans="1:23" ht="15.75" x14ac:dyDescent="0.25">
      <c r="A50" s="109" t="s">
        <v>71</v>
      </c>
      <c r="B50" s="140">
        <v>0</v>
      </c>
      <c r="C50" s="110" t="s">
        <v>69</v>
      </c>
      <c r="D50" s="36"/>
      <c r="E50" s="239"/>
      <c r="F50" s="75"/>
      <c r="G50" s="76"/>
      <c r="H50" s="76"/>
      <c r="I50" s="129"/>
      <c r="J50" s="6"/>
      <c r="K50" s="42"/>
      <c r="L50" s="43">
        <v>13</v>
      </c>
      <c r="M50" s="222">
        <f t="shared" si="15"/>
        <v>246208.2624938316</v>
      </c>
      <c r="N50" s="223">
        <f t="shared" si="16"/>
        <v>59686.851513656155</v>
      </c>
      <c r="O50" s="223">
        <f t="shared" si="17"/>
        <v>59686.851513656155</v>
      </c>
      <c r="P50" s="223">
        <f t="shared" si="18"/>
        <v>246208.2624938316</v>
      </c>
      <c r="Q50" s="215">
        <f t="shared" si="22"/>
        <v>186521.41098017545</v>
      </c>
      <c r="R50" s="216">
        <f t="shared" si="19"/>
        <v>6631.8723904062381</v>
      </c>
      <c r="S50" s="224">
        <f t="shared" si="20"/>
        <v>27356.473610425728</v>
      </c>
      <c r="T50" s="216">
        <f t="shared" si="21"/>
        <v>20724.601220019489</v>
      </c>
      <c r="U50" s="225"/>
      <c r="V50" s="218"/>
      <c r="W50" s="218"/>
    </row>
    <row r="51" spans="1:23" ht="15.75" x14ac:dyDescent="0.25">
      <c r="A51" s="107" t="s">
        <v>13</v>
      </c>
      <c r="B51" s="133">
        <f>B49*B50/100</f>
        <v>0</v>
      </c>
      <c r="C51" s="110" t="s">
        <v>119</v>
      </c>
      <c r="D51" s="36"/>
      <c r="E51" s="241" t="s">
        <v>94</v>
      </c>
      <c r="F51" s="242"/>
      <c r="G51" s="243"/>
      <c r="H51" s="244">
        <v>0</v>
      </c>
      <c r="I51" s="245" t="s">
        <v>95</v>
      </c>
      <c r="J51" s="6"/>
      <c r="K51" s="29"/>
      <c r="L51" s="29">
        <v>14</v>
      </c>
      <c r="M51" s="222">
        <f t="shared" si="15"/>
        <v>238747.40605462459</v>
      </c>
      <c r="N51" s="223">
        <f t="shared" si="16"/>
        <v>52225.995074449129</v>
      </c>
      <c r="O51" s="223">
        <f t="shared" si="17"/>
        <v>52225.995074449129</v>
      </c>
      <c r="P51" s="223">
        <f t="shared" si="18"/>
        <v>238747.40605462459</v>
      </c>
      <c r="Q51" s="215">
        <f t="shared" si="22"/>
        <v>186521.41098017545</v>
      </c>
      <c r="R51" s="216">
        <f t="shared" si="19"/>
        <v>5802.8883416054587</v>
      </c>
      <c r="S51" s="224">
        <f t="shared" si="20"/>
        <v>26527.489561624949</v>
      </c>
      <c r="T51" s="216">
        <f t="shared" si="21"/>
        <v>20724.601220019489</v>
      </c>
      <c r="U51" s="225"/>
      <c r="V51" s="218"/>
      <c r="W51" s="218"/>
    </row>
    <row r="52" spans="1:23" ht="15.75" x14ac:dyDescent="0.25">
      <c r="A52" s="111" t="s">
        <v>52</v>
      </c>
      <c r="B52" s="65"/>
      <c r="C52" s="112"/>
      <c r="D52" s="246"/>
      <c r="E52" s="241"/>
      <c r="F52" s="242"/>
      <c r="G52" s="243"/>
      <c r="H52" s="137">
        <f>H51*75000</f>
        <v>0</v>
      </c>
      <c r="I52" s="245" t="s">
        <v>119</v>
      </c>
      <c r="J52" s="6"/>
      <c r="K52" s="29"/>
      <c r="L52" s="29">
        <v>15</v>
      </c>
      <c r="M52" s="222">
        <f t="shared" si="15"/>
        <v>231286.54961541758</v>
      </c>
      <c r="N52" s="223">
        <f t="shared" si="16"/>
        <v>44765.138635242118</v>
      </c>
      <c r="O52" s="223">
        <f t="shared" si="17"/>
        <v>44765.138635242118</v>
      </c>
      <c r="P52" s="223">
        <f t="shared" si="18"/>
        <v>231286.54961541758</v>
      </c>
      <c r="Q52" s="215">
        <f t="shared" si="22"/>
        <v>186521.41098017545</v>
      </c>
      <c r="R52" s="216">
        <f t="shared" si="19"/>
        <v>4973.9042928046783</v>
      </c>
      <c r="S52" s="224">
        <f t="shared" si="20"/>
        <v>25698.505512824166</v>
      </c>
      <c r="T52" s="216">
        <f t="shared" si="21"/>
        <v>20724.601220019489</v>
      </c>
      <c r="U52" s="225"/>
      <c r="V52" s="218"/>
      <c r="W52" s="218"/>
    </row>
    <row r="53" spans="1:23" ht="15.75" x14ac:dyDescent="0.25">
      <c r="A53" s="113" t="s">
        <v>97</v>
      </c>
      <c r="B53" s="66">
        <v>0</v>
      </c>
      <c r="C53" s="114" t="s">
        <v>4</v>
      </c>
      <c r="D53" s="36"/>
      <c r="E53" s="241" t="s">
        <v>125</v>
      </c>
      <c r="F53" s="242"/>
      <c r="G53" s="243"/>
      <c r="H53" s="137">
        <v>0</v>
      </c>
      <c r="I53" s="245"/>
      <c r="J53" s="6"/>
      <c r="K53" s="29"/>
      <c r="L53" s="29">
        <v>16</v>
      </c>
      <c r="M53" s="222">
        <f t="shared" si="15"/>
        <v>223825.69317621054</v>
      </c>
      <c r="N53" s="223">
        <f t="shared" si="16"/>
        <v>37304.282196035085</v>
      </c>
      <c r="O53" s="223">
        <f t="shared" si="17"/>
        <v>37304.282196035085</v>
      </c>
      <c r="P53" s="223">
        <f t="shared" si="18"/>
        <v>223825.69317621054</v>
      </c>
      <c r="Q53" s="215">
        <f t="shared" si="22"/>
        <v>186521.41098017545</v>
      </c>
      <c r="R53" s="216">
        <f t="shared" si="19"/>
        <v>4144.9202440038998</v>
      </c>
      <c r="S53" s="224">
        <f t="shared" si="20"/>
        <v>24869.52146402339</v>
      </c>
      <c r="T53" s="216">
        <f t="shared" si="21"/>
        <v>20724.601220019489</v>
      </c>
      <c r="U53" s="225"/>
      <c r="V53" s="218"/>
      <c r="W53" s="218"/>
    </row>
    <row r="54" spans="1:23" ht="15.75" x14ac:dyDescent="0.25">
      <c r="A54" s="113" t="s">
        <v>8</v>
      </c>
      <c r="B54" s="250">
        <v>0</v>
      </c>
      <c r="C54" s="114" t="s">
        <v>121</v>
      </c>
      <c r="D54" s="36"/>
      <c r="E54" s="241" t="s">
        <v>125</v>
      </c>
      <c r="F54" s="242"/>
      <c r="G54" s="243"/>
      <c r="H54" s="247">
        <v>0</v>
      </c>
      <c r="I54" s="245" t="s">
        <v>119</v>
      </c>
      <c r="K54" s="248"/>
      <c r="L54" s="29">
        <v>17</v>
      </c>
      <c r="M54" s="222">
        <f t="shared" si="15"/>
        <v>216364.83673700353</v>
      </c>
      <c r="N54" s="223">
        <f t="shared" si="16"/>
        <v>29843.425756828077</v>
      </c>
      <c r="O54" s="223">
        <f t="shared" si="17"/>
        <v>29843.425756828077</v>
      </c>
      <c r="P54" s="223">
        <f t="shared" si="18"/>
        <v>216364.83673700353</v>
      </c>
      <c r="Q54" s="215">
        <f t="shared" si="22"/>
        <v>186521.41098017545</v>
      </c>
      <c r="R54" s="216">
        <f t="shared" si="19"/>
        <v>3315.9361952031195</v>
      </c>
      <c r="S54" s="224">
        <f t="shared" si="20"/>
        <v>24040.537415222607</v>
      </c>
      <c r="T54" s="216">
        <f t="shared" si="21"/>
        <v>20724.601220019489</v>
      </c>
      <c r="U54" s="225"/>
      <c r="V54" s="218"/>
      <c r="W54" s="218"/>
    </row>
    <row r="55" spans="1:23" ht="15.75" customHeight="1" x14ac:dyDescent="0.25">
      <c r="A55" s="113" t="s">
        <v>131</v>
      </c>
      <c r="B55" s="267">
        <f>B53*B54</f>
        <v>0</v>
      </c>
      <c r="C55" s="114" t="s">
        <v>119</v>
      </c>
      <c r="D55" s="36"/>
      <c r="E55" s="249" t="s">
        <v>96</v>
      </c>
      <c r="F55" s="45"/>
      <c r="G55" s="48"/>
      <c r="H55" s="137"/>
      <c r="I55" s="128" t="s">
        <v>119</v>
      </c>
      <c r="J55" s="6"/>
      <c r="K55" s="4"/>
      <c r="L55" s="29">
        <v>18</v>
      </c>
      <c r="M55" s="222">
        <f t="shared" si="15"/>
        <v>208903.98029779652</v>
      </c>
      <c r="N55" s="223">
        <f t="shared" si="16"/>
        <v>22382.569317621066</v>
      </c>
      <c r="O55" s="223">
        <f t="shared" si="17"/>
        <v>22382.569317621066</v>
      </c>
      <c r="P55" s="223">
        <f t="shared" si="18"/>
        <v>208903.98029779652</v>
      </c>
      <c r="Q55" s="215">
        <f t="shared" si="22"/>
        <v>186521.41098017545</v>
      </c>
      <c r="R55" s="216">
        <f t="shared" si="19"/>
        <v>2486.9521464023392</v>
      </c>
      <c r="S55" s="224">
        <f t="shared" si="20"/>
        <v>23211.553366421827</v>
      </c>
      <c r="T55" s="216">
        <f t="shared" si="21"/>
        <v>20724.601220019489</v>
      </c>
      <c r="U55" s="225"/>
      <c r="V55" s="218"/>
      <c r="W55" s="218"/>
    </row>
    <row r="56" spans="1:23" ht="15.75" customHeight="1" x14ac:dyDescent="0.25">
      <c r="A56" s="115" t="s">
        <v>53</v>
      </c>
      <c r="B56" s="67"/>
      <c r="C56" s="116"/>
      <c r="D56" s="36"/>
      <c r="E56" s="249" t="s">
        <v>15</v>
      </c>
      <c r="F56" s="45"/>
      <c r="G56" s="45"/>
      <c r="H56" s="50">
        <v>4</v>
      </c>
      <c r="I56" s="128" t="s">
        <v>14</v>
      </c>
      <c r="J56" s="6"/>
      <c r="K56" s="4"/>
      <c r="L56" s="29">
        <v>19</v>
      </c>
      <c r="M56" s="222">
        <f t="shared" si="15"/>
        <v>201443.1238585895</v>
      </c>
      <c r="N56" s="223">
        <f t="shared" si="16"/>
        <v>14921.712878414039</v>
      </c>
      <c r="O56" s="223">
        <f t="shared" si="17"/>
        <v>14921.712878414039</v>
      </c>
      <c r="P56" s="223">
        <f t="shared" si="18"/>
        <v>201443.1238585895</v>
      </c>
      <c r="Q56" s="215">
        <f t="shared" si="22"/>
        <v>186521.41098017545</v>
      </c>
      <c r="R56" s="216">
        <f t="shared" si="19"/>
        <v>1657.9680976015609</v>
      </c>
      <c r="S56" s="224">
        <f t="shared" si="20"/>
        <v>22382.569317621052</v>
      </c>
      <c r="T56" s="216">
        <f t="shared" si="21"/>
        <v>20724.601220019489</v>
      </c>
      <c r="U56" s="225"/>
      <c r="V56" s="218"/>
      <c r="W56" s="218"/>
    </row>
    <row r="57" spans="1:23" ht="15.75" x14ac:dyDescent="0.25">
      <c r="A57" s="113" t="s">
        <v>7</v>
      </c>
      <c r="B57" s="67">
        <v>0</v>
      </c>
      <c r="C57" s="114" t="s">
        <v>4</v>
      </c>
      <c r="D57" s="36"/>
      <c r="E57" s="492" t="s">
        <v>12</v>
      </c>
      <c r="F57" s="493"/>
      <c r="G57" s="315">
        <v>0.9</v>
      </c>
      <c r="H57" s="136">
        <f>B6*G57</f>
        <v>3730428.2196035092</v>
      </c>
      <c r="I57" s="128" t="s">
        <v>129</v>
      </c>
      <c r="J57" s="6"/>
      <c r="K57" s="4"/>
      <c r="L57" s="29">
        <v>20</v>
      </c>
      <c r="M57" s="222">
        <f t="shared" si="15"/>
        <v>193982.26741938249</v>
      </c>
      <c r="N57" s="223">
        <f t="shared" si="16"/>
        <v>7460.8564392070284</v>
      </c>
      <c r="O57" s="223">
        <f t="shared" si="17"/>
        <v>7460.8564392070284</v>
      </c>
      <c r="P57" s="223">
        <f t="shared" si="18"/>
        <v>193982.26741938249</v>
      </c>
      <c r="Q57" s="215">
        <f>M57-N57</f>
        <v>186521.41098017545</v>
      </c>
      <c r="R57" s="216">
        <f t="shared" si="19"/>
        <v>828.98404880078044</v>
      </c>
      <c r="S57" s="224">
        <f t="shared" si="20"/>
        <v>21553.585268820269</v>
      </c>
      <c r="T57" s="216">
        <f t="shared" si="21"/>
        <v>20724.601220019489</v>
      </c>
      <c r="U57" s="225"/>
      <c r="V57" s="218"/>
      <c r="W57" s="218"/>
    </row>
    <row r="58" spans="1:23" ht="18" customHeight="1" x14ac:dyDescent="0.25">
      <c r="A58" s="113" t="s">
        <v>122</v>
      </c>
      <c r="B58" s="250">
        <v>0</v>
      </c>
      <c r="C58" s="114" t="s">
        <v>121</v>
      </c>
      <c r="D58" s="36"/>
      <c r="E58" s="230" t="s">
        <v>11</v>
      </c>
      <c r="F58" s="46"/>
      <c r="G58" s="45"/>
      <c r="H58" s="50">
        <v>20</v>
      </c>
      <c r="I58" s="128" t="s">
        <v>10</v>
      </c>
      <c r="J58" s="4"/>
      <c r="K58" s="4"/>
      <c r="L58" s="4"/>
      <c r="M58" s="4"/>
      <c r="N58" s="4"/>
      <c r="O58" s="4"/>
    </row>
    <row r="59" spans="1:23" ht="15.75" x14ac:dyDescent="0.25">
      <c r="A59" s="113" t="s">
        <v>132</v>
      </c>
      <c r="B59" s="257">
        <f>B57*B58</f>
        <v>0</v>
      </c>
      <c r="C59" s="117" t="s">
        <v>119</v>
      </c>
      <c r="D59" s="36"/>
      <c r="E59" s="494" t="s">
        <v>9</v>
      </c>
      <c r="F59" s="495"/>
      <c r="G59" s="45"/>
      <c r="H59" s="57">
        <f>($M$59-H57)/H58</f>
        <v>78338.992611673733</v>
      </c>
      <c r="I59" s="128" t="s">
        <v>119</v>
      </c>
      <c r="J59" s="4"/>
      <c r="K59" s="31" t="s">
        <v>56</v>
      </c>
      <c r="L59" s="31"/>
      <c r="M59" s="78">
        <f>SUM(M38:M57)</f>
        <v>5297208.0718369838</v>
      </c>
      <c r="N59" s="78">
        <f>SUM(N38:N57)</f>
        <v>1566779.8522334739</v>
      </c>
      <c r="O59" s="78"/>
      <c r="P59" s="78"/>
      <c r="Q59" s="78">
        <f>SUM(Q38:Q57)</f>
        <v>3730428.2196035078</v>
      </c>
      <c r="R59" s="78">
        <f>SUM(R38:R57)</f>
        <v>174086.65024816373</v>
      </c>
      <c r="S59" s="78">
        <f t="shared" ref="S59:T59" si="23">SUM(S38:S57)</f>
        <v>588578.67464855348</v>
      </c>
      <c r="T59" s="78">
        <f t="shared" si="23"/>
        <v>414492.02440038987</v>
      </c>
      <c r="U59" s="251"/>
      <c r="V59" s="251"/>
      <c r="W59" s="252"/>
    </row>
    <row r="60" spans="1:23" ht="15.75" x14ac:dyDescent="0.25">
      <c r="A60" s="259" t="s">
        <v>101</v>
      </c>
      <c r="B60" s="260">
        <v>0</v>
      </c>
      <c r="C60" s="261" t="s">
        <v>4</v>
      </c>
      <c r="D60" s="36"/>
      <c r="E60" s="253" t="s">
        <v>98</v>
      </c>
      <c r="F60" s="254"/>
      <c r="G60" s="316">
        <f>100%-G57</f>
        <v>9.9999999999999978E-2</v>
      </c>
      <c r="H60" s="255">
        <v>0.1</v>
      </c>
      <c r="I60" s="256" t="s">
        <v>14</v>
      </c>
      <c r="J60" s="4"/>
    </row>
    <row r="61" spans="1:23" ht="15.75" x14ac:dyDescent="0.25">
      <c r="A61" s="265" t="s">
        <v>8</v>
      </c>
      <c r="B61" s="266">
        <v>0</v>
      </c>
      <c r="C61" s="261" t="s">
        <v>121</v>
      </c>
      <c r="D61" s="36"/>
      <c r="E61" s="492" t="s">
        <v>99</v>
      </c>
      <c r="F61" s="493"/>
      <c r="G61" s="51"/>
      <c r="H61" s="136">
        <f>B6*G60</f>
        <v>414492.02440038981</v>
      </c>
      <c r="I61" s="128" t="s">
        <v>129</v>
      </c>
      <c r="J61" s="4"/>
      <c r="K61" s="4"/>
      <c r="L61" s="4"/>
      <c r="M61" s="4"/>
      <c r="N61" s="4"/>
      <c r="O61" s="4"/>
    </row>
    <row r="62" spans="1:23" ht="15.75" x14ac:dyDescent="0.25">
      <c r="A62" s="265" t="s">
        <v>102</v>
      </c>
      <c r="B62" s="267">
        <v>0</v>
      </c>
      <c r="C62" s="261" t="s">
        <v>119</v>
      </c>
      <c r="D62" s="36"/>
      <c r="E62" s="494" t="s">
        <v>100</v>
      </c>
      <c r="F62" s="495"/>
      <c r="G62" s="45"/>
      <c r="H62" s="50">
        <f>H58</f>
        <v>20</v>
      </c>
      <c r="I62" s="128" t="s">
        <v>10</v>
      </c>
      <c r="J62" s="5"/>
      <c r="K62" s="4"/>
      <c r="L62" s="4"/>
      <c r="M62" s="4"/>
      <c r="N62" s="89"/>
      <c r="O62" s="4"/>
    </row>
    <row r="63" spans="1:23" ht="15.75" x14ac:dyDescent="0.25">
      <c r="A63" s="259" t="s">
        <v>103</v>
      </c>
      <c r="B63" s="260">
        <v>0</v>
      </c>
      <c r="C63" s="261" t="s">
        <v>4</v>
      </c>
      <c r="D63" s="36"/>
      <c r="E63" s="506" t="s">
        <v>136</v>
      </c>
      <c r="F63" s="507"/>
      <c r="G63" s="258">
        <v>0.05</v>
      </c>
      <c r="H63" s="136">
        <f>W22</f>
        <v>-543563.03615654574</v>
      </c>
      <c r="I63" s="127" t="s">
        <v>130</v>
      </c>
      <c r="J63" s="5"/>
      <c r="K63" s="4"/>
      <c r="L63" s="4"/>
      <c r="M63" s="4"/>
      <c r="N63" s="89"/>
      <c r="O63" s="4"/>
    </row>
    <row r="64" spans="1:23" ht="15.75" x14ac:dyDescent="0.25">
      <c r="A64" s="265" t="s">
        <v>8</v>
      </c>
      <c r="B64" s="266">
        <v>0</v>
      </c>
      <c r="C64" s="261" t="s">
        <v>121</v>
      </c>
      <c r="D64" s="36"/>
      <c r="E64" s="262"/>
      <c r="F64" s="263"/>
      <c r="G64" s="263"/>
      <c r="H64" s="263"/>
      <c r="I64" s="264"/>
      <c r="J64" s="5"/>
      <c r="K64" s="4"/>
      <c r="L64" s="4"/>
      <c r="M64" s="4"/>
      <c r="N64" s="89"/>
      <c r="O64" s="4"/>
    </row>
    <row r="65" spans="1:15" ht="15.75" x14ac:dyDescent="0.25">
      <c r="A65" s="265" t="s">
        <v>104</v>
      </c>
      <c r="B65" s="267">
        <f>B63*B64</f>
        <v>0</v>
      </c>
      <c r="C65" s="261" t="s">
        <v>119</v>
      </c>
      <c r="D65" s="36"/>
      <c r="E65" s="262"/>
      <c r="F65" s="263"/>
      <c r="G65" s="263"/>
      <c r="H65" s="263"/>
      <c r="I65" s="264"/>
      <c r="J65" s="5"/>
      <c r="K65" s="4"/>
      <c r="L65" s="4"/>
      <c r="M65" s="4"/>
      <c r="N65" s="89"/>
      <c r="O65" s="4"/>
    </row>
    <row r="66" spans="1:15" ht="15.75" x14ac:dyDescent="0.25">
      <c r="A66" s="259" t="s">
        <v>105</v>
      </c>
      <c r="B66" s="260">
        <v>0</v>
      </c>
      <c r="C66" s="261" t="s">
        <v>4</v>
      </c>
      <c r="D66" s="36"/>
      <c r="E66" s="262"/>
      <c r="F66" s="263"/>
      <c r="G66" s="263"/>
      <c r="H66" s="263"/>
      <c r="I66" s="264"/>
      <c r="J66" s="5"/>
      <c r="K66" s="4"/>
      <c r="L66" s="4"/>
      <c r="M66" s="4"/>
      <c r="N66" s="89"/>
      <c r="O66" s="4"/>
    </row>
    <row r="67" spans="1:15" ht="15.75" x14ac:dyDescent="0.25">
      <c r="A67" s="265" t="s">
        <v>8</v>
      </c>
      <c r="B67" s="266">
        <v>0</v>
      </c>
      <c r="C67" s="261" t="s">
        <v>121</v>
      </c>
      <c r="D67" s="36"/>
      <c r="E67" s="262"/>
      <c r="F67" s="263"/>
      <c r="G67" s="263"/>
      <c r="H67" s="263"/>
      <c r="I67" s="264"/>
      <c r="J67" s="5"/>
      <c r="K67" s="4"/>
      <c r="L67" s="4"/>
      <c r="M67" s="4"/>
      <c r="N67" s="89"/>
      <c r="O67" s="4"/>
    </row>
    <row r="68" spans="1:15" ht="15.75" x14ac:dyDescent="0.25">
      <c r="A68" s="265" t="s">
        <v>106</v>
      </c>
      <c r="B68" s="267">
        <f>B66*B67</f>
        <v>0</v>
      </c>
      <c r="C68" s="261" t="s">
        <v>119</v>
      </c>
      <c r="D68" s="36"/>
      <c r="E68" s="262"/>
      <c r="F68" s="263"/>
      <c r="G68" s="263"/>
      <c r="H68" s="263"/>
      <c r="I68" s="264"/>
      <c r="J68" s="5"/>
      <c r="K68" s="4"/>
      <c r="L68" s="4"/>
      <c r="M68" s="4"/>
      <c r="N68" s="89"/>
      <c r="O68" s="4"/>
    </row>
    <row r="69" spans="1:15" ht="15.75" x14ac:dyDescent="0.25">
      <c r="A69" s="268" t="s">
        <v>107</v>
      </c>
      <c r="B69" s="269">
        <v>0</v>
      </c>
      <c r="C69" s="270" t="s">
        <v>4</v>
      </c>
      <c r="D69" s="36"/>
      <c r="E69" s="262"/>
      <c r="F69" s="263"/>
      <c r="G69" s="263"/>
      <c r="H69" s="263"/>
      <c r="I69" s="264"/>
      <c r="J69" s="5"/>
      <c r="K69" s="4"/>
      <c r="L69" s="4"/>
      <c r="M69" s="4"/>
      <c r="N69" s="89"/>
      <c r="O69" s="4"/>
    </row>
    <row r="70" spans="1:15" ht="15.75" x14ac:dyDescent="0.25">
      <c r="A70" s="275" t="s">
        <v>133</v>
      </c>
      <c r="B70" s="276">
        <v>0</v>
      </c>
      <c r="C70" s="270" t="s">
        <v>121</v>
      </c>
      <c r="D70" s="36"/>
      <c r="E70" s="262"/>
      <c r="F70" s="263"/>
      <c r="G70" s="263"/>
      <c r="H70" s="263"/>
      <c r="I70" s="264"/>
      <c r="J70" s="5"/>
      <c r="K70" s="4"/>
      <c r="L70" s="4"/>
      <c r="M70" s="4"/>
      <c r="N70" s="89"/>
      <c r="O70" s="4"/>
    </row>
    <row r="71" spans="1:15" ht="15.75" x14ac:dyDescent="0.25">
      <c r="A71" s="275" t="s">
        <v>108</v>
      </c>
      <c r="B71" s="226">
        <f>B69*B70</f>
        <v>0</v>
      </c>
      <c r="C71" s="270" t="s">
        <v>119</v>
      </c>
      <c r="D71" s="36"/>
      <c r="E71" s="262"/>
      <c r="F71" s="263"/>
      <c r="G71" s="263"/>
      <c r="H71" s="263"/>
      <c r="I71" s="264"/>
      <c r="J71" s="5"/>
      <c r="K71" s="4"/>
      <c r="L71" s="4"/>
      <c r="M71" s="4"/>
      <c r="N71" s="89"/>
      <c r="O71" s="4"/>
    </row>
    <row r="72" spans="1:15" ht="15.75" x14ac:dyDescent="0.25">
      <c r="A72" s="118" t="s">
        <v>6</v>
      </c>
      <c r="B72" s="68">
        <v>0</v>
      </c>
      <c r="C72" s="119" t="s">
        <v>121</v>
      </c>
      <c r="D72" s="36"/>
      <c r="E72" s="262"/>
      <c r="F72" s="263"/>
      <c r="G72" s="263"/>
      <c r="H72" s="263"/>
      <c r="I72" s="264"/>
      <c r="J72" s="5"/>
      <c r="K72" s="4"/>
      <c r="L72" s="4"/>
      <c r="M72" s="4"/>
      <c r="N72" s="89"/>
      <c r="O72" s="4"/>
    </row>
    <row r="73" spans="1:15" ht="15" customHeight="1" thickBot="1" x14ac:dyDescent="0.3">
      <c r="A73" s="120" t="s">
        <v>5</v>
      </c>
      <c r="B73" s="69"/>
      <c r="C73" s="119" t="s">
        <v>43</v>
      </c>
      <c r="D73" s="36"/>
      <c r="E73" s="271"/>
      <c r="F73" s="272"/>
      <c r="G73" s="273"/>
      <c r="H73" s="273"/>
      <c r="I73" s="274"/>
      <c r="J73" s="5"/>
      <c r="K73" s="4"/>
      <c r="L73" s="4"/>
      <c r="M73" s="4"/>
      <c r="N73" s="89"/>
      <c r="O73" s="4"/>
    </row>
    <row r="74" spans="1:15" ht="15.75" x14ac:dyDescent="0.25">
      <c r="A74" s="121" t="s">
        <v>64</v>
      </c>
      <c r="B74" s="279">
        <v>0</v>
      </c>
      <c r="C74" s="119" t="s">
        <v>119</v>
      </c>
      <c r="D74" s="36"/>
      <c r="E74" s="277"/>
      <c r="F74" s="277"/>
      <c r="G74" s="277"/>
      <c r="H74" s="277"/>
      <c r="I74" s="278"/>
      <c r="J74" s="5"/>
      <c r="K74" s="4"/>
      <c r="L74" s="4"/>
      <c r="M74" s="4"/>
      <c r="N74" s="89"/>
      <c r="O74" s="4"/>
    </row>
    <row r="75" spans="1:15" ht="15.75" x14ac:dyDescent="0.25">
      <c r="A75" s="122" t="s">
        <v>44</v>
      </c>
      <c r="B75" s="70"/>
      <c r="C75" s="123"/>
      <c r="D75" s="36"/>
      <c r="E75" s="277"/>
      <c r="F75" s="277"/>
      <c r="G75" s="277"/>
      <c r="H75" s="277"/>
      <c r="I75" s="278"/>
      <c r="J75" s="5"/>
      <c r="K75" s="4"/>
      <c r="L75" s="4"/>
      <c r="M75" s="4"/>
      <c r="N75" s="89"/>
      <c r="O75" s="4"/>
    </row>
    <row r="76" spans="1:15" ht="18" x14ac:dyDescent="0.25">
      <c r="A76" s="124" t="s">
        <v>45</v>
      </c>
      <c r="B76" s="71"/>
      <c r="C76" s="125" t="s">
        <v>46</v>
      </c>
      <c r="D76" s="36"/>
      <c r="E76" s="38"/>
      <c r="F76" s="38"/>
      <c r="G76" s="38"/>
      <c r="H76" s="40"/>
      <c r="I76" s="131"/>
      <c r="J76" s="5"/>
      <c r="K76" s="4"/>
      <c r="L76" s="4"/>
      <c r="M76" s="4"/>
      <c r="N76" s="4"/>
      <c r="O76" s="4"/>
    </row>
    <row r="77" spans="1:15" ht="18" x14ac:dyDescent="0.25">
      <c r="A77" s="124" t="s">
        <v>66</v>
      </c>
      <c r="B77" s="142">
        <v>0</v>
      </c>
      <c r="C77" s="125" t="s">
        <v>67</v>
      </c>
      <c r="D77" s="36"/>
      <c r="E77" s="38"/>
      <c r="F77" s="38"/>
      <c r="G77" s="38"/>
      <c r="H77" s="40"/>
      <c r="I77" s="131"/>
      <c r="J77" s="5"/>
      <c r="K77" s="4"/>
      <c r="L77" s="4"/>
      <c r="M77" s="4"/>
      <c r="N77" s="4"/>
      <c r="O77" s="4"/>
    </row>
    <row r="78" spans="1:15" ht="18" x14ac:dyDescent="0.25">
      <c r="A78" s="281" t="s">
        <v>47</v>
      </c>
      <c r="B78" s="311">
        <f>B76*B77/100</f>
        <v>0</v>
      </c>
      <c r="C78" s="125" t="s">
        <v>119</v>
      </c>
      <c r="D78" s="36"/>
      <c r="E78" s="280"/>
      <c r="F78" s="38"/>
      <c r="G78" s="40"/>
      <c r="H78" s="40"/>
      <c r="I78" s="131"/>
      <c r="J78" s="5"/>
      <c r="K78" s="4"/>
      <c r="L78" s="4"/>
      <c r="M78" s="4"/>
      <c r="N78" s="4"/>
      <c r="O78" s="4"/>
    </row>
    <row r="79" spans="1:15" ht="18" x14ac:dyDescent="0.25">
      <c r="A79" s="282"/>
      <c r="B79" s="310"/>
      <c r="C79" s="318"/>
      <c r="D79" s="317"/>
      <c r="E79" s="39"/>
      <c r="F79" s="38"/>
      <c r="G79" s="40"/>
      <c r="H79" s="40"/>
      <c r="I79" s="131"/>
      <c r="J79" s="5"/>
      <c r="K79" s="4"/>
      <c r="L79" s="4"/>
      <c r="M79" s="4"/>
      <c r="N79" s="4"/>
      <c r="O79" s="4"/>
    </row>
    <row r="80" spans="1:15" ht="18" x14ac:dyDescent="0.25">
      <c r="A80" s="282" t="s">
        <v>123</v>
      </c>
      <c r="B80" s="359"/>
      <c r="C80" s="283" t="s">
        <v>119</v>
      </c>
      <c r="D80" s="36"/>
      <c r="E80" s="39"/>
      <c r="F80" s="38"/>
      <c r="G80" s="40"/>
      <c r="H80" s="40"/>
      <c r="I80" s="131"/>
      <c r="J80" s="5"/>
      <c r="K80" s="4"/>
      <c r="L80" s="4"/>
      <c r="M80" s="4"/>
      <c r="N80" s="4"/>
      <c r="O80" s="4"/>
    </row>
    <row r="81" spans="1:15" ht="18" x14ac:dyDescent="0.25">
      <c r="A81" s="286"/>
      <c r="B81" s="310"/>
      <c r="C81" s="283"/>
      <c r="D81" s="36"/>
      <c r="E81" s="39"/>
      <c r="F81" s="38"/>
      <c r="G81" s="40"/>
      <c r="H81" s="40"/>
      <c r="I81" s="131"/>
      <c r="J81" s="5"/>
      <c r="K81" s="4"/>
      <c r="L81" s="4"/>
      <c r="M81" s="4"/>
      <c r="N81" s="4"/>
      <c r="O81" s="4"/>
    </row>
    <row r="82" spans="1:15" ht="18" x14ac:dyDescent="0.25">
      <c r="A82" s="308"/>
      <c r="B82" s="310"/>
      <c r="C82" s="283"/>
      <c r="D82" s="36"/>
      <c r="E82" s="39"/>
      <c r="F82" s="38"/>
      <c r="G82" s="40"/>
      <c r="H82" s="40"/>
      <c r="I82" s="131"/>
      <c r="J82" s="5"/>
      <c r="K82" s="4"/>
      <c r="L82" s="4"/>
      <c r="M82" s="4"/>
      <c r="N82" s="4"/>
      <c r="O82" s="4"/>
    </row>
    <row r="83" spans="1:15" ht="18" x14ac:dyDescent="0.25">
      <c r="A83" s="282"/>
      <c r="B83" s="310"/>
      <c r="C83" s="283"/>
      <c r="D83" s="36"/>
      <c r="E83" s="39"/>
      <c r="F83" s="38"/>
      <c r="G83" s="40"/>
      <c r="H83" s="40"/>
      <c r="I83" s="284"/>
      <c r="K83" s="4"/>
      <c r="L83" s="4"/>
      <c r="M83" s="4"/>
      <c r="N83" s="4"/>
      <c r="O83" s="4"/>
    </row>
    <row r="84" spans="1:15" ht="18" x14ac:dyDescent="0.25">
      <c r="A84" s="282"/>
      <c r="B84" s="310"/>
      <c r="C84" s="283"/>
      <c r="D84" s="36"/>
      <c r="E84" s="39"/>
      <c r="F84" s="38"/>
      <c r="G84" s="40"/>
      <c r="H84" s="40"/>
      <c r="I84" s="284"/>
      <c r="J84" s="285"/>
      <c r="K84" s="4"/>
      <c r="L84" s="4"/>
      <c r="M84" s="4"/>
      <c r="N84" s="4"/>
      <c r="O84" s="4"/>
    </row>
    <row r="85" spans="1:15" x14ac:dyDescent="0.25">
      <c r="A85" s="286"/>
      <c r="B85" s="287"/>
      <c r="C85" s="283"/>
      <c r="D85" s="277"/>
      <c r="E85" s="277"/>
      <c r="F85" s="277"/>
      <c r="G85" s="277"/>
      <c r="H85" s="277"/>
      <c r="I85" s="278"/>
      <c r="J85" s="288">
        <f>L24-(H57-M38-M39-M40-M41-M42-M43-M44-M45-M46-M47)</f>
        <v>-5976669.934044213</v>
      </c>
      <c r="K85" s="90"/>
      <c r="L85" s="4"/>
      <c r="M85" s="4"/>
      <c r="N85" s="4"/>
      <c r="O85" s="4"/>
    </row>
    <row r="86" spans="1:15" x14ac:dyDescent="0.25">
      <c r="A86" s="286"/>
      <c r="B86" s="309"/>
      <c r="C86" s="283"/>
      <c r="D86" s="90"/>
      <c r="E86" s="90"/>
      <c r="F86" s="90"/>
      <c r="G86" s="90"/>
      <c r="H86" s="90"/>
      <c r="I86" s="289"/>
      <c r="J86" s="288"/>
      <c r="K86" s="90"/>
      <c r="L86" s="4"/>
      <c r="M86" s="4"/>
      <c r="N86" s="4"/>
      <c r="O86" s="4"/>
    </row>
    <row r="87" spans="1:15" x14ac:dyDescent="0.25">
      <c r="A87" s="286"/>
      <c r="B87" s="287"/>
      <c r="C87" s="283"/>
      <c r="D87" s="90"/>
      <c r="E87" s="90"/>
      <c r="F87" s="90"/>
      <c r="G87" s="90"/>
      <c r="H87" s="90"/>
      <c r="I87" s="289"/>
      <c r="J87" s="288"/>
      <c r="K87" s="90"/>
      <c r="L87" s="4"/>
      <c r="M87" s="4"/>
      <c r="N87" s="4"/>
      <c r="O87" s="4"/>
    </row>
    <row r="88" spans="1:15" x14ac:dyDescent="0.25">
      <c r="A88" s="286"/>
      <c r="B88" s="287"/>
      <c r="C88" s="283"/>
      <c r="D88" s="90"/>
      <c r="E88" s="90"/>
      <c r="F88" s="90"/>
      <c r="G88" s="90"/>
      <c r="H88" s="90"/>
      <c r="I88" s="289"/>
      <c r="J88" s="288"/>
      <c r="K88" s="90"/>
      <c r="L88" s="4"/>
      <c r="M88" s="4"/>
      <c r="N88" s="4"/>
      <c r="O88" s="4"/>
    </row>
    <row r="89" spans="1:15" x14ac:dyDescent="0.25">
      <c r="A89" s="286"/>
      <c r="B89" s="287"/>
      <c r="C89" s="283"/>
      <c r="D89" s="90"/>
      <c r="E89" s="90"/>
      <c r="F89" s="90"/>
      <c r="G89" s="90"/>
      <c r="H89" s="90"/>
      <c r="I89" s="289"/>
      <c r="J89" s="288"/>
      <c r="K89" s="90"/>
      <c r="L89" s="4"/>
      <c r="M89" s="4"/>
      <c r="N89" s="4"/>
      <c r="O89" s="4"/>
    </row>
    <row r="90" spans="1:15" x14ac:dyDescent="0.25">
      <c r="A90" s="286"/>
      <c r="B90" s="287"/>
      <c r="C90" s="283"/>
      <c r="D90" s="90"/>
      <c r="E90" s="90"/>
      <c r="F90" s="90"/>
      <c r="G90" s="90"/>
      <c r="H90" s="90"/>
      <c r="I90" s="289"/>
      <c r="J90" s="288"/>
      <c r="K90" s="90"/>
      <c r="L90" s="4"/>
      <c r="M90" s="4"/>
      <c r="N90" s="4"/>
      <c r="O90" s="4"/>
    </row>
    <row r="91" spans="1:15" x14ac:dyDescent="0.25">
      <c r="A91" s="286"/>
      <c r="B91" s="287"/>
      <c r="C91" s="283"/>
      <c r="D91" s="90"/>
      <c r="E91" s="90"/>
      <c r="F91" s="90"/>
      <c r="G91" s="90"/>
      <c r="H91" s="90"/>
      <c r="I91" s="289"/>
      <c r="J91" s="288"/>
      <c r="K91" s="90"/>
      <c r="L91" s="4"/>
      <c r="M91" s="4"/>
      <c r="N91" s="4"/>
      <c r="O91" s="4"/>
    </row>
    <row r="92" spans="1:15" x14ac:dyDescent="0.25">
      <c r="A92" s="286"/>
      <c r="B92" s="287"/>
      <c r="C92" s="283"/>
      <c r="D92" s="90"/>
      <c r="E92" s="90"/>
      <c r="F92" s="90"/>
      <c r="G92" s="90"/>
      <c r="H92" s="90"/>
      <c r="I92" s="289"/>
      <c r="J92" s="288"/>
      <c r="K92" s="90"/>
      <c r="L92" s="4"/>
      <c r="M92" s="4"/>
      <c r="N92" s="4"/>
      <c r="O92" s="4"/>
    </row>
    <row r="93" spans="1:15" x14ac:dyDescent="0.25">
      <c r="A93" s="290"/>
      <c r="B93" s="291"/>
      <c r="C93" s="283"/>
      <c r="D93" s="90"/>
      <c r="E93" s="90"/>
      <c r="F93" s="90"/>
      <c r="G93" s="90"/>
      <c r="H93" s="90"/>
      <c r="I93" s="289"/>
      <c r="J93" s="288"/>
      <c r="K93" s="90"/>
      <c r="L93" s="4"/>
      <c r="M93" s="4"/>
      <c r="N93" s="4"/>
      <c r="O93" s="4"/>
    </row>
    <row r="94" spans="1:15" ht="18.75" thickBot="1" x14ac:dyDescent="0.3">
      <c r="A94" s="292"/>
      <c r="B94" s="293"/>
      <c r="C94" s="294"/>
      <c r="D94" s="295"/>
      <c r="E94" s="295"/>
      <c r="F94" s="295"/>
      <c r="G94" s="295"/>
      <c r="H94" s="295"/>
      <c r="I94" s="296"/>
      <c r="J94" s="139">
        <f>COUNTIF(A95:J95,"&lt;0")</f>
        <v>9</v>
      </c>
      <c r="K94" s="90"/>
      <c r="L94" s="4"/>
      <c r="M94" s="4"/>
      <c r="N94" s="4"/>
      <c r="O94" s="4"/>
    </row>
    <row r="95" spans="1:15" x14ac:dyDescent="0.25">
      <c r="A95" s="126">
        <f>C24-(H57-M38)</f>
        <v>-3933427.3092186479</v>
      </c>
      <c r="B95" s="90">
        <f>D24-(H57-M38-M39)</f>
        <v>-4141010.1561206654</v>
      </c>
      <c r="C95" s="90">
        <f>E24-(H57-M38-M39-M40)</f>
        <v>-4353257.198968919</v>
      </c>
      <c r="D95" s="90">
        <f>F24-(H57-M38-M39-M40-M41)</f>
        <v>-4570250.408142278</v>
      </c>
      <c r="E95" s="90">
        <f>G24-(H57-M38-M39-M40-M41-M42)</f>
        <v>-4792073.3148009982</v>
      </c>
      <c r="F95" s="90">
        <f>H24-(H57-M38-M39-M40-M41-M42-M43)</f>
        <v>-5018811.0404977221</v>
      </c>
      <c r="G95" s="90">
        <f>I24-(H57-M38-M39-M40-M41-M42-M43-M44)</f>
        <v>-5250550.3273479724</v>
      </c>
      <c r="H95" s="90">
        <f>J24-(H57-M38-M39-M40-M41-M42-M43-M44-M45)</f>
        <v>-5487379.5687706284</v>
      </c>
      <c r="I95" s="90">
        <f>K24-(H57-M38-M39-M40-M41-M42-M43-M44-M45-M46)</f>
        <v>-5729388.8408091115</v>
      </c>
      <c r="J95" s="288"/>
      <c r="K95" s="90"/>
      <c r="L95" s="4"/>
      <c r="M95" s="4"/>
      <c r="N95" s="4"/>
      <c r="O95" s="4"/>
    </row>
    <row r="97" spans="1:21" s="81" customFormat="1" x14ac:dyDescent="0.25">
      <c r="A97" s="79">
        <f t="shared" ref="A97:U97" si="24">B11</f>
        <v>2022</v>
      </c>
      <c r="B97" s="79">
        <f t="shared" si="24"/>
        <v>2023</v>
      </c>
      <c r="C97" s="79">
        <f t="shared" si="24"/>
        <v>2024</v>
      </c>
      <c r="D97" s="79">
        <f t="shared" si="24"/>
        <v>2025</v>
      </c>
      <c r="E97" s="79">
        <f t="shared" si="24"/>
        <v>2026</v>
      </c>
      <c r="F97" s="79">
        <f t="shared" si="24"/>
        <v>2027</v>
      </c>
      <c r="G97" s="79">
        <f t="shared" si="24"/>
        <v>2028</v>
      </c>
      <c r="H97" s="79">
        <f t="shared" si="24"/>
        <v>2029</v>
      </c>
      <c r="I97" s="79">
        <f t="shared" si="24"/>
        <v>2030</v>
      </c>
      <c r="J97" s="79">
        <f t="shared" si="24"/>
        <v>2031</v>
      </c>
      <c r="K97" s="79">
        <f t="shared" si="24"/>
        <v>2032</v>
      </c>
      <c r="L97" s="79">
        <f t="shared" si="24"/>
        <v>2033</v>
      </c>
      <c r="M97" s="79">
        <f t="shared" si="24"/>
        <v>2034</v>
      </c>
      <c r="N97" s="79">
        <f t="shared" si="24"/>
        <v>2035</v>
      </c>
      <c r="O97" s="79">
        <f t="shared" si="24"/>
        <v>2036</v>
      </c>
      <c r="P97" s="79">
        <f t="shared" si="24"/>
        <v>2037</v>
      </c>
      <c r="Q97" s="79">
        <f t="shared" si="24"/>
        <v>2038</v>
      </c>
      <c r="R97" s="79">
        <f t="shared" si="24"/>
        <v>2039</v>
      </c>
      <c r="S97" s="79">
        <f t="shared" si="24"/>
        <v>2040</v>
      </c>
      <c r="T97" s="79">
        <f t="shared" si="24"/>
        <v>2041</v>
      </c>
      <c r="U97" s="79">
        <f t="shared" si="24"/>
        <v>2042</v>
      </c>
    </row>
    <row r="98" spans="1:21" s="81" customFormat="1" x14ac:dyDescent="0.25">
      <c r="A98" s="82"/>
      <c r="B98" s="83">
        <f t="shared" ref="B98:U99" si="25">C13</f>
        <v>530133.77136129199</v>
      </c>
      <c r="C98" s="83">
        <f t="shared" si="25"/>
        <v>540952.82791968575</v>
      </c>
      <c r="D98" s="83">
        <f t="shared" si="25"/>
        <v>551992.68155069975</v>
      </c>
      <c r="E98" s="83">
        <f t="shared" si="25"/>
        <v>563257.83831704059</v>
      </c>
      <c r="F98" s="83">
        <f t="shared" si="25"/>
        <v>574752.89624187816</v>
      </c>
      <c r="G98" s="83">
        <f t="shared" si="25"/>
        <v>586482.54718559003</v>
      </c>
      <c r="H98" s="83">
        <f t="shared" si="25"/>
        <v>598451.57876080612</v>
      </c>
      <c r="I98" s="83">
        <f t="shared" si="25"/>
        <v>610664.87628653692</v>
      </c>
      <c r="J98" s="83">
        <f t="shared" si="25"/>
        <v>623127.42478218058</v>
      </c>
      <c r="K98" s="83">
        <f t="shared" si="25"/>
        <v>635844.31100222503</v>
      </c>
      <c r="L98" s="83">
        <f t="shared" si="25"/>
        <v>648820.72551247454</v>
      </c>
      <c r="M98" s="83">
        <f t="shared" si="25"/>
        <v>662061.96480864752</v>
      </c>
      <c r="N98" s="83">
        <f t="shared" si="25"/>
        <v>675573.43347821175</v>
      </c>
      <c r="O98" s="83">
        <f t="shared" si="25"/>
        <v>689360.64640633855</v>
      </c>
      <c r="P98" s="83">
        <f t="shared" si="25"/>
        <v>703429.23102687614</v>
      </c>
      <c r="Q98" s="83">
        <f t="shared" si="25"/>
        <v>717784.92961926141</v>
      </c>
      <c r="R98" s="83">
        <f t="shared" si="25"/>
        <v>732433.60165230755</v>
      </c>
      <c r="S98" s="83">
        <f t="shared" si="25"/>
        <v>747381.22617582406</v>
      </c>
      <c r="T98" s="83">
        <f t="shared" si="25"/>
        <v>762633.90426104493</v>
      </c>
      <c r="U98" s="83">
        <f t="shared" si="25"/>
        <v>778197.86149086221</v>
      </c>
    </row>
    <row r="99" spans="1:21" s="81" customFormat="1" x14ac:dyDescent="0.25">
      <c r="A99" s="82"/>
      <c r="B99" s="83">
        <f t="shared" si="25"/>
        <v>-787193.43990322703</v>
      </c>
      <c r="C99" s="83">
        <f t="shared" si="25"/>
        <v>-802937.30870129156</v>
      </c>
      <c r="D99" s="83">
        <f t="shared" si="25"/>
        <v>-818996.05487531738</v>
      </c>
      <c r="E99" s="83">
        <f t="shared" si="25"/>
        <v>-835375.97597282368</v>
      </c>
      <c r="F99" s="83">
        <f t="shared" si="25"/>
        <v>-852083.49549228011</v>
      </c>
      <c r="G99" s="83">
        <f t="shared" si="25"/>
        <v>-869125.16540212568</v>
      </c>
      <c r="H99" s="83">
        <f t="shared" si="25"/>
        <v>-886507.66871016822</v>
      </c>
      <c r="I99" s="83">
        <f t="shared" si="25"/>
        <v>-904237.82208437158</v>
      </c>
      <c r="J99" s="83">
        <f t="shared" si="25"/>
        <v>-922322.57852605905</v>
      </c>
      <c r="K99" s="83">
        <f t="shared" si="25"/>
        <v>-940769.03009658027</v>
      </c>
      <c r="L99" s="83">
        <f t="shared" si="25"/>
        <v>-959584.41069851187</v>
      </c>
      <c r="M99" s="83">
        <f t="shared" si="25"/>
        <v>-978776.09891248215</v>
      </c>
      <c r="N99" s="83">
        <f t="shared" si="25"/>
        <v>-998351.62089073181</v>
      </c>
      <c r="O99" s="83">
        <f t="shared" si="25"/>
        <v>-1018318.6533085464</v>
      </c>
      <c r="P99" s="83">
        <f t="shared" si="25"/>
        <v>-1038685.0263747174</v>
      </c>
      <c r="Q99" s="83">
        <f t="shared" si="25"/>
        <v>-1059458.7269022118</v>
      </c>
      <c r="R99" s="83">
        <f t="shared" si="25"/>
        <v>-1080647.901440256</v>
      </c>
      <c r="S99" s="83">
        <f t="shared" si="25"/>
        <v>-1102260.8594690613</v>
      </c>
      <c r="T99" s="83">
        <f t="shared" si="25"/>
        <v>-1124306.0766584424</v>
      </c>
      <c r="U99" s="83">
        <f t="shared" si="25"/>
        <v>-1146792.1981916113</v>
      </c>
    </row>
    <row r="100" spans="1:21" s="81" customFormat="1" x14ac:dyDescent="0.25">
      <c r="A100" s="84"/>
      <c r="B100" s="83">
        <f>-$N38</f>
        <v>-149217.12878414037</v>
      </c>
      <c r="C100" s="83">
        <f>-$N39</f>
        <v>-141756.27234493336</v>
      </c>
      <c r="D100" s="83">
        <f>-$N40</f>
        <v>-134295.41590572632</v>
      </c>
      <c r="E100" s="83">
        <f>-$N41</f>
        <v>-126834.55946651932</v>
      </c>
      <c r="F100" s="83">
        <f>-$N42</f>
        <v>-119373.70302731229</v>
      </c>
      <c r="G100" s="83">
        <f>-$N43</f>
        <v>-111912.84658810528</v>
      </c>
      <c r="H100" s="83">
        <f>-$N44</f>
        <v>-104451.99014889826</v>
      </c>
      <c r="I100" s="83">
        <f>-$N45</f>
        <v>-96991.133709691247</v>
      </c>
      <c r="J100" s="83">
        <f>-$N46</f>
        <v>-89530.277270484235</v>
      </c>
      <c r="K100" s="83">
        <f>-$N47</f>
        <v>-82069.42083127721</v>
      </c>
      <c r="L100" s="83">
        <f>-$N48</f>
        <v>-74608.564392070184</v>
      </c>
      <c r="M100" s="83">
        <f>-$N49</f>
        <v>-67147.707952863158</v>
      </c>
      <c r="N100" s="83">
        <f>-$N50</f>
        <v>-59686.851513656155</v>
      </c>
      <c r="O100" s="83">
        <f>-$N51</f>
        <v>-52225.995074449129</v>
      </c>
      <c r="P100" s="83">
        <f>-$N52</f>
        <v>-44765.138635242118</v>
      </c>
      <c r="Q100" s="83">
        <f>-$N53</f>
        <v>-37304.282196035085</v>
      </c>
      <c r="R100" s="83">
        <f>-$N54</f>
        <v>-29843.425756828077</v>
      </c>
      <c r="S100" s="83">
        <f>-$N55</f>
        <v>-22382.569317621066</v>
      </c>
      <c r="T100" s="83">
        <f>-$N56</f>
        <v>-14921.712878414039</v>
      </c>
      <c r="U100" s="83">
        <f>-$N57</f>
        <v>-7460.8564392070284</v>
      </c>
    </row>
    <row r="101" spans="1:21" s="81" customFormat="1" x14ac:dyDescent="0.25">
      <c r="A101" s="84">
        <f>-B6</f>
        <v>-4144920.2440038989</v>
      </c>
      <c r="B101" s="83">
        <f t="shared" ref="B101:T101" si="26">SUM(B98:B100)</f>
        <v>-406276.79732607538</v>
      </c>
      <c r="C101" s="83">
        <f t="shared" si="26"/>
        <v>-403740.75312653917</v>
      </c>
      <c r="D101" s="83">
        <f t="shared" si="26"/>
        <v>-401298.78923034394</v>
      </c>
      <c r="E101" s="83">
        <f t="shared" si="26"/>
        <v>-398952.69712230243</v>
      </c>
      <c r="F101" s="83">
        <f t="shared" si="26"/>
        <v>-396704.30227771425</v>
      </c>
      <c r="G101" s="83">
        <f t="shared" si="26"/>
        <v>-394555.46480464097</v>
      </c>
      <c r="H101" s="83">
        <f t="shared" si="26"/>
        <v>-392508.08009826037</v>
      </c>
      <c r="I101" s="83">
        <f t="shared" si="26"/>
        <v>-390564.07950752589</v>
      </c>
      <c r="J101" s="83">
        <f t="shared" si="26"/>
        <v>-388725.43101436272</v>
      </c>
      <c r="K101" s="83">
        <f t="shared" si="26"/>
        <v>-386994.13992563245</v>
      </c>
      <c r="L101" s="83">
        <f t="shared" si="26"/>
        <v>-385372.2495781075</v>
      </c>
      <c r="M101" s="83">
        <f t="shared" si="26"/>
        <v>-383861.84205669782</v>
      </c>
      <c r="N101" s="83">
        <f t="shared" si="26"/>
        <v>-382465.0389261762</v>
      </c>
      <c r="O101" s="83">
        <f t="shared" si="26"/>
        <v>-381184.00197665696</v>
      </c>
      <c r="P101" s="83">
        <f t="shared" si="26"/>
        <v>-380020.93398308335</v>
      </c>
      <c r="Q101" s="83">
        <f t="shared" si="26"/>
        <v>-378978.07947898546</v>
      </c>
      <c r="R101" s="83">
        <f t="shared" si="26"/>
        <v>-378057.72554477659</v>
      </c>
      <c r="S101" s="83">
        <f t="shared" si="26"/>
        <v>-377262.20261085825</v>
      </c>
      <c r="T101" s="83">
        <f t="shared" si="26"/>
        <v>-376593.88527581148</v>
      </c>
      <c r="U101" s="83">
        <f>SUM(U98:U100)</f>
        <v>-376055.19313995616</v>
      </c>
    </row>
    <row r="102" spans="1:21" s="80" customFormat="1" x14ac:dyDescent="0.25">
      <c r="A102" s="85" t="e">
        <f>IRR(A101:U101)</f>
        <v>#NUM!</v>
      </c>
      <c r="B102" s="86"/>
      <c r="C102" s="86"/>
      <c r="D102" s="86"/>
      <c r="E102" s="86"/>
      <c r="F102" s="86"/>
      <c r="G102" s="86"/>
      <c r="H102" s="86"/>
      <c r="I102" s="86"/>
      <c r="J102" s="86"/>
      <c r="K102" s="87"/>
    </row>
    <row r="107" spans="1:21" ht="38.25" x14ac:dyDescent="0.25">
      <c r="B107" s="319"/>
      <c r="C107" s="297" t="s">
        <v>109</v>
      </c>
      <c r="D107" s="297" t="s">
        <v>110</v>
      </c>
      <c r="E107" s="297" t="s">
        <v>111</v>
      </c>
      <c r="F107" s="297" t="s">
        <v>112</v>
      </c>
      <c r="G107" s="297" t="s">
        <v>68</v>
      </c>
      <c r="H107" s="297" t="s">
        <v>113</v>
      </c>
      <c r="I107" s="297" t="s">
        <v>114</v>
      </c>
      <c r="J107" s="297" t="s">
        <v>21</v>
      </c>
      <c r="K107" s="298" t="s">
        <v>115</v>
      </c>
      <c r="L107" s="360" t="s">
        <v>116</v>
      </c>
      <c r="M107" s="297" t="s">
        <v>188</v>
      </c>
      <c r="N107" s="299" t="s">
        <v>117</v>
      </c>
    </row>
    <row r="108" spans="1:21" x14ac:dyDescent="0.25">
      <c r="B108" s="300"/>
      <c r="C108" s="301">
        <v>0</v>
      </c>
      <c r="D108" s="302">
        <v>0</v>
      </c>
      <c r="E108" s="303">
        <v>0</v>
      </c>
      <c r="F108" s="300">
        <v>0</v>
      </c>
      <c r="G108" s="300">
        <v>0</v>
      </c>
      <c r="H108" s="300">
        <v>10</v>
      </c>
      <c r="I108" s="304">
        <v>20</v>
      </c>
      <c r="J108" s="302">
        <v>0</v>
      </c>
      <c r="K108" s="305">
        <v>0</v>
      </c>
      <c r="L108" s="306">
        <v>0</v>
      </c>
      <c r="M108" s="306">
        <v>0</v>
      </c>
      <c r="N108" s="300">
        <v>0</v>
      </c>
    </row>
    <row r="109" spans="1:21" x14ac:dyDescent="0.25">
      <c r="B109" s="300"/>
      <c r="C109" s="300">
        <v>5</v>
      </c>
      <c r="D109" s="302">
        <v>1</v>
      </c>
      <c r="E109" s="303">
        <v>0.01</v>
      </c>
      <c r="F109" s="300">
        <v>1</v>
      </c>
      <c r="G109" s="300">
        <v>6</v>
      </c>
      <c r="H109" s="300">
        <v>11</v>
      </c>
      <c r="I109" s="304">
        <v>21</v>
      </c>
      <c r="J109" s="302">
        <v>7</v>
      </c>
      <c r="K109" s="314">
        <v>5.0000000000000001E-3</v>
      </c>
      <c r="L109" s="306">
        <v>5</v>
      </c>
      <c r="M109" s="306">
        <v>1</v>
      </c>
      <c r="N109" s="300">
        <v>150</v>
      </c>
    </row>
    <row r="110" spans="1:21" x14ac:dyDescent="0.25">
      <c r="B110" s="300"/>
      <c r="C110" s="301">
        <v>5.0999999999999996</v>
      </c>
      <c r="D110" s="300">
        <v>1.1000000000000001</v>
      </c>
      <c r="E110" s="303">
        <v>1.4999999999999999E-2</v>
      </c>
      <c r="F110" s="300">
        <v>1.1000000000000001</v>
      </c>
      <c r="G110" s="300">
        <v>6.1</v>
      </c>
      <c r="H110" s="300">
        <v>12</v>
      </c>
      <c r="I110" s="304">
        <v>22</v>
      </c>
      <c r="J110" s="302">
        <v>7.1</v>
      </c>
      <c r="K110" s="314">
        <v>0.01</v>
      </c>
      <c r="L110" s="306">
        <v>6</v>
      </c>
      <c r="M110" s="306">
        <v>2</v>
      </c>
      <c r="N110" s="300">
        <v>160</v>
      </c>
    </row>
    <row r="111" spans="1:21" x14ac:dyDescent="0.25">
      <c r="B111" s="300"/>
      <c r="C111" s="300">
        <v>5.2</v>
      </c>
      <c r="D111" s="300">
        <v>1.2</v>
      </c>
      <c r="E111" s="303">
        <v>0.02</v>
      </c>
      <c r="F111" s="300">
        <v>1.2</v>
      </c>
      <c r="G111" s="300">
        <v>6.2</v>
      </c>
      <c r="H111" s="300">
        <v>13</v>
      </c>
      <c r="I111" s="304">
        <v>23</v>
      </c>
      <c r="J111" s="302">
        <v>7.2</v>
      </c>
      <c r="K111" s="314">
        <v>1.4999999999999999E-2</v>
      </c>
      <c r="L111" s="306">
        <v>7</v>
      </c>
      <c r="M111" s="306">
        <v>3</v>
      </c>
      <c r="N111" s="300">
        <v>170</v>
      </c>
    </row>
    <row r="112" spans="1:21" x14ac:dyDescent="0.25">
      <c r="B112" s="300"/>
      <c r="C112" s="301">
        <v>5.3</v>
      </c>
      <c r="D112" s="300">
        <v>1.3</v>
      </c>
      <c r="E112" s="303">
        <v>2.5000000000000001E-2</v>
      </c>
      <c r="F112" s="300">
        <v>1.3</v>
      </c>
      <c r="G112" s="300">
        <v>6.3</v>
      </c>
      <c r="H112" s="300">
        <v>14</v>
      </c>
      <c r="I112" s="304">
        <v>24</v>
      </c>
      <c r="J112" s="302">
        <v>7.3</v>
      </c>
      <c r="K112" s="314">
        <v>0.02</v>
      </c>
      <c r="L112" s="306">
        <v>8</v>
      </c>
      <c r="M112" s="306">
        <v>4</v>
      </c>
      <c r="N112" s="300">
        <v>180</v>
      </c>
    </row>
    <row r="113" spans="2:14" x14ac:dyDescent="0.25">
      <c r="B113" s="300"/>
      <c r="C113" s="300">
        <v>5.4</v>
      </c>
      <c r="D113" s="300">
        <v>1.4</v>
      </c>
      <c r="E113" s="303">
        <v>0.03</v>
      </c>
      <c r="F113" s="300">
        <v>1.4</v>
      </c>
      <c r="G113" s="300">
        <v>6.4</v>
      </c>
      <c r="H113" s="300">
        <v>15</v>
      </c>
      <c r="I113" s="304">
        <v>25</v>
      </c>
      <c r="J113" s="302">
        <v>7.4</v>
      </c>
      <c r="K113" s="314">
        <v>2.5000000000000001E-2</v>
      </c>
      <c r="L113" s="306">
        <v>9</v>
      </c>
      <c r="M113" s="306">
        <v>5</v>
      </c>
      <c r="N113" s="300">
        <v>190</v>
      </c>
    </row>
    <row r="114" spans="2:14" x14ac:dyDescent="0.25">
      <c r="B114" s="300"/>
      <c r="C114" s="301">
        <v>5.5</v>
      </c>
      <c r="D114" s="300">
        <v>1.5</v>
      </c>
      <c r="E114" s="303">
        <v>3.5000000000000003E-2</v>
      </c>
      <c r="F114" s="300">
        <v>1.5</v>
      </c>
      <c r="G114" s="300">
        <v>6.5</v>
      </c>
      <c r="H114" s="300">
        <v>16</v>
      </c>
      <c r="I114" s="304">
        <v>26</v>
      </c>
      <c r="J114" s="302">
        <v>7.5</v>
      </c>
      <c r="K114" s="314">
        <v>0.03</v>
      </c>
      <c r="L114" s="306">
        <v>10</v>
      </c>
      <c r="M114" s="306">
        <v>6</v>
      </c>
      <c r="N114" s="300">
        <v>200</v>
      </c>
    </row>
    <row r="115" spans="2:14" x14ac:dyDescent="0.25">
      <c r="B115" s="300"/>
      <c r="C115" s="300">
        <v>5.6</v>
      </c>
      <c r="D115" s="300">
        <v>1.6</v>
      </c>
      <c r="E115" s="303">
        <v>0.04</v>
      </c>
      <c r="F115" s="300">
        <v>1.6</v>
      </c>
      <c r="G115" s="300">
        <v>6.6</v>
      </c>
      <c r="H115" s="300">
        <v>17</v>
      </c>
      <c r="I115" s="304">
        <v>27</v>
      </c>
      <c r="J115" s="302">
        <v>7.6</v>
      </c>
      <c r="K115" s="314">
        <v>3.5000000000000003E-2</v>
      </c>
      <c r="L115" s="306">
        <v>11</v>
      </c>
      <c r="M115" s="306">
        <v>7</v>
      </c>
      <c r="N115" s="300">
        <v>210</v>
      </c>
    </row>
    <row r="116" spans="2:14" x14ac:dyDescent="0.25">
      <c r="B116" s="300"/>
      <c r="C116" s="301">
        <v>5.7</v>
      </c>
      <c r="D116" s="300">
        <v>1.7</v>
      </c>
      <c r="E116" s="303">
        <v>4.4999999999999998E-2</v>
      </c>
      <c r="F116" s="300">
        <v>1.7</v>
      </c>
      <c r="G116" s="300">
        <v>6.7</v>
      </c>
      <c r="H116" s="300">
        <v>18</v>
      </c>
      <c r="I116" s="304">
        <v>28</v>
      </c>
      <c r="J116" s="302">
        <v>7.7</v>
      </c>
      <c r="K116" s="314">
        <v>0.04</v>
      </c>
      <c r="L116" s="306">
        <v>12</v>
      </c>
      <c r="M116" s="306">
        <v>8</v>
      </c>
      <c r="N116" s="300">
        <v>220</v>
      </c>
    </row>
    <row r="117" spans="2:14" x14ac:dyDescent="0.25">
      <c r="B117" s="300"/>
      <c r="C117" s="300">
        <v>5.8</v>
      </c>
      <c r="D117" s="300">
        <v>1.8</v>
      </c>
      <c r="E117" s="303">
        <v>0.05</v>
      </c>
      <c r="F117" s="300">
        <v>1.8</v>
      </c>
      <c r="G117" s="300">
        <v>6.8</v>
      </c>
      <c r="H117" s="300">
        <v>19</v>
      </c>
      <c r="I117" s="304">
        <v>29</v>
      </c>
      <c r="J117" s="302">
        <v>7.8</v>
      </c>
      <c r="K117" s="314">
        <v>4.4999999999999998E-2</v>
      </c>
      <c r="L117" s="306">
        <v>13</v>
      </c>
      <c r="M117" s="306">
        <v>9</v>
      </c>
      <c r="N117" s="300">
        <v>230</v>
      </c>
    </row>
    <row r="118" spans="2:14" x14ac:dyDescent="0.25">
      <c r="B118" s="300"/>
      <c r="C118" s="301">
        <v>5.9</v>
      </c>
      <c r="D118" s="300">
        <v>1.9</v>
      </c>
      <c r="E118" s="303">
        <v>5.5E-2</v>
      </c>
      <c r="F118" s="300">
        <v>1.9</v>
      </c>
      <c r="G118" s="300">
        <v>6.9</v>
      </c>
      <c r="H118" s="300">
        <v>20</v>
      </c>
      <c r="I118" s="304">
        <v>30</v>
      </c>
      <c r="J118" s="302">
        <v>7.9</v>
      </c>
      <c r="K118" s="314">
        <v>0.05</v>
      </c>
      <c r="L118" s="306">
        <v>14</v>
      </c>
      <c r="M118" s="306">
        <v>10</v>
      </c>
      <c r="N118" s="300">
        <v>240</v>
      </c>
    </row>
    <row r="119" spans="2:14" x14ac:dyDescent="0.25">
      <c r="B119" s="300"/>
      <c r="C119" s="300">
        <v>6</v>
      </c>
      <c r="D119" s="300">
        <v>2</v>
      </c>
      <c r="E119" s="305">
        <v>0.06</v>
      </c>
      <c r="F119" s="300">
        <v>2</v>
      </c>
      <c r="G119" s="300">
        <v>7</v>
      </c>
      <c r="H119" s="300"/>
      <c r="I119" s="304">
        <v>31</v>
      </c>
      <c r="J119" s="302">
        <v>8</v>
      </c>
      <c r="K119" s="314">
        <v>5.5E-2</v>
      </c>
      <c r="L119" s="306">
        <v>15</v>
      </c>
      <c r="M119" s="306">
        <v>11</v>
      </c>
      <c r="N119" s="300">
        <v>250</v>
      </c>
    </row>
    <row r="120" spans="2:14" x14ac:dyDescent="0.25">
      <c r="B120" s="300"/>
      <c r="C120" s="301">
        <v>6.1</v>
      </c>
      <c r="D120" s="300">
        <v>2.1</v>
      </c>
      <c r="E120" s="303">
        <v>6.5000000000000002E-2</v>
      </c>
      <c r="F120" s="300">
        <v>2.1</v>
      </c>
      <c r="G120" s="300">
        <v>7.1</v>
      </c>
      <c r="H120" s="300"/>
      <c r="I120" s="304">
        <v>32</v>
      </c>
      <c r="J120" s="302">
        <v>8.1</v>
      </c>
      <c r="K120" s="314">
        <v>0.06</v>
      </c>
      <c r="L120" s="306">
        <v>16</v>
      </c>
      <c r="M120" s="306">
        <v>12</v>
      </c>
      <c r="N120" s="300">
        <v>260</v>
      </c>
    </row>
    <row r="121" spans="2:14" x14ac:dyDescent="0.25">
      <c r="B121" s="300"/>
      <c r="C121" s="300">
        <v>6.2</v>
      </c>
      <c r="D121" s="300">
        <v>2.2000000000000002</v>
      </c>
      <c r="E121" s="303">
        <v>7.0000000000000007E-2</v>
      </c>
      <c r="F121" s="300">
        <v>2.2000000000000002</v>
      </c>
      <c r="G121" s="300">
        <v>7.2</v>
      </c>
      <c r="H121" s="300"/>
      <c r="I121" s="304">
        <v>33</v>
      </c>
      <c r="J121" s="302">
        <v>8.1999999999999993</v>
      </c>
      <c r="K121" s="314">
        <v>6.5000000000000002E-2</v>
      </c>
      <c r="L121" s="306">
        <v>17</v>
      </c>
      <c r="M121" s="306">
        <v>13</v>
      </c>
      <c r="N121" s="300">
        <v>270</v>
      </c>
    </row>
    <row r="122" spans="2:14" x14ac:dyDescent="0.25">
      <c r="B122" s="300"/>
      <c r="C122" s="301">
        <v>6.3</v>
      </c>
      <c r="D122" s="300">
        <v>2.2999999999999998</v>
      </c>
      <c r="E122" s="303">
        <v>7.4999999999999997E-2</v>
      </c>
      <c r="F122" s="300">
        <v>2.2999999999999998</v>
      </c>
      <c r="G122" s="300">
        <v>7.3</v>
      </c>
      <c r="H122" s="300"/>
      <c r="I122" s="304">
        <v>34</v>
      </c>
      <c r="J122" s="302">
        <v>8.3000000000000007</v>
      </c>
      <c r="K122" s="314">
        <v>7.0000000000000007E-2</v>
      </c>
      <c r="L122" s="306">
        <v>18</v>
      </c>
      <c r="M122" s="306">
        <v>14</v>
      </c>
      <c r="N122" s="300">
        <v>280</v>
      </c>
    </row>
    <row r="123" spans="2:14" x14ac:dyDescent="0.25">
      <c r="B123" s="300"/>
      <c r="C123" s="300">
        <v>6.4</v>
      </c>
      <c r="D123" s="300">
        <v>2.4</v>
      </c>
      <c r="E123" s="303">
        <v>0.08</v>
      </c>
      <c r="F123" s="300">
        <v>2.4</v>
      </c>
      <c r="G123" s="300">
        <v>7.4</v>
      </c>
      <c r="H123" s="300"/>
      <c r="I123" s="304">
        <v>35</v>
      </c>
      <c r="J123" s="302">
        <v>8.4</v>
      </c>
      <c r="K123" s="314">
        <v>7.4999999999999997E-2</v>
      </c>
      <c r="L123" s="306">
        <v>19</v>
      </c>
      <c r="M123" s="306">
        <v>15</v>
      </c>
      <c r="N123" s="300">
        <v>290</v>
      </c>
    </row>
    <row r="124" spans="2:14" x14ac:dyDescent="0.25">
      <c r="B124" s="300"/>
      <c r="C124" s="301">
        <v>6.4999999999999902</v>
      </c>
      <c r="D124" s="300">
        <v>2.5</v>
      </c>
      <c r="E124" s="305">
        <v>8.5000000000000006E-2</v>
      </c>
      <c r="F124" s="300">
        <v>2.5</v>
      </c>
      <c r="G124" s="300">
        <v>7.4999999999999902</v>
      </c>
      <c r="H124" s="300"/>
      <c r="I124" s="304">
        <v>36</v>
      </c>
      <c r="J124" s="302">
        <v>8.4999999999999893</v>
      </c>
      <c r="K124" s="314">
        <v>0.08</v>
      </c>
      <c r="L124" s="306">
        <v>20</v>
      </c>
      <c r="M124" s="306">
        <v>16</v>
      </c>
      <c r="N124" s="300">
        <v>300</v>
      </c>
    </row>
    <row r="125" spans="2:14" x14ac:dyDescent="0.25">
      <c r="B125" s="300"/>
      <c r="C125" s="300">
        <v>6.5999999999999899</v>
      </c>
      <c r="D125" s="300">
        <v>2.6</v>
      </c>
      <c r="E125" s="303">
        <v>0.09</v>
      </c>
      <c r="F125" s="300">
        <v>2.6</v>
      </c>
      <c r="G125" s="300">
        <v>7.5999999999999899</v>
      </c>
      <c r="H125" s="300"/>
      <c r="I125" s="304">
        <v>37</v>
      </c>
      <c r="J125" s="302">
        <v>8.5999999999999908</v>
      </c>
      <c r="K125" s="314">
        <v>8.5000000000000006E-2</v>
      </c>
      <c r="L125" s="306">
        <v>21</v>
      </c>
      <c r="M125" s="306">
        <v>17</v>
      </c>
      <c r="N125" s="300">
        <v>310</v>
      </c>
    </row>
    <row r="126" spans="2:14" x14ac:dyDescent="0.25">
      <c r="B126" s="300"/>
      <c r="C126" s="301">
        <v>6.6999999999999904</v>
      </c>
      <c r="D126" s="300">
        <v>2.7</v>
      </c>
      <c r="E126" s="303">
        <v>9.5000000000000001E-2</v>
      </c>
      <c r="F126" s="300">
        <v>2.7</v>
      </c>
      <c r="G126" s="300">
        <v>7.6999999999999904</v>
      </c>
      <c r="H126" s="300"/>
      <c r="I126" s="304">
        <v>38</v>
      </c>
      <c r="J126" s="302">
        <v>8.6999999999999904</v>
      </c>
      <c r="K126" s="314">
        <v>0.09</v>
      </c>
      <c r="L126" s="306">
        <v>22</v>
      </c>
      <c r="M126" s="306">
        <v>18</v>
      </c>
      <c r="N126" s="300">
        <v>320</v>
      </c>
    </row>
    <row r="127" spans="2:14" x14ac:dyDescent="0.25">
      <c r="B127" s="300"/>
      <c r="C127" s="300">
        <v>6.7999999999999901</v>
      </c>
      <c r="D127" s="300">
        <v>2.8</v>
      </c>
      <c r="E127" s="303">
        <v>0.1</v>
      </c>
      <c r="F127" s="300">
        <v>2.8</v>
      </c>
      <c r="G127" s="300">
        <v>7.7999999999999901</v>
      </c>
      <c r="H127" s="300"/>
      <c r="I127" s="304">
        <v>39</v>
      </c>
      <c r="J127" s="302">
        <v>8.7999999999999901</v>
      </c>
      <c r="K127" s="314">
        <v>9.5000000000000001E-2</v>
      </c>
      <c r="L127" s="306">
        <v>23</v>
      </c>
      <c r="M127" s="306">
        <v>19</v>
      </c>
      <c r="N127" s="300">
        <v>330</v>
      </c>
    </row>
    <row r="128" spans="2:14" x14ac:dyDescent="0.25">
      <c r="B128" s="300"/>
      <c r="C128" s="301">
        <v>6.8999999999999897</v>
      </c>
      <c r="D128" s="300">
        <v>2.9</v>
      </c>
      <c r="E128" s="300"/>
      <c r="F128" s="300">
        <v>2.9</v>
      </c>
      <c r="G128" s="300">
        <v>7.8999999999999897</v>
      </c>
      <c r="H128" s="300"/>
      <c r="I128" s="304">
        <v>40</v>
      </c>
      <c r="J128" s="302">
        <v>8.8999999999999897</v>
      </c>
      <c r="K128" s="314">
        <v>0.1</v>
      </c>
      <c r="L128" s="306">
        <v>24</v>
      </c>
      <c r="M128" s="306">
        <v>20</v>
      </c>
      <c r="N128" s="300">
        <v>340</v>
      </c>
    </row>
    <row r="129" spans="2:14" x14ac:dyDescent="0.25">
      <c r="B129" s="300"/>
      <c r="C129" s="300">
        <v>6.9999999999999902</v>
      </c>
      <c r="D129" s="300">
        <v>3</v>
      </c>
      <c r="E129" s="300"/>
      <c r="F129" s="300">
        <v>3</v>
      </c>
      <c r="G129" s="300">
        <v>7.9999999999999902</v>
      </c>
      <c r="H129" s="300"/>
      <c r="I129" s="304">
        <v>41</v>
      </c>
      <c r="J129" s="302">
        <v>8.9999999999999893</v>
      </c>
      <c r="K129" s="314">
        <v>0.105</v>
      </c>
      <c r="L129" s="306">
        <v>25</v>
      </c>
      <c r="M129" s="300"/>
      <c r="N129" s="300">
        <v>350</v>
      </c>
    </row>
    <row r="130" spans="2:14" x14ac:dyDescent="0.25">
      <c r="B130" s="300"/>
      <c r="C130" s="301">
        <v>7.0999999999999899</v>
      </c>
      <c r="D130" s="300">
        <v>3.1</v>
      </c>
      <c r="E130" s="300"/>
      <c r="F130" s="300">
        <v>3.1</v>
      </c>
      <c r="G130" s="300">
        <v>8.0999999999999908</v>
      </c>
      <c r="H130" s="300"/>
      <c r="I130" s="304">
        <v>42</v>
      </c>
      <c r="J130" s="302">
        <v>9.0999999999999908</v>
      </c>
      <c r="K130" s="314">
        <v>0.11</v>
      </c>
      <c r="L130" s="306">
        <v>26</v>
      </c>
      <c r="M130" s="300"/>
      <c r="N130" s="300">
        <v>360</v>
      </c>
    </row>
    <row r="131" spans="2:14" x14ac:dyDescent="0.25">
      <c r="B131" s="300"/>
      <c r="C131" s="300">
        <v>7.1999999999999904</v>
      </c>
      <c r="D131" s="300">
        <v>3.2</v>
      </c>
      <c r="E131" s="300"/>
      <c r="F131" s="300">
        <v>3.2</v>
      </c>
      <c r="G131" s="300">
        <v>8.1999999999999904</v>
      </c>
      <c r="H131" s="300"/>
      <c r="I131" s="304">
        <v>43</v>
      </c>
      <c r="J131" s="302">
        <v>9.1999999999999904</v>
      </c>
      <c r="K131" s="314">
        <v>0.115</v>
      </c>
      <c r="L131" s="306">
        <v>27</v>
      </c>
      <c r="M131" s="300"/>
      <c r="N131" s="300">
        <v>370</v>
      </c>
    </row>
    <row r="132" spans="2:14" x14ac:dyDescent="0.25">
      <c r="B132" s="300"/>
      <c r="C132" s="301">
        <v>7.2999999999999901</v>
      </c>
      <c r="D132" s="300">
        <v>3.3</v>
      </c>
      <c r="E132" s="300"/>
      <c r="F132" s="300">
        <v>3.3</v>
      </c>
      <c r="G132" s="300">
        <v>8.2999999999999901</v>
      </c>
      <c r="H132" s="300"/>
      <c r="I132" s="304">
        <v>44</v>
      </c>
      <c r="J132" s="302">
        <v>9.2999999999999901</v>
      </c>
      <c r="K132" s="314">
        <v>0.12</v>
      </c>
      <c r="L132" s="306">
        <v>28</v>
      </c>
      <c r="M132" s="300"/>
      <c r="N132" s="300">
        <v>380</v>
      </c>
    </row>
    <row r="133" spans="2:14" x14ac:dyDescent="0.25">
      <c r="B133" s="300"/>
      <c r="C133" s="300">
        <v>7.3999999999999897</v>
      </c>
      <c r="D133" s="300">
        <v>3.4</v>
      </c>
      <c r="E133" s="300"/>
      <c r="F133" s="300">
        <v>3.4</v>
      </c>
      <c r="G133" s="300">
        <v>8.3999999999999897</v>
      </c>
      <c r="H133" s="300"/>
      <c r="I133" s="304">
        <v>45</v>
      </c>
      <c r="J133" s="302">
        <v>9.3999999999999897</v>
      </c>
      <c r="K133" s="314">
        <v>0.125</v>
      </c>
      <c r="L133" s="306">
        <v>29</v>
      </c>
      <c r="M133" s="300"/>
      <c r="N133" s="300">
        <v>390</v>
      </c>
    </row>
    <row r="134" spans="2:14" x14ac:dyDescent="0.25">
      <c r="B134" s="300"/>
      <c r="C134" s="301">
        <v>7.4999999999999902</v>
      </c>
      <c r="D134" s="300">
        <v>3.5</v>
      </c>
      <c r="E134" s="300"/>
      <c r="F134" s="300">
        <v>3.5</v>
      </c>
      <c r="G134" s="300">
        <v>8.4999999999999893</v>
      </c>
      <c r="H134" s="300"/>
      <c r="I134" s="304">
        <v>46</v>
      </c>
      <c r="J134" s="302">
        <v>9.4999999999999893</v>
      </c>
      <c r="K134" s="314">
        <v>0.13</v>
      </c>
      <c r="L134" s="306">
        <v>30</v>
      </c>
      <c r="M134" s="300"/>
      <c r="N134" s="300">
        <v>400</v>
      </c>
    </row>
    <row r="135" spans="2:14" x14ac:dyDescent="0.25">
      <c r="B135" s="300"/>
      <c r="C135" s="300">
        <v>7.5999999999999899</v>
      </c>
      <c r="D135" s="300"/>
      <c r="E135" s="300"/>
      <c r="F135" s="300">
        <v>3.6</v>
      </c>
      <c r="G135" s="300">
        <v>8.5999999999999908</v>
      </c>
      <c r="H135" s="300"/>
      <c r="I135" s="304">
        <v>47</v>
      </c>
      <c r="J135" s="302">
        <v>9.5999999999999908</v>
      </c>
      <c r="K135" s="314">
        <v>0.13500000000000001</v>
      </c>
      <c r="L135" s="306">
        <v>31</v>
      </c>
      <c r="M135" s="300"/>
      <c r="N135" s="300">
        <v>410</v>
      </c>
    </row>
    <row r="136" spans="2:14" x14ac:dyDescent="0.25">
      <c r="B136" s="300"/>
      <c r="C136" s="301">
        <v>7.6999999999999904</v>
      </c>
      <c r="D136" s="300"/>
      <c r="E136" s="300"/>
      <c r="F136" s="300">
        <v>3.7</v>
      </c>
      <c r="G136" s="300">
        <v>8.6999999999999904</v>
      </c>
      <c r="H136" s="300"/>
      <c r="I136" s="304">
        <v>48</v>
      </c>
      <c r="J136" s="302">
        <v>9.6999999999999904</v>
      </c>
      <c r="K136" s="314">
        <v>0.14000000000000001</v>
      </c>
      <c r="L136" s="306">
        <v>32</v>
      </c>
      <c r="M136" s="300"/>
      <c r="N136" s="300">
        <v>420</v>
      </c>
    </row>
    <row r="137" spans="2:14" x14ac:dyDescent="0.25">
      <c r="B137" s="300"/>
      <c r="C137" s="300">
        <v>7.7999999999999901</v>
      </c>
      <c r="D137" s="300"/>
      <c r="E137" s="300"/>
      <c r="F137" s="300">
        <v>3.8</v>
      </c>
      <c r="G137" s="300">
        <v>8.7999999999999901</v>
      </c>
      <c r="H137" s="300"/>
      <c r="I137" s="304">
        <v>49</v>
      </c>
      <c r="J137" s="302">
        <v>9.7999999999999901</v>
      </c>
      <c r="K137" s="314">
        <v>0.14499999999999999</v>
      </c>
      <c r="L137" s="306">
        <v>33</v>
      </c>
      <c r="M137" s="300"/>
      <c r="N137" s="300">
        <v>430</v>
      </c>
    </row>
    <row r="138" spans="2:14" x14ac:dyDescent="0.25">
      <c r="B138" s="300"/>
      <c r="C138" s="301">
        <v>7.8999999999999897</v>
      </c>
      <c r="D138" s="300"/>
      <c r="E138" s="300"/>
      <c r="F138" s="300">
        <v>3.9</v>
      </c>
      <c r="G138" s="300">
        <v>8.8999999999999897</v>
      </c>
      <c r="H138" s="300"/>
      <c r="I138" s="304">
        <v>50</v>
      </c>
      <c r="J138" s="302">
        <v>9.8999999999999897</v>
      </c>
      <c r="K138" s="314">
        <v>0.15</v>
      </c>
      <c r="L138" s="306">
        <v>34</v>
      </c>
      <c r="M138" s="300"/>
      <c r="N138" s="300">
        <v>440</v>
      </c>
    </row>
    <row r="139" spans="2:14" x14ac:dyDescent="0.25">
      <c r="B139" s="300"/>
      <c r="C139" s="300">
        <v>7.9999999999999902</v>
      </c>
      <c r="D139" s="300"/>
      <c r="E139" s="300"/>
      <c r="F139" s="300">
        <v>4</v>
      </c>
      <c r="G139" s="300">
        <v>8.9999999999999893</v>
      </c>
      <c r="H139" s="300"/>
      <c r="I139" s="304">
        <v>51</v>
      </c>
      <c r="J139" s="302">
        <v>9.9999999999999893</v>
      </c>
      <c r="K139" s="314">
        <v>0.155</v>
      </c>
      <c r="L139" s="306">
        <v>35</v>
      </c>
      <c r="M139" s="300"/>
      <c r="N139" s="300">
        <v>450</v>
      </c>
    </row>
    <row r="140" spans="2:14" x14ac:dyDescent="0.25">
      <c r="B140" s="300"/>
      <c r="C140" s="301">
        <v>8.0999999999999908</v>
      </c>
      <c r="D140" s="300"/>
      <c r="E140" s="300"/>
      <c r="F140" s="300">
        <v>4.0999999999999996</v>
      </c>
      <c r="G140" s="300">
        <v>9.0999999999999908</v>
      </c>
      <c r="H140" s="300"/>
      <c r="I140" s="304">
        <v>52</v>
      </c>
      <c r="J140" s="302">
        <v>10.1</v>
      </c>
      <c r="K140" s="314">
        <v>0.16</v>
      </c>
      <c r="L140" s="306">
        <v>36</v>
      </c>
      <c r="M140" s="300"/>
      <c r="N140" s="300">
        <v>460</v>
      </c>
    </row>
    <row r="141" spans="2:14" x14ac:dyDescent="0.25">
      <c r="B141" s="300"/>
      <c r="C141" s="300">
        <v>8.1999999999999904</v>
      </c>
      <c r="D141" s="300"/>
      <c r="E141" s="300"/>
      <c r="F141" s="300">
        <v>4.2</v>
      </c>
      <c r="G141" s="300">
        <v>9.1999999999999904</v>
      </c>
      <c r="H141" s="300"/>
      <c r="I141" s="304">
        <v>53</v>
      </c>
      <c r="J141" s="302">
        <v>10.199999999999999</v>
      </c>
      <c r="K141" s="314">
        <v>0.16500000000000001</v>
      </c>
      <c r="L141" s="306">
        <v>37</v>
      </c>
      <c r="M141" s="300"/>
      <c r="N141" s="300">
        <v>470</v>
      </c>
    </row>
    <row r="142" spans="2:14" x14ac:dyDescent="0.25">
      <c r="B142" s="300"/>
      <c r="C142" s="301">
        <v>8.2999999999999901</v>
      </c>
      <c r="D142" s="300"/>
      <c r="E142" s="300"/>
      <c r="F142" s="300">
        <v>4.3</v>
      </c>
      <c r="G142" s="300">
        <v>9.2999999999999901</v>
      </c>
      <c r="H142" s="300"/>
      <c r="I142" s="304">
        <v>54</v>
      </c>
      <c r="J142" s="302">
        <v>10.3</v>
      </c>
      <c r="K142" s="314">
        <v>0.17</v>
      </c>
      <c r="L142" s="306">
        <v>38</v>
      </c>
      <c r="M142" s="300"/>
      <c r="N142" s="300">
        <v>480</v>
      </c>
    </row>
    <row r="143" spans="2:14" x14ac:dyDescent="0.25">
      <c r="B143" s="300"/>
      <c r="C143" s="300">
        <v>8.3999999999999897</v>
      </c>
      <c r="D143" s="300"/>
      <c r="E143" s="300"/>
      <c r="F143" s="300">
        <v>4.4000000000000004</v>
      </c>
      <c r="G143" s="300">
        <v>9.3999999999999897</v>
      </c>
      <c r="H143" s="300"/>
      <c r="I143" s="304">
        <v>55</v>
      </c>
      <c r="J143" s="302">
        <v>10.4</v>
      </c>
      <c r="K143" s="314">
        <v>0.17499999999999999</v>
      </c>
      <c r="L143" s="306">
        <v>39</v>
      </c>
      <c r="M143" s="300"/>
      <c r="N143" s="300">
        <v>490</v>
      </c>
    </row>
    <row r="144" spans="2:14" x14ac:dyDescent="0.25">
      <c r="B144" s="300"/>
      <c r="C144" s="301">
        <v>8.4999999999999893</v>
      </c>
      <c r="D144" s="300"/>
      <c r="E144" s="300"/>
      <c r="F144" s="300">
        <v>4.5</v>
      </c>
      <c r="G144" s="300">
        <v>9.4999999999999893</v>
      </c>
      <c r="H144" s="300"/>
      <c r="I144" s="304">
        <v>56</v>
      </c>
      <c r="J144" s="302">
        <v>10.5</v>
      </c>
      <c r="K144" s="314">
        <v>0.18</v>
      </c>
      <c r="L144" s="306">
        <v>40</v>
      </c>
      <c r="M144" s="300"/>
      <c r="N144" s="300">
        <v>500</v>
      </c>
    </row>
    <row r="145" spans="2:14" x14ac:dyDescent="0.25">
      <c r="B145" s="300"/>
      <c r="C145" s="300">
        <v>8.5999999999999908</v>
      </c>
      <c r="D145" s="300"/>
      <c r="E145" s="300"/>
      <c r="F145" s="300">
        <v>4.5999999999999996</v>
      </c>
      <c r="G145" s="300">
        <v>9.5999999999999908</v>
      </c>
      <c r="H145" s="300"/>
      <c r="I145" s="304">
        <v>57</v>
      </c>
      <c r="J145" s="302">
        <v>10.6</v>
      </c>
      <c r="K145" s="314">
        <v>0.185</v>
      </c>
      <c r="L145" s="306">
        <v>41</v>
      </c>
      <c r="M145" s="300"/>
      <c r="N145" s="300"/>
    </row>
    <row r="146" spans="2:14" x14ac:dyDescent="0.25">
      <c r="B146" s="300"/>
      <c r="C146" s="301">
        <v>8.6999999999999904</v>
      </c>
      <c r="D146" s="300"/>
      <c r="E146" s="300"/>
      <c r="F146" s="300">
        <v>4.7</v>
      </c>
      <c r="G146" s="300">
        <v>9.6999999999999904</v>
      </c>
      <c r="H146" s="300"/>
      <c r="I146" s="304">
        <v>58</v>
      </c>
      <c r="J146" s="302">
        <v>10.7</v>
      </c>
      <c r="K146" s="314">
        <v>0.19</v>
      </c>
      <c r="L146" s="306">
        <v>42</v>
      </c>
      <c r="M146" s="300"/>
      <c r="N146" s="300"/>
    </row>
    <row r="147" spans="2:14" x14ac:dyDescent="0.25">
      <c r="B147" s="300"/>
      <c r="C147" s="300">
        <v>8.7999999999999901</v>
      </c>
      <c r="D147" s="300"/>
      <c r="E147" s="300"/>
      <c r="F147" s="300">
        <v>4.7999999999999901</v>
      </c>
      <c r="G147" s="300">
        <v>9.7999999999999901</v>
      </c>
      <c r="H147" s="300"/>
      <c r="I147" s="304">
        <v>59</v>
      </c>
      <c r="J147" s="302">
        <v>10.8</v>
      </c>
      <c r="K147" s="314">
        <v>0.19500000000000001</v>
      </c>
      <c r="L147" s="306">
        <v>43</v>
      </c>
      <c r="M147" s="300"/>
      <c r="N147" s="300"/>
    </row>
    <row r="148" spans="2:14" x14ac:dyDescent="0.25">
      <c r="B148" s="300"/>
      <c r="C148" s="301">
        <v>8.8999999999999897</v>
      </c>
      <c r="D148" s="300"/>
      <c r="E148" s="300"/>
      <c r="F148" s="300">
        <v>4.8999999999999897</v>
      </c>
      <c r="G148" s="300">
        <v>9.8999999999999897</v>
      </c>
      <c r="H148" s="300"/>
      <c r="I148" s="304">
        <v>60</v>
      </c>
      <c r="J148" s="302">
        <v>10.9</v>
      </c>
      <c r="K148" s="314">
        <v>0.2</v>
      </c>
      <c r="L148" s="306">
        <v>44</v>
      </c>
      <c r="M148" s="300"/>
      <c r="N148" s="300"/>
    </row>
    <row r="149" spans="2:14" x14ac:dyDescent="0.25">
      <c r="B149" s="300"/>
      <c r="C149" s="300">
        <v>8.9999999999999893</v>
      </c>
      <c r="D149" s="300"/>
      <c r="E149" s="300"/>
      <c r="F149" s="300">
        <v>5</v>
      </c>
      <c r="G149" s="300">
        <v>9.9999999999999893</v>
      </c>
      <c r="H149" s="300"/>
      <c r="I149" s="304">
        <v>61</v>
      </c>
      <c r="J149" s="302">
        <v>11</v>
      </c>
      <c r="K149" s="314">
        <v>0.20499999999999999</v>
      </c>
      <c r="L149" s="306">
        <v>45</v>
      </c>
      <c r="M149" s="300"/>
      <c r="N149" s="300"/>
    </row>
    <row r="150" spans="2:14" x14ac:dyDescent="0.25">
      <c r="B150" s="300"/>
      <c r="C150" s="301">
        <v>9.0999999999999908</v>
      </c>
      <c r="D150" s="300"/>
      <c r="E150" s="300"/>
      <c r="F150" s="300">
        <v>5.0999999999999899</v>
      </c>
      <c r="G150" s="300"/>
      <c r="H150" s="300"/>
      <c r="I150" s="304">
        <v>62</v>
      </c>
      <c r="J150" s="302">
        <v>11.1</v>
      </c>
      <c r="K150" s="314">
        <v>0.21</v>
      </c>
      <c r="L150" s="306">
        <v>46</v>
      </c>
      <c r="M150" s="300"/>
      <c r="N150" s="300"/>
    </row>
    <row r="151" spans="2:14" x14ac:dyDescent="0.25">
      <c r="B151" s="300"/>
      <c r="C151" s="300">
        <v>9.1999999999999904</v>
      </c>
      <c r="D151" s="300"/>
      <c r="E151" s="300"/>
      <c r="F151" s="300">
        <v>5.1999999999999904</v>
      </c>
      <c r="G151" s="300"/>
      <c r="H151" s="300"/>
      <c r="I151" s="304">
        <v>63</v>
      </c>
      <c r="J151" s="302">
        <v>11.2</v>
      </c>
      <c r="K151" s="314">
        <v>0.215</v>
      </c>
      <c r="L151" s="306">
        <v>47</v>
      </c>
      <c r="M151" s="300"/>
      <c r="N151" s="300"/>
    </row>
    <row r="152" spans="2:14" x14ac:dyDescent="0.25">
      <c r="B152" s="300"/>
      <c r="C152" s="301">
        <v>9.2999999999999794</v>
      </c>
      <c r="D152" s="300"/>
      <c r="E152" s="300"/>
      <c r="F152" s="300">
        <v>5.2999999999999901</v>
      </c>
      <c r="G152" s="300"/>
      <c r="H152" s="300"/>
      <c r="I152" s="304">
        <v>64</v>
      </c>
      <c r="J152" s="302">
        <v>11.3</v>
      </c>
      <c r="K152" s="314">
        <v>0.22</v>
      </c>
      <c r="L152" s="306">
        <v>48</v>
      </c>
      <c r="M152" s="300"/>
      <c r="N152" s="300"/>
    </row>
    <row r="153" spans="2:14" x14ac:dyDescent="0.25">
      <c r="B153" s="300"/>
      <c r="C153" s="300">
        <v>9.3999999999999808</v>
      </c>
      <c r="D153" s="300"/>
      <c r="E153" s="300"/>
      <c r="F153" s="300">
        <v>5.3999999999999897</v>
      </c>
      <c r="G153" s="300"/>
      <c r="H153" s="300"/>
      <c r="I153" s="304">
        <v>65</v>
      </c>
      <c r="J153" s="302">
        <v>11.4</v>
      </c>
      <c r="K153" s="314">
        <v>0.22500000000000001</v>
      </c>
      <c r="L153" s="306">
        <v>49</v>
      </c>
      <c r="M153" s="300"/>
      <c r="N153" s="300"/>
    </row>
    <row r="154" spans="2:14" x14ac:dyDescent="0.25">
      <c r="B154" s="300"/>
      <c r="C154" s="301">
        <v>9.4999999999999805</v>
      </c>
      <c r="D154" s="300"/>
      <c r="E154" s="300"/>
      <c r="F154" s="300">
        <v>5.4999999999999902</v>
      </c>
      <c r="G154" s="300"/>
      <c r="H154" s="300"/>
      <c r="I154" s="304">
        <v>66</v>
      </c>
      <c r="J154" s="302">
        <v>11.5</v>
      </c>
      <c r="K154" s="314">
        <v>0.23</v>
      </c>
      <c r="L154" s="306">
        <v>50</v>
      </c>
      <c r="M154" s="300"/>
      <c r="N154" s="300"/>
    </row>
    <row r="155" spans="2:14" x14ac:dyDescent="0.25">
      <c r="B155" s="300"/>
      <c r="C155" s="300">
        <v>9.5999999999999801</v>
      </c>
      <c r="D155" s="300"/>
      <c r="E155" s="300"/>
      <c r="F155" s="300">
        <v>5.5999999999999899</v>
      </c>
      <c r="G155" s="300"/>
      <c r="H155" s="300"/>
      <c r="I155" s="304">
        <v>67</v>
      </c>
      <c r="J155" s="302">
        <v>11.6</v>
      </c>
      <c r="K155" s="314">
        <v>0.23499999999999999</v>
      </c>
      <c r="L155" s="306">
        <v>51</v>
      </c>
      <c r="M155" s="300"/>
      <c r="N155" s="300"/>
    </row>
    <row r="156" spans="2:14" x14ac:dyDescent="0.25">
      <c r="B156" s="300"/>
      <c r="C156" s="301">
        <v>9.6999999999999797</v>
      </c>
      <c r="D156" s="300"/>
      <c r="E156" s="300"/>
      <c r="F156" s="300">
        <v>5.6999999999999904</v>
      </c>
      <c r="G156" s="300"/>
      <c r="H156" s="300"/>
      <c r="I156" s="304">
        <v>68</v>
      </c>
      <c r="J156" s="302">
        <v>11.7</v>
      </c>
      <c r="K156" s="314">
        <v>0.24</v>
      </c>
      <c r="L156" s="306">
        <v>52</v>
      </c>
      <c r="M156" s="300"/>
      <c r="N156" s="300"/>
    </row>
    <row r="157" spans="2:14" x14ac:dyDescent="0.25">
      <c r="B157" s="300"/>
      <c r="C157" s="300">
        <v>9.7999999999999794</v>
      </c>
      <c r="D157" s="300"/>
      <c r="E157" s="300"/>
      <c r="F157" s="300">
        <v>5.7999999999999901</v>
      </c>
      <c r="G157" s="300"/>
      <c r="H157" s="300"/>
      <c r="I157" s="304">
        <v>69</v>
      </c>
      <c r="J157" s="302">
        <v>11.8</v>
      </c>
      <c r="K157" s="314">
        <v>0.245</v>
      </c>
      <c r="L157" s="306">
        <v>53</v>
      </c>
      <c r="M157" s="300"/>
      <c r="N157" s="300"/>
    </row>
    <row r="158" spans="2:14" x14ac:dyDescent="0.25">
      <c r="B158" s="300"/>
      <c r="C158" s="301">
        <v>9.8999999999999808</v>
      </c>
      <c r="D158" s="300"/>
      <c r="E158" s="300"/>
      <c r="F158" s="300">
        <v>5.8999999999999897</v>
      </c>
      <c r="G158" s="300"/>
      <c r="H158" s="300"/>
      <c r="I158" s="304">
        <v>70</v>
      </c>
      <c r="J158" s="302">
        <v>11.9</v>
      </c>
      <c r="K158" s="314">
        <v>0.25</v>
      </c>
      <c r="L158" s="306">
        <v>54</v>
      </c>
      <c r="M158" s="300"/>
      <c r="N158" s="300"/>
    </row>
    <row r="159" spans="2:14" x14ac:dyDescent="0.25">
      <c r="B159" s="300"/>
      <c r="C159" s="300">
        <v>9.9999999999999805</v>
      </c>
      <c r="D159" s="300"/>
      <c r="E159" s="300"/>
      <c r="F159" s="300">
        <v>5.9999999999999902</v>
      </c>
      <c r="G159" s="300"/>
      <c r="H159" s="300"/>
      <c r="I159" s="304">
        <v>71</v>
      </c>
      <c r="J159" s="302">
        <v>12</v>
      </c>
      <c r="K159" s="314">
        <v>0.255</v>
      </c>
      <c r="L159" s="306">
        <v>55</v>
      </c>
      <c r="M159" s="300"/>
      <c r="N159" s="300"/>
    </row>
    <row r="160" spans="2:14" x14ac:dyDescent="0.25">
      <c r="B160" s="300"/>
      <c r="C160" s="301">
        <v>10.1</v>
      </c>
      <c r="D160" s="300"/>
      <c r="E160" s="300"/>
      <c r="F160" s="300">
        <v>6.0999999999999899</v>
      </c>
      <c r="G160" s="300"/>
      <c r="H160" s="300"/>
      <c r="I160" s="304">
        <v>72</v>
      </c>
      <c r="J160" s="302">
        <v>12.1</v>
      </c>
      <c r="K160" s="314">
        <v>0.26</v>
      </c>
      <c r="L160" s="306">
        <v>56</v>
      </c>
      <c r="M160" s="300"/>
      <c r="N160" s="300"/>
    </row>
    <row r="161" spans="2:14" x14ac:dyDescent="0.25">
      <c r="B161" s="300"/>
      <c r="C161" s="300">
        <v>10.199999999999999</v>
      </c>
      <c r="D161" s="300"/>
      <c r="E161" s="300"/>
      <c r="F161" s="300">
        <v>6.1999999999999904</v>
      </c>
      <c r="G161" s="300"/>
      <c r="H161" s="300"/>
      <c r="I161" s="304">
        <v>73</v>
      </c>
      <c r="J161" s="302">
        <v>12.2</v>
      </c>
      <c r="K161" s="314">
        <v>0.26500000000000001</v>
      </c>
      <c r="L161" s="306">
        <v>57</v>
      </c>
      <c r="M161" s="300"/>
      <c r="N161" s="300"/>
    </row>
    <row r="162" spans="2:14" x14ac:dyDescent="0.25">
      <c r="B162" s="300"/>
      <c r="C162" s="301">
        <v>10.3</v>
      </c>
      <c r="D162" s="300"/>
      <c r="E162" s="300"/>
      <c r="F162" s="300">
        <v>6.2999999999999901</v>
      </c>
      <c r="G162" s="300"/>
      <c r="H162" s="300"/>
      <c r="I162" s="304">
        <v>74</v>
      </c>
      <c r="J162" s="302">
        <v>12.3</v>
      </c>
      <c r="K162" s="314">
        <v>0.27</v>
      </c>
      <c r="L162" s="306">
        <v>58</v>
      </c>
      <c r="M162" s="300"/>
      <c r="N162" s="300"/>
    </row>
    <row r="163" spans="2:14" x14ac:dyDescent="0.25">
      <c r="B163" s="300"/>
      <c r="C163" s="300">
        <v>10.4</v>
      </c>
      <c r="D163" s="300"/>
      <c r="E163" s="300"/>
      <c r="F163" s="300">
        <v>6.3999999999999897</v>
      </c>
      <c r="G163" s="300"/>
      <c r="H163" s="300"/>
      <c r="I163" s="304">
        <v>75</v>
      </c>
      <c r="J163" s="302">
        <v>12.4</v>
      </c>
      <c r="K163" s="314">
        <v>0.27500000000000002</v>
      </c>
      <c r="L163" s="306">
        <v>59</v>
      </c>
      <c r="M163" s="300"/>
      <c r="N163" s="300"/>
    </row>
    <row r="164" spans="2:14" x14ac:dyDescent="0.25">
      <c r="B164" s="300"/>
      <c r="C164" s="301">
        <v>10.5</v>
      </c>
      <c r="D164" s="300"/>
      <c r="E164" s="300"/>
      <c r="F164" s="300">
        <v>6.4999999999999902</v>
      </c>
      <c r="G164" s="300"/>
      <c r="H164" s="300"/>
      <c r="I164" s="304">
        <v>76</v>
      </c>
      <c r="J164" s="302">
        <v>12.5</v>
      </c>
      <c r="K164" s="314">
        <v>0.28000000000000003</v>
      </c>
      <c r="L164" s="306">
        <v>60</v>
      </c>
      <c r="M164" s="300"/>
      <c r="N164" s="300"/>
    </row>
    <row r="165" spans="2:14" x14ac:dyDescent="0.25">
      <c r="B165" s="300"/>
      <c r="C165" s="300">
        <v>10.6</v>
      </c>
      <c r="D165" s="300"/>
      <c r="E165" s="300"/>
      <c r="F165" s="300">
        <v>6.5999999999999899</v>
      </c>
      <c r="G165" s="300"/>
      <c r="H165" s="300"/>
      <c r="I165" s="304">
        <v>77</v>
      </c>
      <c r="J165" s="302">
        <v>12.6</v>
      </c>
      <c r="K165" s="314">
        <v>0.28499999999999998</v>
      </c>
      <c r="L165" s="306">
        <v>61</v>
      </c>
      <c r="M165" s="300"/>
      <c r="N165" s="300"/>
    </row>
    <row r="166" spans="2:14" x14ac:dyDescent="0.25">
      <c r="B166" s="300"/>
      <c r="C166" s="301">
        <v>10.7</v>
      </c>
      <c r="D166" s="300"/>
      <c r="E166" s="300"/>
      <c r="F166" s="300">
        <v>6.6999999999999904</v>
      </c>
      <c r="G166" s="300"/>
      <c r="H166" s="300"/>
      <c r="I166" s="304">
        <v>78</v>
      </c>
      <c r="J166" s="302">
        <v>12.7</v>
      </c>
      <c r="K166" s="314">
        <v>0.28999999999999998</v>
      </c>
      <c r="L166" s="306">
        <v>62</v>
      </c>
      <c r="M166" s="300"/>
      <c r="N166" s="300"/>
    </row>
    <row r="167" spans="2:14" x14ac:dyDescent="0.25">
      <c r="B167" s="300"/>
      <c r="C167" s="300">
        <v>10.8</v>
      </c>
      <c r="D167" s="300"/>
      <c r="E167" s="300"/>
      <c r="F167" s="300">
        <v>6.7999999999999901</v>
      </c>
      <c r="G167" s="300"/>
      <c r="H167" s="300"/>
      <c r="I167" s="304">
        <v>79</v>
      </c>
      <c r="J167" s="302">
        <v>12.8</v>
      </c>
      <c r="K167" s="314">
        <v>0.29499999999999998</v>
      </c>
      <c r="L167" s="306">
        <v>63</v>
      </c>
      <c r="M167" s="300"/>
      <c r="N167" s="300"/>
    </row>
    <row r="168" spans="2:14" x14ac:dyDescent="0.25">
      <c r="B168" s="300"/>
      <c r="C168" s="301">
        <v>10.9</v>
      </c>
      <c r="D168" s="300"/>
      <c r="E168" s="300"/>
      <c r="F168" s="300">
        <v>6.8999999999999897</v>
      </c>
      <c r="G168" s="300"/>
      <c r="H168" s="300"/>
      <c r="I168" s="304">
        <v>80</v>
      </c>
      <c r="J168" s="302">
        <v>12.9</v>
      </c>
      <c r="K168" s="314">
        <v>0.3</v>
      </c>
      <c r="L168" s="306">
        <v>64</v>
      </c>
      <c r="M168" s="300"/>
      <c r="N168" s="300"/>
    </row>
    <row r="169" spans="2:14" x14ac:dyDescent="0.25">
      <c r="B169" s="300"/>
      <c r="C169" s="300">
        <v>11</v>
      </c>
      <c r="D169" s="300"/>
      <c r="E169" s="300"/>
      <c r="F169" s="300">
        <v>6.9999999999999902</v>
      </c>
      <c r="G169" s="300"/>
      <c r="H169" s="300"/>
      <c r="I169" s="304">
        <v>81</v>
      </c>
      <c r="J169" s="302">
        <v>13</v>
      </c>
      <c r="K169" s="314">
        <v>0.30499999999999999</v>
      </c>
      <c r="L169" s="306">
        <v>65</v>
      </c>
      <c r="M169" s="300"/>
      <c r="N169" s="300"/>
    </row>
    <row r="170" spans="2:14" x14ac:dyDescent="0.25">
      <c r="B170" s="300"/>
      <c r="C170" s="301">
        <v>11.1</v>
      </c>
      <c r="D170" s="300"/>
      <c r="E170" s="300"/>
      <c r="F170" s="300">
        <v>7.0999999999999899</v>
      </c>
      <c r="G170" s="300"/>
      <c r="H170" s="300"/>
      <c r="I170" s="304">
        <v>82</v>
      </c>
      <c r="J170" s="302">
        <v>13.1</v>
      </c>
      <c r="K170" s="314">
        <v>0.31</v>
      </c>
      <c r="L170" s="306">
        <v>66</v>
      </c>
      <c r="M170" s="300"/>
      <c r="N170" s="300"/>
    </row>
    <row r="171" spans="2:14" x14ac:dyDescent="0.25">
      <c r="B171" s="300"/>
      <c r="C171" s="300">
        <v>11.2</v>
      </c>
      <c r="D171" s="300"/>
      <c r="E171" s="300"/>
      <c r="F171" s="300">
        <v>7.1999999999999904</v>
      </c>
      <c r="G171" s="300"/>
      <c r="H171" s="300"/>
      <c r="I171" s="304">
        <v>83</v>
      </c>
      <c r="J171" s="302">
        <v>13.2</v>
      </c>
      <c r="K171" s="314">
        <v>0.315</v>
      </c>
      <c r="L171" s="306">
        <v>67</v>
      </c>
      <c r="M171" s="300"/>
      <c r="N171" s="300"/>
    </row>
    <row r="172" spans="2:14" x14ac:dyDescent="0.25">
      <c r="B172" s="300"/>
      <c r="C172" s="301">
        <v>11.3</v>
      </c>
      <c r="D172" s="300"/>
      <c r="E172" s="300"/>
      <c r="F172" s="300">
        <v>7.2999999999999901</v>
      </c>
      <c r="G172" s="300"/>
      <c r="H172" s="300"/>
      <c r="I172" s="304">
        <v>84</v>
      </c>
      <c r="J172" s="302">
        <v>13.3</v>
      </c>
      <c r="K172" s="314">
        <v>0.32</v>
      </c>
      <c r="L172" s="306">
        <v>68</v>
      </c>
      <c r="M172" s="300"/>
      <c r="N172" s="300"/>
    </row>
    <row r="173" spans="2:14" x14ac:dyDescent="0.25">
      <c r="B173" s="300"/>
      <c r="C173" s="300">
        <v>11.4</v>
      </c>
      <c r="D173" s="300"/>
      <c r="E173" s="300"/>
      <c r="F173" s="300">
        <v>7.3999999999999897</v>
      </c>
      <c r="G173" s="300"/>
      <c r="H173" s="300"/>
      <c r="I173" s="304">
        <v>85</v>
      </c>
      <c r="J173" s="302">
        <v>13.4</v>
      </c>
      <c r="K173" s="314">
        <v>0.32500000000000001</v>
      </c>
      <c r="L173" s="306">
        <v>69</v>
      </c>
      <c r="M173" s="300"/>
      <c r="N173" s="300"/>
    </row>
    <row r="174" spans="2:14" x14ac:dyDescent="0.25">
      <c r="B174" s="300"/>
      <c r="C174" s="301">
        <v>11.5</v>
      </c>
      <c r="D174" s="300"/>
      <c r="E174" s="300"/>
      <c r="F174" s="300">
        <v>7.4999999999999902</v>
      </c>
      <c r="G174" s="300"/>
      <c r="H174" s="300"/>
      <c r="I174" s="304">
        <v>86</v>
      </c>
      <c r="J174" s="302">
        <v>13.5</v>
      </c>
      <c r="K174" s="314">
        <v>0.33</v>
      </c>
      <c r="L174" s="306">
        <v>70</v>
      </c>
      <c r="M174" s="300"/>
      <c r="N174" s="300"/>
    </row>
    <row r="175" spans="2:14" x14ac:dyDescent="0.25">
      <c r="B175" s="300"/>
      <c r="C175" s="300">
        <v>11.6</v>
      </c>
      <c r="D175" s="300"/>
      <c r="E175" s="300"/>
      <c r="F175" s="300">
        <v>7.5999999999999899</v>
      </c>
      <c r="G175" s="300"/>
      <c r="H175" s="300"/>
      <c r="I175" s="304">
        <v>87</v>
      </c>
      <c r="J175" s="302">
        <v>13.6</v>
      </c>
      <c r="K175" s="314">
        <v>0.33500000000000002</v>
      </c>
      <c r="L175" s="306">
        <v>71</v>
      </c>
      <c r="M175" s="300"/>
      <c r="N175" s="300"/>
    </row>
    <row r="176" spans="2:14" x14ac:dyDescent="0.25">
      <c r="B176" s="300"/>
      <c r="C176" s="301">
        <v>11.7</v>
      </c>
      <c r="D176" s="300"/>
      <c r="E176" s="300"/>
      <c r="F176" s="300">
        <v>7.6999999999999904</v>
      </c>
      <c r="G176" s="300"/>
      <c r="H176" s="300"/>
      <c r="I176" s="304">
        <v>88</v>
      </c>
      <c r="J176" s="302">
        <v>13.7</v>
      </c>
      <c r="K176" s="314">
        <v>0.34</v>
      </c>
      <c r="L176" s="306">
        <v>72</v>
      </c>
      <c r="M176" s="300"/>
      <c r="N176" s="300"/>
    </row>
    <row r="177" spans="2:14" x14ac:dyDescent="0.25">
      <c r="B177" s="300"/>
      <c r="C177" s="300">
        <v>11.8</v>
      </c>
      <c r="D177" s="300"/>
      <c r="E177" s="300"/>
      <c r="F177" s="300">
        <v>7.7999999999999901</v>
      </c>
      <c r="G177" s="300"/>
      <c r="H177" s="300"/>
      <c r="I177" s="304">
        <v>89</v>
      </c>
      <c r="J177" s="302">
        <v>13.8</v>
      </c>
      <c r="K177" s="314">
        <v>0.34499999999999997</v>
      </c>
      <c r="L177" s="306">
        <v>73</v>
      </c>
      <c r="M177" s="300"/>
      <c r="N177" s="300"/>
    </row>
    <row r="178" spans="2:14" x14ac:dyDescent="0.25">
      <c r="B178" s="300"/>
      <c r="C178" s="301">
        <v>11.9</v>
      </c>
      <c r="D178" s="300"/>
      <c r="E178" s="300"/>
      <c r="F178" s="300">
        <v>7.8999999999999897</v>
      </c>
      <c r="G178" s="300"/>
      <c r="H178" s="300"/>
      <c r="I178" s="304">
        <v>90</v>
      </c>
      <c r="J178" s="302">
        <v>13.9</v>
      </c>
      <c r="K178" s="314">
        <v>0.35</v>
      </c>
      <c r="L178" s="306">
        <v>74</v>
      </c>
      <c r="M178" s="300"/>
      <c r="N178" s="300"/>
    </row>
    <row r="179" spans="2:14" x14ac:dyDescent="0.25">
      <c r="B179" s="300"/>
      <c r="C179" s="300">
        <v>12</v>
      </c>
      <c r="D179" s="300"/>
      <c r="E179" s="300"/>
      <c r="F179" s="300">
        <v>7.9999999999999902</v>
      </c>
      <c r="G179" s="300"/>
      <c r="H179" s="300"/>
      <c r="I179" s="304">
        <v>91</v>
      </c>
      <c r="J179" s="302">
        <v>14</v>
      </c>
      <c r="K179" s="314">
        <v>0.35499999999999998</v>
      </c>
      <c r="L179" s="306">
        <v>75</v>
      </c>
      <c r="M179" s="300"/>
      <c r="N179" s="300"/>
    </row>
    <row r="180" spans="2:14" x14ac:dyDescent="0.25">
      <c r="B180" s="300"/>
      <c r="C180" s="301">
        <v>12.1</v>
      </c>
      <c r="D180" s="300"/>
      <c r="E180" s="300"/>
      <c r="F180" s="300">
        <v>8.0999999999999908</v>
      </c>
      <c r="G180" s="300"/>
      <c r="H180" s="300"/>
      <c r="I180" s="304">
        <v>92</v>
      </c>
      <c r="J180" s="302">
        <v>14.1</v>
      </c>
      <c r="K180" s="314">
        <v>0.36</v>
      </c>
      <c r="L180" s="306">
        <v>76</v>
      </c>
      <c r="M180" s="300"/>
      <c r="N180" s="300"/>
    </row>
    <row r="181" spans="2:14" x14ac:dyDescent="0.25">
      <c r="B181" s="300"/>
      <c r="C181" s="300">
        <v>12.2</v>
      </c>
      <c r="D181" s="300"/>
      <c r="E181" s="300"/>
      <c r="F181" s="300">
        <v>8.1999999999999904</v>
      </c>
      <c r="G181" s="300"/>
      <c r="H181" s="300"/>
      <c r="I181" s="304">
        <v>93</v>
      </c>
      <c r="J181" s="302">
        <v>14.2</v>
      </c>
      <c r="K181" s="314">
        <v>0.36499999999999999</v>
      </c>
      <c r="L181" s="306">
        <v>77</v>
      </c>
      <c r="M181" s="300"/>
      <c r="N181" s="300"/>
    </row>
    <row r="182" spans="2:14" x14ac:dyDescent="0.25">
      <c r="B182" s="300"/>
      <c r="C182" s="301">
        <v>12.3</v>
      </c>
      <c r="D182" s="300"/>
      <c r="E182" s="300"/>
      <c r="F182" s="300">
        <v>8.2999999999999901</v>
      </c>
      <c r="G182" s="300"/>
      <c r="H182" s="300"/>
      <c r="I182" s="304">
        <v>94</v>
      </c>
      <c r="J182" s="302">
        <v>14.3</v>
      </c>
      <c r="K182" s="314">
        <v>0.37</v>
      </c>
      <c r="L182" s="306">
        <v>78</v>
      </c>
      <c r="M182" s="300"/>
      <c r="N182" s="300"/>
    </row>
    <row r="183" spans="2:14" x14ac:dyDescent="0.25">
      <c r="B183" s="300"/>
      <c r="C183" s="300">
        <v>12.4</v>
      </c>
      <c r="D183" s="300"/>
      <c r="E183" s="300"/>
      <c r="F183" s="300">
        <v>8.3999999999999897</v>
      </c>
      <c r="G183" s="300"/>
      <c r="H183" s="300"/>
      <c r="I183" s="304">
        <v>95</v>
      </c>
      <c r="J183" s="302">
        <v>14.4</v>
      </c>
      <c r="K183" s="314">
        <v>0.375</v>
      </c>
      <c r="L183" s="306">
        <v>79</v>
      </c>
      <c r="M183" s="300"/>
      <c r="N183" s="300"/>
    </row>
    <row r="184" spans="2:14" x14ac:dyDescent="0.25">
      <c r="B184" s="300"/>
      <c r="C184" s="301">
        <v>12.5</v>
      </c>
      <c r="D184" s="300"/>
      <c r="E184" s="300"/>
      <c r="F184" s="300">
        <v>8.4999999999999893</v>
      </c>
      <c r="G184" s="300"/>
      <c r="H184" s="300"/>
      <c r="I184" s="304">
        <v>96</v>
      </c>
      <c r="J184" s="302">
        <v>14.5</v>
      </c>
      <c r="K184" s="314">
        <v>0.38</v>
      </c>
      <c r="L184" s="306">
        <v>80</v>
      </c>
      <c r="M184" s="300"/>
      <c r="N184" s="300"/>
    </row>
    <row r="185" spans="2:14" x14ac:dyDescent="0.25">
      <c r="B185" s="300"/>
      <c r="C185" s="300">
        <v>12.6</v>
      </c>
      <c r="D185" s="300"/>
      <c r="E185" s="300"/>
      <c r="F185" s="300">
        <v>8.5999999999999908</v>
      </c>
      <c r="G185" s="300"/>
      <c r="H185" s="300"/>
      <c r="I185" s="304">
        <v>97</v>
      </c>
      <c r="J185" s="302">
        <v>14.6</v>
      </c>
      <c r="K185" s="314">
        <v>0.38500000000000001</v>
      </c>
      <c r="L185" s="306">
        <v>81</v>
      </c>
      <c r="M185" s="300"/>
      <c r="N185" s="300"/>
    </row>
    <row r="186" spans="2:14" x14ac:dyDescent="0.25">
      <c r="B186" s="300"/>
      <c r="C186" s="301">
        <v>12.7</v>
      </c>
      <c r="D186" s="300"/>
      <c r="E186" s="300"/>
      <c r="F186" s="300">
        <v>8.6999999999999904</v>
      </c>
      <c r="G186" s="300"/>
      <c r="H186" s="300"/>
      <c r="I186" s="304">
        <v>98</v>
      </c>
      <c r="J186" s="302">
        <v>14.7</v>
      </c>
      <c r="K186" s="314">
        <v>0.39</v>
      </c>
      <c r="L186" s="306">
        <v>82</v>
      </c>
      <c r="M186" s="300"/>
      <c r="N186" s="300"/>
    </row>
    <row r="187" spans="2:14" x14ac:dyDescent="0.25">
      <c r="B187" s="300"/>
      <c r="C187" s="300">
        <v>12.8</v>
      </c>
      <c r="D187" s="300"/>
      <c r="E187" s="300"/>
      <c r="F187" s="300">
        <v>8.7999999999999901</v>
      </c>
      <c r="G187" s="300"/>
      <c r="H187" s="300"/>
      <c r="I187" s="304">
        <v>99</v>
      </c>
      <c r="J187" s="302">
        <v>14.8</v>
      </c>
      <c r="K187" s="314">
        <v>0.39500000000000002</v>
      </c>
      <c r="L187" s="306">
        <v>83</v>
      </c>
      <c r="M187" s="300"/>
      <c r="N187" s="300"/>
    </row>
    <row r="188" spans="2:14" x14ac:dyDescent="0.25">
      <c r="B188" s="300"/>
      <c r="C188" s="301">
        <v>12.9</v>
      </c>
      <c r="D188" s="300"/>
      <c r="E188" s="300"/>
      <c r="F188" s="300">
        <v>8.8999999999999897</v>
      </c>
      <c r="G188" s="300"/>
      <c r="H188" s="300"/>
      <c r="I188" s="304">
        <v>100</v>
      </c>
      <c r="J188" s="302">
        <v>14.9</v>
      </c>
      <c r="K188" s="314">
        <v>0.4</v>
      </c>
      <c r="L188" s="306">
        <v>84</v>
      </c>
      <c r="M188" s="300"/>
      <c r="N188" s="300"/>
    </row>
    <row r="189" spans="2:14" x14ac:dyDescent="0.25">
      <c r="B189" s="300"/>
      <c r="C189" s="300">
        <v>13</v>
      </c>
      <c r="D189" s="300"/>
      <c r="E189" s="300"/>
      <c r="F189" s="300">
        <v>8.9999999999999893</v>
      </c>
      <c r="G189" s="300"/>
      <c r="H189" s="300"/>
      <c r="I189" s="300"/>
      <c r="J189" s="302">
        <v>15</v>
      </c>
      <c r="K189" s="314">
        <v>0.40500000000000003</v>
      </c>
      <c r="L189" s="306">
        <v>85</v>
      </c>
      <c r="M189" s="300"/>
      <c r="N189" s="300"/>
    </row>
    <row r="190" spans="2:14" x14ac:dyDescent="0.25">
      <c r="B190" s="300"/>
      <c r="C190" s="301">
        <v>13.1</v>
      </c>
      <c r="D190" s="300"/>
      <c r="E190" s="300"/>
      <c r="F190" s="300">
        <v>9.0999999999999908</v>
      </c>
      <c r="G190" s="300"/>
      <c r="H190" s="300"/>
      <c r="I190" s="300"/>
      <c r="J190" s="302">
        <v>15.1</v>
      </c>
      <c r="K190" s="314">
        <v>0.41</v>
      </c>
      <c r="L190" s="306">
        <v>86</v>
      </c>
      <c r="M190" s="300"/>
      <c r="N190" s="300"/>
    </row>
    <row r="191" spans="2:14" x14ac:dyDescent="0.25">
      <c r="B191" s="300"/>
      <c r="C191" s="300">
        <v>13.2</v>
      </c>
      <c r="D191" s="300"/>
      <c r="E191" s="300"/>
      <c r="F191" s="300">
        <v>9.1999999999999904</v>
      </c>
      <c r="G191" s="300"/>
      <c r="H191" s="300"/>
      <c r="I191" s="300"/>
      <c r="J191" s="302">
        <v>15.2</v>
      </c>
      <c r="K191" s="314">
        <v>0.41499999999999998</v>
      </c>
      <c r="L191" s="306">
        <v>87</v>
      </c>
      <c r="M191" s="300"/>
      <c r="N191" s="300"/>
    </row>
    <row r="192" spans="2:14" x14ac:dyDescent="0.25">
      <c r="B192" s="300"/>
      <c r="C192" s="301">
        <v>13.3</v>
      </c>
      <c r="D192" s="300"/>
      <c r="E192" s="300"/>
      <c r="F192" s="300">
        <v>9.2999999999999901</v>
      </c>
      <c r="G192" s="300"/>
      <c r="H192" s="300"/>
      <c r="I192" s="300"/>
      <c r="J192" s="302">
        <v>15.3</v>
      </c>
      <c r="K192" s="314">
        <v>0.42</v>
      </c>
      <c r="L192" s="306">
        <v>88</v>
      </c>
      <c r="M192" s="300"/>
      <c r="N192" s="300"/>
    </row>
    <row r="193" spans="2:14" x14ac:dyDescent="0.25">
      <c r="B193" s="300"/>
      <c r="C193" s="300">
        <v>13.4</v>
      </c>
      <c r="D193" s="300"/>
      <c r="E193" s="300"/>
      <c r="F193" s="300">
        <v>9.3999999999999897</v>
      </c>
      <c r="G193" s="300"/>
      <c r="H193" s="300"/>
      <c r="I193" s="300"/>
      <c r="J193" s="302">
        <v>15.4</v>
      </c>
      <c r="K193" s="314">
        <v>0.42499999999999999</v>
      </c>
      <c r="L193" s="306">
        <v>89</v>
      </c>
      <c r="M193" s="300"/>
      <c r="N193" s="300"/>
    </row>
    <row r="194" spans="2:14" x14ac:dyDescent="0.25">
      <c r="B194" s="300"/>
      <c r="C194" s="301">
        <v>13.5</v>
      </c>
      <c r="D194" s="300"/>
      <c r="E194" s="300"/>
      <c r="F194" s="300">
        <v>9.4999999999999893</v>
      </c>
      <c r="G194" s="300"/>
      <c r="H194" s="300"/>
      <c r="I194" s="300"/>
      <c r="J194" s="302">
        <v>15.5</v>
      </c>
      <c r="K194" s="314">
        <v>0.43</v>
      </c>
      <c r="L194" s="306">
        <v>90</v>
      </c>
      <c r="M194" s="300"/>
      <c r="N194" s="300"/>
    </row>
    <row r="195" spans="2:14" x14ac:dyDescent="0.25">
      <c r="B195" s="300"/>
      <c r="C195" s="300">
        <v>13.6</v>
      </c>
      <c r="D195" s="300"/>
      <c r="E195" s="300"/>
      <c r="F195" s="300">
        <v>9.5999999999999908</v>
      </c>
      <c r="G195" s="300"/>
      <c r="H195" s="300"/>
      <c r="I195" s="300"/>
      <c r="J195" s="302">
        <v>15.6</v>
      </c>
      <c r="K195" s="314">
        <v>0.435</v>
      </c>
      <c r="L195" s="306">
        <v>91</v>
      </c>
      <c r="M195" s="300"/>
      <c r="N195" s="300"/>
    </row>
    <row r="196" spans="2:14" x14ac:dyDescent="0.25">
      <c r="B196" s="300"/>
      <c r="C196" s="301">
        <v>13.7</v>
      </c>
      <c r="D196" s="300"/>
      <c r="E196" s="300"/>
      <c r="F196" s="300">
        <v>9.6999999999999904</v>
      </c>
      <c r="G196" s="300"/>
      <c r="H196" s="300"/>
      <c r="I196" s="300"/>
      <c r="J196" s="302">
        <v>15.7</v>
      </c>
      <c r="K196" s="314">
        <v>0.44</v>
      </c>
      <c r="L196" s="306">
        <v>92</v>
      </c>
      <c r="M196" s="300"/>
      <c r="N196" s="300"/>
    </row>
    <row r="197" spans="2:14" x14ac:dyDescent="0.25">
      <c r="B197" s="300"/>
      <c r="C197" s="300">
        <v>13.8</v>
      </c>
      <c r="D197" s="300"/>
      <c r="E197" s="300"/>
      <c r="F197" s="300">
        <v>9.7999999999999901</v>
      </c>
      <c r="G197" s="300"/>
      <c r="H197" s="300"/>
      <c r="I197" s="300"/>
      <c r="J197" s="302">
        <v>15.8</v>
      </c>
      <c r="K197" s="314">
        <v>0.44500000000000001</v>
      </c>
      <c r="L197" s="306">
        <v>93</v>
      </c>
      <c r="M197" s="300"/>
      <c r="N197" s="300"/>
    </row>
    <row r="198" spans="2:14" x14ac:dyDescent="0.25">
      <c r="B198" s="300"/>
      <c r="C198" s="301">
        <v>13.9</v>
      </c>
      <c r="D198" s="300"/>
      <c r="E198" s="300"/>
      <c r="F198" s="300">
        <v>9.8999999999999897</v>
      </c>
      <c r="G198" s="300"/>
      <c r="H198" s="300"/>
      <c r="I198" s="300"/>
      <c r="J198" s="302">
        <v>15.9</v>
      </c>
      <c r="K198" s="314">
        <v>0.45</v>
      </c>
      <c r="L198" s="306">
        <v>94</v>
      </c>
      <c r="M198" s="300"/>
      <c r="N198" s="300"/>
    </row>
    <row r="199" spans="2:14" x14ac:dyDescent="0.25">
      <c r="B199" s="300"/>
      <c r="C199" s="300">
        <v>14</v>
      </c>
      <c r="D199" s="300"/>
      <c r="E199" s="300"/>
      <c r="F199" s="300">
        <v>9.9999999999999893</v>
      </c>
      <c r="G199" s="300"/>
      <c r="H199" s="300"/>
      <c r="I199" s="300"/>
      <c r="J199" s="302">
        <v>16</v>
      </c>
      <c r="K199" s="314">
        <v>0.45500000000000002</v>
      </c>
      <c r="L199" s="306">
        <v>95</v>
      </c>
      <c r="M199" s="300"/>
      <c r="N199" s="300"/>
    </row>
    <row r="200" spans="2:14" x14ac:dyDescent="0.25">
      <c r="B200" s="300"/>
      <c r="C200" s="301">
        <v>14.1</v>
      </c>
      <c r="D200" s="300"/>
      <c r="E200" s="300"/>
      <c r="F200" s="300"/>
      <c r="G200" s="300"/>
      <c r="H200" s="300"/>
      <c r="I200" s="300"/>
      <c r="J200" s="302">
        <v>16.100000000000001</v>
      </c>
      <c r="K200" s="314">
        <v>0.46</v>
      </c>
      <c r="L200" s="306">
        <v>96</v>
      </c>
      <c r="M200" s="300"/>
      <c r="N200" s="300"/>
    </row>
    <row r="201" spans="2:14" x14ac:dyDescent="0.25">
      <c r="B201" s="300"/>
      <c r="C201" s="300">
        <v>14.2</v>
      </c>
      <c r="D201" s="300"/>
      <c r="E201" s="300"/>
      <c r="F201" s="300"/>
      <c r="G201" s="300"/>
      <c r="H201" s="300"/>
      <c r="I201" s="300"/>
      <c r="J201" s="302">
        <v>16.2</v>
      </c>
      <c r="K201" s="314">
        <v>0.46500000000000002</v>
      </c>
      <c r="L201" s="306">
        <v>97</v>
      </c>
      <c r="M201" s="300"/>
      <c r="N201" s="300"/>
    </row>
    <row r="202" spans="2:14" x14ac:dyDescent="0.25">
      <c r="B202" s="300"/>
      <c r="C202" s="301">
        <v>14.3</v>
      </c>
      <c r="D202" s="300"/>
      <c r="E202" s="300"/>
      <c r="F202" s="300"/>
      <c r="G202" s="300"/>
      <c r="H202" s="300"/>
      <c r="I202" s="300"/>
      <c r="J202" s="302">
        <v>16.3</v>
      </c>
      <c r="K202" s="314">
        <v>0.47</v>
      </c>
      <c r="L202" s="306">
        <v>98</v>
      </c>
      <c r="M202" s="300"/>
      <c r="N202" s="300"/>
    </row>
    <row r="203" spans="2:14" x14ac:dyDescent="0.25">
      <c r="B203" s="300"/>
      <c r="C203" s="300">
        <v>14.4</v>
      </c>
      <c r="D203" s="300"/>
      <c r="E203" s="300"/>
      <c r="F203" s="300"/>
      <c r="G203" s="300"/>
      <c r="H203" s="300"/>
      <c r="I203" s="300"/>
      <c r="J203" s="302">
        <v>16.399999999999999</v>
      </c>
      <c r="K203" s="314">
        <v>0.47499999999999998</v>
      </c>
      <c r="L203" s="306">
        <v>99</v>
      </c>
      <c r="M203" s="300"/>
      <c r="N203" s="300"/>
    </row>
    <row r="204" spans="2:14" x14ac:dyDescent="0.25">
      <c r="B204" s="300"/>
      <c r="C204" s="301">
        <v>14.5</v>
      </c>
      <c r="D204" s="300"/>
      <c r="E204" s="300"/>
      <c r="F204" s="300"/>
      <c r="G204" s="300"/>
      <c r="H204" s="300"/>
      <c r="I204" s="300"/>
      <c r="J204" s="302">
        <v>16.5</v>
      </c>
      <c r="K204" s="314">
        <v>0.48</v>
      </c>
      <c r="L204" s="306">
        <v>100</v>
      </c>
      <c r="M204" s="300"/>
      <c r="N204" s="300"/>
    </row>
    <row r="205" spans="2:14" x14ac:dyDescent="0.25">
      <c r="B205" s="300"/>
      <c r="C205" s="300">
        <v>14.6</v>
      </c>
      <c r="D205" s="300"/>
      <c r="E205" s="300"/>
      <c r="F205" s="300"/>
      <c r="G205" s="300"/>
      <c r="H205" s="300"/>
      <c r="I205" s="300"/>
      <c r="J205" s="302">
        <v>16.600000000000001</v>
      </c>
      <c r="K205" s="314">
        <v>0.48499999999999999</v>
      </c>
      <c r="L205" s="306">
        <v>101</v>
      </c>
      <c r="M205" s="300"/>
      <c r="N205" s="300"/>
    </row>
    <row r="206" spans="2:14" x14ac:dyDescent="0.25">
      <c r="B206" s="300"/>
      <c r="C206" s="301">
        <v>14.7</v>
      </c>
      <c r="D206" s="300"/>
      <c r="E206" s="300"/>
      <c r="F206" s="300"/>
      <c r="G206" s="300"/>
      <c r="H206" s="300"/>
      <c r="I206" s="300"/>
      <c r="J206" s="302">
        <v>16.7</v>
      </c>
      <c r="K206" s="314">
        <v>0.49</v>
      </c>
      <c r="L206" s="306">
        <v>102</v>
      </c>
      <c r="M206" s="300"/>
      <c r="N206" s="300"/>
    </row>
    <row r="207" spans="2:14" x14ac:dyDescent="0.25">
      <c r="B207" s="300"/>
      <c r="C207" s="300">
        <v>14.8</v>
      </c>
      <c r="D207" s="300"/>
      <c r="E207" s="300"/>
      <c r="F207" s="300"/>
      <c r="G207" s="300"/>
      <c r="H207" s="300"/>
      <c r="I207" s="300"/>
      <c r="J207" s="302">
        <v>16.8</v>
      </c>
      <c r="K207" s="314">
        <v>0.495</v>
      </c>
      <c r="L207" s="306">
        <v>103</v>
      </c>
      <c r="M207" s="300"/>
      <c r="N207" s="300"/>
    </row>
    <row r="208" spans="2:14" x14ac:dyDescent="0.25">
      <c r="B208" s="300"/>
      <c r="C208" s="301">
        <v>14.9</v>
      </c>
      <c r="D208" s="300"/>
      <c r="E208" s="300"/>
      <c r="F208" s="300"/>
      <c r="G208" s="300"/>
      <c r="H208" s="300"/>
      <c r="I208" s="300"/>
      <c r="J208" s="302">
        <v>16.899999999999999</v>
      </c>
      <c r="K208" s="314">
        <v>0.5</v>
      </c>
      <c r="L208" s="306">
        <v>104</v>
      </c>
      <c r="M208" s="300"/>
      <c r="N208" s="300"/>
    </row>
    <row r="209" spans="2:14" x14ac:dyDescent="0.25">
      <c r="B209" s="300"/>
      <c r="C209" s="300">
        <v>15</v>
      </c>
      <c r="D209" s="300"/>
      <c r="E209" s="300"/>
      <c r="F209" s="300"/>
      <c r="G209" s="300"/>
      <c r="H209" s="300"/>
      <c r="I209" s="300"/>
      <c r="J209" s="302">
        <v>17</v>
      </c>
      <c r="K209" s="314">
        <v>0.505</v>
      </c>
      <c r="L209" s="306">
        <v>105</v>
      </c>
      <c r="M209" s="300"/>
      <c r="N209" s="300"/>
    </row>
    <row r="210" spans="2:14" x14ac:dyDescent="0.25">
      <c r="B210" s="300"/>
      <c r="C210" s="300"/>
      <c r="D210" s="300"/>
      <c r="E210" s="300"/>
      <c r="F210" s="300"/>
      <c r="G210" s="300"/>
      <c r="H210" s="300"/>
      <c r="I210" s="300"/>
      <c r="J210" s="302">
        <v>17.100000000000001</v>
      </c>
      <c r="K210" s="314">
        <v>0.51</v>
      </c>
      <c r="L210" s="306">
        <v>106</v>
      </c>
      <c r="M210" s="300"/>
      <c r="N210" s="300"/>
    </row>
    <row r="211" spans="2:14" x14ac:dyDescent="0.25">
      <c r="B211" s="300"/>
      <c r="C211" s="300"/>
      <c r="D211" s="300"/>
      <c r="E211" s="300"/>
      <c r="F211" s="300"/>
      <c r="G211" s="300"/>
      <c r="H211" s="300"/>
      <c r="I211" s="300"/>
      <c r="J211" s="302">
        <v>17.2</v>
      </c>
      <c r="K211" s="314">
        <v>0.51500000000000001</v>
      </c>
      <c r="L211" s="306">
        <v>107</v>
      </c>
      <c r="M211" s="300"/>
      <c r="N211" s="300"/>
    </row>
    <row r="212" spans="2:14" x14ac:dyDescent="0.25">
      <c r="B212" s="300"/>
      <c r="C212" s="300"/>
      <c r="D212" s="300"/>
      <c r="E212" s="300"/>
      <c r="F212" s="300"/>
      <c r="G212" s="300"/>
      <c r="H212" s="300"/>
      <c r="I212" s="300"/>
      <c r="J212" s="302">
        <v>17.3</v>
      </c>
      <c r="K212" s="314">
        <v>0.52</v>
      </c>
      <c r="L212" s="306">
        <v>108</v>
      </c>
      <c r="M212" s="300"/>
      <c r="N212" s="300"/>
    </row>
    <row r="213" spans="2:14" x14ac:dyDescent="0.25">
      <c r="B213" s="300"/>
      <c r="C213" s="300"/>
      <c r="D213" s="300"/>
      <c r="E213" s="300"/>
      <c r="F213" s="300"/>
      <c r="G213" s="300"/>
      <c r="H213" s="300"/>
      <c r="I213" s="300"/>
      <c r="J213" s="302">
        <v>17.399999999999999</v>
      </c>
      <c r="K213" s="314">
        <v>0.52500000000000002</v>
      </c>
      <c r="L213" s="306">
        <v>109</v>
      </c>
      <c r="M213" s="300"/>
      <c r="N213" s="300"/>
    </row>
    <row r="214" spans="2:14" x14ac:dyDescent="0.25">
      <c r="B214" s="300"/>
      <c r="C214" s="300"/>
      <c r="D214" s="300"/>
      <c r="E214" s="300"/>
      <c r="F214" s="300"/>
      <c r="G214" s="300"/>
      <c r="H214" s="300"/>
      <c r="I214" s="300"/>
      <c r="J214" s="302">
        <v>17.5</v>
      </c>
      <c r="K214" s="314">
        <v>0.53</v>
      </c>
      <c r="L214" s="306">
        <v>110</v>
      </c>
      <c r="M214" s="300"/>
      <c r="N214" s="300"/>
    </row>
    <row r="215" spans="2:14" x14ac:dyDescent="0.25">
      <c r="B215" s="300"/>
      <c r="C215" s="300"/>
      <c r="D215" s="300"/>
      <c r="E215" s="300"/>
      <c r="F215" s="300"/>
      <c r="G215" s="300"/>
      <c r="H215" s="300"/>
      <c r="I215" s="300"/>
      <c r="J215" s="302">
        <v>17.600000000000001</v>
      </c>
      <c r="K215" s="314">
        <v>0.53500000000000003</v>
      </c>
      <c r="L215" s="306">
        <v>111</v>
      </c>
      <c r="M215" s="300"/>
      <c r="N215" s="300"/>
    </row>
    <row r="216" spans="2:14" x14ac:dyDescent="0.25">
      <c r="B216" s="300"/>
      <c r="C216" s="300"/>
      <c r="D216" s="300"/>
      <c r="E216" s="300"/>
      <c r="F216" s="300"/>
      <c r="G216" s="300"/>
      <c r="H216" s="300"/>
      <c r="I216" s="300"/>
      <c r="J216" s="302">
        <v>17.7</v>
      </c>
      <c r="K216" s="314">
        <v>0.54</v>
      </c>
      <c r="L216" s="306">
        <v>112</v>
      </c>
      <c r="M216" s="300"/>
      <c r="N216" s="300"/>
    </row>
    <row r="217" spans="2:14" x14ac:dyDescent="0.25">
      <c r="B217" s="300"/>
      <c r="C217" s="300"/>
      <c r="D217" s="300"/>
      <c r="E217" s="300"/>
      <c r="F217" s="300"/>
      <c r="G217" s="300"/>
      <c r="H217" s="300"/>
      <c r="I217" s="300"/>
      <c r="J217" s="302">
        <v>17.8</v>
      </c>
      <c r="K217" s="314">
        <v>0.54500000000000004</v>
      </c>
      <c r="L217" s="306">
        <v>113</v>
      </c>
      <c r="M217" s="300"/>
      <c r="N217" s="300"/>
    </row>
    <row r="218" spans="2:14" x14ac:dyDescent="0.25">
      <c r="B218" s="300"/>
      <c r="C218" s="300"/>
      <c r="D218" s="300"/>
      <c r="E218" s="300"/>
      <c r="F218" s="300"/>
      <c r="G218" s="300"/>
      <c r="H218" s="300"/>
      <c r="I218" s="300"/>
      <c r="J218" s="302">
        <v>17.899999999999999</v>
      </c>
      <c r="K218" s="314">
        <v>0.55000000000000004</v>
      </c>
      <c r="L218" s="306">
        <v>114</v>
      </c>
      <c r="M218" s="300"/>
      <c r="N218" s="300"/>
    </row>
    <row r="219" spans="2:14" x14ac:dyDescent="0.25">
      <c r="B219" s="300"/>
      <c r="C219" s="300"/>
      <c r="D219" s="300"/>
      <c r="E219" s="300"/>
      <c r="F219" s="300"/>
      <c r="G219" s="300"/>
      <c r="H219" s="300"/>
      <c r="I219" s="300"/>
      <c r="J219" s="302">
        <v>18</v>
      </c>
      <c r="K219" s="314">
        <v>0.55500000000000005</v>
      </c>
      <c r="L219" s="306">
        <v>115</v>
      </c>
      <c r="M219" s="300"/>
      <c r="N219" s="300"/>
    </row>
    <row r="220" spans="2:14" x14ac:dyDescent="0.25">
      <c r="B220" s="300"/>
      <c r="C220" s="300"/>
      <c r="D220" s="300"/>
      <c r="E220" s="300"/>
      <c r="F220" s="300"/>
      <c r="G220" s="300"/>
      <c r="H220" s="300"/>
      <c r="I220" s="300"/>
      <c r="J220" s="302">
        <v>18.100000000000001</v>
      </c>
      <c r="K220" s="314">
        <v>0.56000000000000005</v>
      </c>
      <c r="L220" s="306">
        <v>116</v>
      </c>
      <c r="M220" s="300"/>
      <c r="N220" s="300"/>
    </row>
    <row r="221" spans="2:14" x14ac:dyDescent="0.25">
      <c r="B221" s="300"/>
      <c r="C221" s="300"/>
      <c r="D221" s="300"/>
      <c r="E221" s="300"/>
      <c r="F221" s="300"/>
      <c r="G221" s="300"/>
      <c r="H221" s="300"/>
      <c r="I221" s="300"/>
      <c r="J221" s="302">
        <v>18.2</v>
      </c>
      <c r="K221" s="314">
        <v>0.56499999999999995</v>
      </c>
      <c r="L221" s="306">
        <v>117</v>
      </c>
      <c r="M221" s="300"/>
      <c r="N221" s="300"/>
    </row>
    <row r="222" spans="2:14" x14ac:dyDescent="0.25">
      <c r="B222" s="300"/>
      <c r="C222" s="300"/>
      <c r="D222" s="300"/>
      <c r="E222" s="300"/>
      <c r="F222" s="300"/>
      <c r="G222" s="300"/>
      <c r="H222" s="300"/>
      <c r="I222" s="300"/>
      <c r="J222" s="302">
        <v>18.3</v>
      </c>
      <c r="K222" s="314">
        <v>0.56999999999999995</v>
      </c>
      <c r="L222" s="306">
        <v>118</v>
      </c>
      <c r="M222" s="300"/>
      <c r="N222" s="300"/>
    </row>
    <row r="223" spans="2:14" x14ac:dyDescent="0.25">
      <c r="B223" s="300"/>
      <c r="C223" s="300"/>
      <c r="D223" s="300"/>
      <c r="E223" s="300"/>
      <c r="F223" s="300"/>
      <c r="G223" s="300"/>
      <c r="H223" s="300"/>
      <c r="I223" s="300"/>
      <c r="J223" s="302">
        <v>18.399999999999999</v>
      </c>
      <c r="K223" s="314">
        <v>0.57499999999999996</v>
      </c>
      <c r="L223" s="306">
        <v>119</v>
      </c>
      <c r="M223" s="300"/>
      <c r="N223" s="300"/>
    </row>
    <row r="224" spans="2:14" x14ac:dyDescent="0.25">
      <c r="B224" s="300"/>
      <c r="C224" s="300"/>
      <c r="D224" s="300"/>
      <c r="E224" s="300"/>
      <c r="F224" s="300"/>
      <c r="G224" s="300"/>
      <c r="H224" s="300"/>
      <c r="I224" s="300"/>
      <c r="J224" s="302">
        <v>18.5</v>
      </c>
      <c r="K224" s="314">
        <v>0.57999999999999996</v>
      </c>
      <c r="L224" s="306">
        <v>120</v>
      </c>
      <c r="M224" s="300"/>
      <c r="N224" s="300"/>
    </row>
    <row r="225" spans="2:14" x14ac:dyDescent="0.25">
      <c r="B225" s="300"/>
      <c r="C225" s="300"/>
      <c r="D225" s="300"/>
      <c r="E225" s="300"/>
      <c r="F225" s="300"/>
      <c r="G225" s="300"/>
      <c r="H225" s="300"/>
      <c r="I225" s="300"/>
      <c r="J225" s="302">
        <v>18.600000000000001</v>
      </c>
      <c r="K225" s="314">
        <v>0.58499999999999996</v>
      </c>
      <c r="L225" s="306">
        <v>121</v>
      </c>
      <c r="M225" s="300"/>
      <c r="N225" s="300"/>
    </row>
    <row r="226" spans="2:14" x14ac:dyDescent="0.25">
      <c r="B226" s="300"/>
      <c r="C226" s="300"/>
      <c r="D226" s="300"/>
      <c r="E226" s="300"/>
      <c r="F226" s="300"/>
      <c r="G226" s="300"/>
      <c r="H226" s="300"/>
      <c r="I226" s="300"/>
      <c r="J226" s="302">
        <v>18.7</v>
      </c>
      <c r="K226" s="314">
        <v>0.59</v>
      </c>
      <c r="L226" s="306">
        <v>122</v>
      </c>
      <c r="M226" s="300"/>
      <c r="N226" s="300"/>
    </row>
    <row r="227" spans="2:14" x14ac:dyDescent="0.25">
      <c r="B227" s="300"/>
      <c r="C227" s="300"/>
      <c r="D227" s="300"/>
      <c r="E227" s="300"/>
      <c r="F227" s="300"/>
      <c r="G227" s="300"/>
      <c r="H227" s="300"/>
      <c r="I227" s="300"/>
      <c r="J227" s="302">
        <v>18.8</v>
      </c>
      <c r="K227" s="314">
        <v>0.59499999999999997</v>
      </c>
      <c r="L227" s="306">
        <v>123</v>
      </c>
      <c r="M227" s="300"/>
      <c r="N227" s="300"/>
    </row>
    <row r="228" spans="2:14" x14ac:dyDescent="0.25">
      <c r="B228" s="300"/>
      <c r="C228" s="300"/>
      <c r="D228" s="300"/>
      <c r="E228" s="300"/>
      <c r="F228" s="300"/>
      <c r="G228" s="300"/>
      <c r="H228" s="300"/>
      <c r="I228" s="300"/>
      <c r="J228" s="302">
        <v>18.899999999999999</v>
      </c>
      <c r="K228" s="314">
        <v>0.6</v>
      </c>
      <c r="L228" s="306">
        <v>124</v>
      </c>
      <c r="M228" s="300"/>
      <c r="N228" s="300"/>
    </row>
    <row r="229" spans="2:14" x14ac:dyDescent="0.25">
      <c r="B229" s="300"/>
      <c r="C229" s="300"/>
      <c r="D229" s="300"/>
      <c r="E229" s="300"/>
      <c r="F229" s="300"/>
      <c r="G229" s="300"/>
      <c r="H229" s="300"/>
      <c r="I229" s="300"/>
      <c r="J229" s="302">
        <v>19</v>
      </c>
      <c r="K229" s="314">
        <v>0.60499999999999998</v>
      </c>
      <c r="L229" s="306">
        <v>125</v>
      </c>
      <c r="M229" s="300"/>
      <c r="N229" s="300"/>
    </row>
    <row r="230" spans="2:14" x14ac:dyDescent="0.25">
      <c r="B230" s="300"/>
      <c r="C230" s="300"/>
      <c r="D230" s="300"/>
      <c r="E230" s="300"/>
      <c r="F230" s="300"/>
      <c r="G230" s="300"/>
      <c r="H230" s="300"/>
      <c r="I230" s="300"/>
      <c r="J230" s="302">
        <v>19.100000000000001</v>
      </c>
      <c r="K230" s="314">
        <v>0.61</v>
      </c>
      <c r="L230" s="306">
        <v>126</v>
      </c>
      <c r="M230" s="300"/>
      <c r="N230" s="300"/>
    </row>
    <row r="231" spans="2:14" x14ac:dyDescent="0.25">
      <c r="B231" s="300"/>
      <c r="C231" s="300"/>
      <c r="D231" s="300"/>
      <c r="E231" s="300"/>
      <c r="F231" s="300"/>
      <c r="G231" s="300"/>
      <c r="H231" s="300"/>
      <c r="I231" s="300"/>
      <c r="J231" s="302">
        <v>19.2</v>
      </c>
      <c r="K231" s="314">
        <v>0.61499999999999999</v>
      </c>
      <c r="L231" s="306">
        <v>127</v>
      </c>
      <c r="M231" s="300"/>
      <c r="N231" s="300"/>
    </row>
    <row r="232" spans="2:14" x14ac:dyDescent="0.25">
      <c r="B232" s="300"/>
      <c r="C232" s="300"/>
      <c r="D232" s="300"/>
      <c r="E232" s="300"/>
      <c r="F232" s="300"/>
      <c r="G232" s="300"/>
      <c r="H232" s="300"/>
      <c r="I232" s="300"/>
      <c r="J232" s="302">
        <v>19.3</v>
      </c>
      <c r="K232" s="314">
        <v>0.62</v>
      </c>
      <c r="L232" s="306">
        <v>128</v>
      </c>
      <c r="M232" s="300"/>
      <c r="N232" s="300"/>
    </row>
    <row r="233" spans="2:14" x14ac:dyDescent="0.25">
      <c r="B233" s="300"/>
      <c r="C233" s="300"/>
      <c r="D233" s="300"/>
      <c r="E233" s="300"/>
      <c r="F233" s="300"/>
      <c r="G233" s="300"/>
      <c r="H233" s="300"/>
      <c r="I233" s="300"/>
      <c r="J233" s="302">
        <v>19.399999999999999</v>
      </c>
      <c r="K233" s="314">
        <v>0.625</v>
      </c>
      <c r="L233" s="306">
        <v>129</v>
      </c>
      <c r="M233" s="300"/>
      <c r="N233" s="300"/>
    </row>
    <row r="234" spans="2:14" x14ac:dyDescent="0.25">
      <c r="B234" s="300"/>
      <c r="C234" s="300"/>
      <c r="D234" s="300"/>
      <c r="E234" s="300"/>
      <c r="F234" s="300"/>
      <c r="G234" s="300"/>
      <c r="H234" s="300"/>
      <c r="I234" s="300"/>
      <c r="J234" s="302">
        <v>19.5</v>
      </c>
      <c r="K234" s="314">
        <v>0.63</v>
      </c>
      <c r="L234" s="306">
        <v>130</v>
      </c>
      <c r="M234" s="300"/>
      <c r="N234" s="300"/>
    </row>
    <row r="235" spans="2:14" x14ac:dyDescent="0.25">
      <c r="B235" s="300"/>
      <c r="C235" s="300"/>
      <c r="D235" s="300"/>
      <c r="E235" s="300"/>
      <c r="F235" s="300"/>
      <c r="G235" s="300"/>
      <c r="H235" s="300"/>
      <c r="I235" s="300"/>
      <c r="J235" s="302">
        <v>19.600000000000001</v>
      </c>
      <c r="K235" s="314">
        <v>0.63500000000000001</v>
      </c>
      <c r="L235" s="306">
        <v>131</v>
      </c>
      <c r="M235" s="300"/>
      <c r="N235" s="300"/>
    </row>
    <row r="236" spans="2:14" x14ac:dyDescent="0.25">
      <c r="B236" s="300"/>
      <c r="C236" s="300"/>
      <c r="D236" s="300"/>
      <c r="E236" s="300"/>
      <c r="F236" s="300"/>
      <c r="G236" s="300"/>
      <c r="H236" s="300"/>
      <c r="I236" s="300"/>
      <c r="J236" s="302">
        <v>19.7</v>
      </c>
      <c r="K236" s="314">
        <v>0.64</v>
      </c>
      <c r="L236" s="306">
        <v>132</v>
      </c>
      <c r="M236" s="300"/>
      <c r="N236" s="300"/>
    </row>
    <row r="237" spans="2:14" x14ac:dyDescent="0.25">
      <c r="B237" s="300"/>
      <c r="C237" s="300"/>
      <c r="D237" s="300"/>
      <c r="E237" s="300"/>
      <c r="F237" s="300"/>
      <c r="G237" s="300"/>
      <c r="H237" s="300"/>
      <c r="I237" s="300"/>
      <c r="J237" s="302">
        <v>19.8</v>
      </c>
      <c r="K237" s="314">
        <v>0.64500000000000002</v>
      </c>
      <c r="L237" s="306">
        <v>133</v>
      </c>
      <c r="M237" s="300"/>
      <c r="N237" s="300"/>
    </row>
    <row r="238" spans="2:14" x14ac:dyDescent="0.25">
      <c r="B238" s="300"/>
      <c r="C238" s="300"/>
      <c r="D238" s="300"/>
      <c r="E238" s="300"/>
      <c r="F238" s="300"/>
      <c r="G238" s="300"/>
      <c r="H238" s="300"/>
      <c r="I238" s="300"/>
      <c r="J238" s="302">
        <v>19.899999999999999</v>
      </c>
      <c r="K238" s="314">
        <v>0.65</v>
      </c>
      <c r="L238" s="306">
        <v>134</v>
      </c>
      <c r="M238" s="300"/>
      <c r="N238" s="300"/>
    </row>
    <row r="239" spans="2:14" x14ac:dyDescent="0.25">
      <c r="B239" s="300"/>
      <c r="C239" s="300"/>
      <c r="D239" s="300"/>
      <c r="E239" s="300"/>
      <c r="F239" s="300"/>
      <c r="G239" s="300"/>
      <c r="H239" s="300"/>
      <c r="I239" s="300"/>
      <c r="J239" s="302">
        <v>20</v>
      </c>
      <c r="K239" s="314">
        <v>0.65500000000000003</v>
      </c>
      <c r="L239" s="306">
        <v>135</v>
      </c>
      <c r="M239" s="300"/>
      <c r="N239" s="300"/>
    </row>
    <row r="240" spans="2:14" x14ac:dyDescent="0.25">
      <c r="B240" s="300"/>
      <c r="C240" s="300"/>
      <c r="D240" s="300"/>
      <c r="E240" s="300"/>
      <c r="F240" s="300"/>
      <c r="G240" s="300"/>
      <c r="H240" s="300"/>
      <c r="I240" s="300"/>
      <c r="J240" s="302"/>
      <c r="K240" s="314">
        <v>0.66</v>
      </c>
      <c r="L240" s="306">
        <v>136</v>
      </c>
      <c r="M240" s="300"/>
      <c r="N240" s="300"/>
    </row>
    <row r="241" spans="2:14" x14ac:dyDescent="0.25">
      <c r="B241" s="300"/>
      <c r="C241" s="300"/>
      <c r="D241" s="300"/>
      <c r="E241" s="300"/>
      <c r="F241" s="300"/>
      <c r="G241" s="300"/>
      <c r="H241" s="300"/>
      <c r="I241" s="300"/>
      <c r="J241" s="302"/>
      <c r="K241" s="314">
        <v>0.66500000000000004</v>
      </c>
      <c r="L241" s="306">
        <v>137</v>
      </c>
      <c r="M241" s="300"/>
      <c r="N241" s="300"/>
    </row>
    <row r="242" spans="2:14" x14ac:dyDescent="0.25">
      <c r="B242" s="300"/>
      <c r="C242" s="300"/>
      <c r="D242" s="300"/>
      <c r="E242" s="300"/>
      <c r="F242" s="300"/>
      <c r="G242" s="300"/>
      <c r="H242" s="300"/>
      <c r="I242" s="300"/>
      <c r="J242" s="302"/>
      <c r="K242" s="314">
        <v>0.67</v>
      </c>
      <c r="L242" s="306">
        <v>138</v>
      </c>
      <c r="M242" s="300"/>
      <c r="N242" s="300"/>
    </row>
    <row r="243" spans="2:14" x14ac:dyDescent="0.25">
      <c r="B243" s="300"/>
      <c r="C243" s="300"/>
      <c r="D243" s="300"/>
      <c r="E243" s="300"/>
      <c r="F243" s="300"/>
      <c r="G243" s="300"/>
      <c r="H243" s="300"/>
      <c r="I243" s="300"/>
      <c r="J243" s="302"/>
      <c r="K243" s="314">
        <v>0.67500000000000004</v>
      </c>
      <c r="L243" s="306">
        <v>139</v>
      </c>
      <c r="M243" s="300"/>
      <c r="N243" s="300"/>
    </row>
    <row r="244" spans="2:14" x14ac:dyDescent="0.25">
      <c r="B244" s="300"/>
      <c r="C244" s="300"/>
      <c r="D244" s="300"/>
      <c r="E244" s="300"/>
      <c r="F244" s="300"/>
      <c r="G244" s="300"/>
      <c r="H244" s="300"/>
      <c r="I244" s="300"/>
      <c r="J244" s="300"/>
      <c r="K244" s="314">
        <v>0.68</v>
      </c>
      <c r="L244" s="306">
        <v>140</v>
      </c>
      <c r="M244" s="300"/>
      <c r="N244" s="300"/>
    </row>
    <row r="245" spans="2:14" x14ac:dyDescent="0.25">
      <c r="B245" s="300"/>
      <c r="C245" s="300"/>
      <c r="D245" s="300"/>
      <c r="E245" s="300"/>
      <c r="F245" s="300"/>
      <c r="G245" s="300"/>
      <c r="H245" s="300"/>
      <c r="I245" s="300"/>
      <c r="J245" s="300"/>
      <c r="K245" s="314">
        <v>0.68500000000000005</v>
      </c>
      <c r="L245" s="306">
        <v>141</v>
      </c>
      <c r="M245" s="300"/>
      <c r="N245" s="300"/>
    </row>
    <row r="246" spans="2:14" x14ac:dyDescent="0.25">
      <c r="B246" s="300"/>
      <c r="C246" s="300"/>
      <c r="D246" s="300"/>
      <c r="E246" s="300"/>
      <c r="F246" s="300"/>
      <c r="G246" s="300"/>
      <c r="H246" s="300"/>
      <c r="I246" s="300"/>
      <c r="J246" s="300"/>
      <c r="K246" s="314">
        <v>0.69</v>
      </c>
      <c r="L246" s="306">
        <v>142</v>
      </c>
      <c r="M246" s="300"/>
      <c r="N246" s="300"/>
    </row>
    <row r="247" spans="2:14" x14ac:dyDescent="0.25">
      <c r="B247" s="300"/>
      <c r="C247" s="300"/>
      <c r="D247" s="300"/>
      <c r="E247" s="300"/>
      <c r="F247" s="300"/>
      <c r="G247" s="300"/>
      <c r="H247" s="300"/>
      <c r="I247" s="300"/>
      <c r="J247" s="300"/>
      <c r="K247" s="314">
        <v>0.69499999999999995</v>
      </c>
      <c r="L247" s="306">
        <v>143</v>
      </c>
      <c r="M247" s="300"/>
      <c r="N247" s="300"/>
    </row>
    <row r="248" spans="2:14" x14ac:dyDescent="0.25">
      <c r="B248" s="300"/>
      <c r="C248" s="300"/>
      <c r="D248" s="300"/>
      <c r="E248" s="300"/>
      <c r="F248" s="300"/>
      <c r="G248" s="300"/>
      <c r="H248" s="300"/>
      <c r="I248" s="300"/>
      <c r="J248" s="300"/>
      <c r="K248" s="314">
        <v>0.7</v>
      </c>
      <c r="L248" s="306">
        <v>144</v>
      </c>
      <c r="M248" s="300"/>
      <c r="N248" s="300"/>
    </row>
    <row r="249" spans="2:14" x14ac:dyDescent="0.25">
      <c r="B249" s="300"/>
      <c r="C249" s="300"/>
      <c r="D249" s="300"/>
      <c r="E249" s="300"/>
      <c r="F249" s="300"/>
      <c r="G249" s="300"/>
      <c r="H249" s="300"/>
      <c r="I249" s="300"/>
      <c r="J249" s="300"/>
      <c r="K249" s="314">
        <v>0.70499999999999996</v>
      </c>
      <c r="L249" s="306">
        <v>145</v>
      </c>
      <c r="M249" s="300"/>
      <c r="N249" s="300"/>
    </row>
    <row r="250" spans="2:14" x14ac:dyDescent="0.25">
      <c r="B250" s="300"/>
      <c r="C250" s="300"/>
      <c r="D250" s="300"/>
      <c r="E250" s="300"/>
      <c r="F250" s="300"/>
      <c r="G250" s="300"/>
      <c r="H250" s="300"/>
      <c r="I250" s="300"/>
      <c r="J250" s="300"/>
      <c r="K250" s="314">
        <v>0.71</v>
      </c>
      <c r="L250" s="306">
        <v>146</v>
      </c>
      <c r="M250" s="300"/>
      <c r="N250" s="300"/>
    </row>
    <row r="251" spans="2:14" x14ac:dyDescent="0.25">
      <c r="B251" s="300"/>
      <c r="C251" s="300"/>
      <c r="D251" s="300"/>
      <c r="E251" s="300"/>
      <c r="F251" s="300"/>
      <c r="G251" s="300"/>
      <c r="H251" s="300"/>
      <c r="I251" s="300"/>
      <c r="J251" s="300"/>
      <c r="K251" s="314">
        <v>0.71499999999999997</v>
      </c>
      <c r="L251" s="306">
        <v>147</v>
      </c>
      <c r="M251" s="300"/>
      <c r="N251" s="300"/>
    </row>
    <row r="252" spans="2:14" x14ac:dyDescent="0.25">
      <c r="B252" s="300"/>
      <c r="C252" s="300"/>
      <c r="D252" s="300"/>
      <c r="E252" s="300"/>
      <c r="F252" s="300"/>
      <c r="G252" s="300"/>
      <c r="H252" s="300"/>
      <c r="I252" s="300"/>
      <c r="J252" s="300"/>
      <c r="K252" s="314">
        <v>0.72</v>
      </c>
      <c r="L252" s="306">
        <v>148</v>
      </c>
      <c r="M252" s="300"/>
      <c r="N252" s="300"/>
    </row>
    <row r="253" spans="2:14" x14ac:dyDescent="0.25">
      <c r="B253" s="300"/>
      <c r="C253" s="300"/>
      <c r="D253" s="300"/>
      <c r="E253" s="300"/>
      <c r="F253" s="300"/>
      <c r="G253" s="300"/>
      <c r="H253" s="300"/>
      <c r="I253" s="300"/>
      <c r="J253" s="300"/>
      <c r="K253" s="314">
        <v>0.72499999999999998</v>
      </c>
      <c r="L253" s="306">
        <v>149</v>
      </c>
      <c r="M253" s="300"/>
      <c r="N253" s="300"/>
    </row>
    <row r="254" spans="2:14" x14ac:dyDescent="0.25">
      <c r="B254" s="300"/>
      <c r="C254" s="300"/>
      <c r="D254" s="300"/>
      <c r="E254" s="300"/>
      <c r="F254" s="300"/>
      <c r="G254" s="300"/>
      <c r="H254" s="300"/>
      <c r="I254" s="300"/>
      <c r="J254" s="300"/>
      <c r="K254" s="314">
        <v>0.73</v>
      </c>
      <c r="L254" s="306">
        <v>150</v>
      </c>
      <c r="M254" s="300"/>
      <c r="N254" s="300"/>
    </row>
    <row r="255" spans="2:14" x14ac:dyDescent="0.25">
      <c r="B255" s="300"/>
      <c r="C255" s="300"/>
      <c r="D255" s="300"/>
      <c r="E255" s="300"/>
      <c r="F255" s="300"/>
      <c r="G255" s="300"/>
      <c r="H255" s="300"/>
      <c r="I255" s="300"/>
      <c r="J255" s="300"/>
      <c r="K255" s="314">
        <v>0.73499999999999999</v>
      </c>
      <c r="L255" s="306">
        <v>151</v>
      </c>
      <c r="M255" s="300"/>
      <c r="N255" s="300"/>
    </row>
    <row r="256" spans="2:14" x14ac:dyDescent="0.25">
      <c r="B256" s="300"/>
      <c r="C256" s="300"/>
      <c r="D256" s="300"/>
      <c r="E256" s="300"/>
      <c r="F256" s="300"/>
      <c r="G256" s="300"/>
      <c r="H256" s="300"/>
      <c r="I256" s="300"/>
      <c r="J256" s="300"/>
      <c r="K256" s="314">
        <v>0.74</v>
      </c>
      <c r="L256" s="306">
        <v>152</v>
      </c>
      <c r="M256" s="300"/>
      <c r="N256" s="300"/>
    </row>
    <row r="257" spans="2:14" x14ac:dyDescent="0.25">
      <c r="B257" s="300"/>
      <c r="C257" s="300"/>
      <c r="D257" s="300"/>
      <c r="E257" s="300"/>
      <c r="F257" s="300"/>
      <c r="G257" s="300"/>
      <c r="H257" s="300"/>
      <c r="I257" s="300"/>
      <c r="J257" s="300"/>
      <c r="K257" s="314">
        <v>0.745</v>
      </c>
      <c r="L257" s="306">
        <v>153</v>
      </c>
      <c r="M257" s="300"/>
      <c r="N257" s="300"/>
    </row>
    <row r="258" spans="2:14" x14ac:dyDescent="0.25">
      <c r="B258" s="300"/>
      <c r="C258" s="300"/>
      <c r="D258" s="300"/>
      <c r="E258" s="300"/>
      <c r="F258" s="300"/>
      <c r="G258" s="300"/>
      <c r="H258" s="300"/>
      <c r="I258" s="300"/>
      <c r="J258" s="300"/>
      <c r="K258" s="314">
        <v>0.75</v>
      </c>
      <c r="L258" s="306">
        <v>154</v>
      </c>
      <c r="M258" s="300"/>
      <c r="N258" s="300"/>
    </row>
    <row r="259" spans="2:14" x14ac:dyDescent="0.25">
      <c r="B259" s="300"/>
      <c r="C259" s="300"/>
      <c r="D259" s="300"/>
      <c r="E259" s="300"/>
      <c r="F259" s="300"/>
      <c r="G259" s="300"/>
      <c r="H259" s="300"/>
      <c r="I259" s="300"/>
      <c r="J259" s="300"/>
      <c r="K259" s="314">
        <v>0.755</v>
      </c>
      <c r="L259" s="306">
        <v>155</v>
      </c>
      <c r="M259" s="300"/>
      <c r="N259" s="300"/>
    </row>
    <row r="260" spans="2:14" x14ac:dyDescent="0.25">
      <c r="B260" s="300"/>
      <c r="C260" s="300"/>
      <c r="D260" s="300"/>
      <c r="E260" s="300"/>
      <c r="F260" s="300"/>
      <c r="G260" s="300"/>
      <c r="H260" s="300"/>
      <c r="I260" s="300"/>
      <c r="J260" s="300"/>
      <c r="K260" s="314">
        <v>0.76</v>
      </c>
      <c r="L260" s="306">
        <v>156</v>
      </c>
      <c r="M260" s="300"/>
      <c r="N260" s="300"/>
    </row>
    <row r="261" spans="2:14" x14ac:dyDescent="0.25">
      <c r="B261" s="300"/>
      <c r="C261" s="300"/>
      <c r="D261" s="300"/>
      <c r="E261" s="300"/>
      <c r="F261" s="300"/>
      <c r="G261" s="300"/>
      <c r="H261" s="300"/>
      <c r="I261" s="300"/>
      <c r="J261" s="300"/>
      <c r="K261" s="314">
        <v>0.76500000000000001</v>
      </c>
      <c r="L261" s="306">
        <v>157</v>
      </c>
      <c r="M261" s="300"/>
      <c r="N261" s="300"/>
    </row>
    <row r="262" spans="2:14" x14ac:dyDescent="0.25">
      <c r="B262" s="300"/>
      <c r="C262" s="300"/>
      <c r="D262" s="300"/>
      <c r="E262" s="300"/>
      <c r="F262" s="300"/>
      <c r="G262" s="300"/>
      <c r="H262" s="300"/>
      <c r="I262" s="300"/>
      <c r="J262" s="300"/>
      <c r="K262" s="314">
        <v>0.77</v>
      </c>
      <c r="L262" s="306">
        <v>158</v>
      </c>
      <c r="M262" s="300"/>
      <c r="N262" s="300"/>
    </row>
    <row r="263" spans="2:14" x14ac:dyDescent="0.25">
      <c r="B263" s="300"/>
      <c r="C263" s="300"/>
      <c r="D263" s="300"/>
      <c r="E263" s="300"/>
      <c r="F263" s="300"/>
      <c r="G263" s="300"/>
      <c r="H263" s="300"/>
      <c r="I263" s="300"/>
      <c r="J263" s="300"/>
      <c r="K263" s="314">
        <v>0.77500000000000002</v>
      </c>
      <c r="L263" s="306">
        <v>159</v>
      </c>
      <c r="M263" s="300"/>
      <c r="N263" s="300"/>
    </row>
    <row r="264" spans="2:14" x14ac:dyDescent="0.25">
      <c r="B264" s="300"/>
      <c r="C264" s="300"/>
      <c r="D264" s="300"/>
      <c r="E264" s="300"/>
      <c r="F264" s="300"/>
      <c r="G264" s="300"/>
      <c r="H264" s="300"/>
      <c r="I264" s="300"/>
      <c r="J264" s="300"/>
      <c r="K264" s="314">
        <v>0.78</v>
      </c>
      <c r="L264" s="306">
        <v>160</v>
      </c>
      <c r="M264" s="300"/>
      <c r="N264" s="300"/>
    </row>
    <row r="265" spans="2:14" x14ac:dyDescent="0.25">
      <c r="B265" s="300"/>
      <c r="C265" s="300"/>
      <c r="D265" s="300"/>
      <c r="E265" s="300"/>
      <c r="F265" s="300"/>
      <c r="G265" s="300"/>
      <c r="H265" s="300"/>
      <c r="I265" s="300"/>
      <c r="J265" s="300"/>
      <c r="K265" s="314">
        <v>0.78500000000000003</v>
      </c>
      <c r="L265" s="306">
        <v>161</v>
      </c>
      <c r="M265" s="300"/>
      <c r="N265" s="300"/>
    </row>
    <row r="266" spans="2:14" x14ac:dyDescent="0.25">
      <c r="B266" s="300"/>
      <c r="C266" s="300"/>
      <c r="D266" s="300"/>
      <c r="E266" s="300"/>
      <c r="F266" s="300"/>
      <c r="G266" s="300"/>
      <c r="H266" s="300"/>
      <c r="I266" s="300"/>
      <c r="J266" s="300"/>
      <c r="K266" s="314">
        <v>0.79</v>
      </c>
      <c r="L266" s="306">
        <v>162</v>
      </c>
      <c r="M266" s="300"/>
      <c r="N266" s="300"/>
    </row>
    <row r="267" spans="2:14" x14ac:dyDescent="0.25">
      <c r="B267" s="300"/>
      <c r="C267" s="300"/>
      <c r="D267" s="300"/>
      <c r="E267" s="300"/>
      <c r="F267" s="300"/>
      <c r="G267" s="300"/>
      <c r="H267" s="300"/>
      <c r="I267" s="300"/>
      <c r="J267" s="300"/>
      <c r="K267" s="314">
        <v>0.79500000000000004</v>
      </c>
      <c r="L267" s="306">
        <v>163</v>
      </c>
      <c r="M267" s="300"/>
      <c r="N267" s="300"/>
    </row>
    <row r="268" spans="2:14" x14ac:dyDescent="0.25">
      <c r="B268" s="300"/>
      <c r="C268" s="300"/>
      <c r="D268" s="300"/>
      <c r="E268" s="300"/>
      <c r="F268" s="300"/>
      <c r="G268" s="300"/>
      <c r="H268" s="300"/>
      <c r="I268" s="300"/>
      <c r="J268" s="300"/>
      <c r="K268" s="314">
        <v>0.8</v>
      </c>
      <c r="L268" s="306">
        <v>164</v>
      </c>
      <c r="M268" s="300"/>
      <c r="N268" s="300"/>
    </row>
    <row r="269" spans="2:14" x14ac:dyDescent="0.25">
      <c r="B269" s="300"/>
      <c r="C269" s="300"/>
      <c r="D269" s="300"/>
      <c r="E269" s="300"/>
      <c r="F269" s="300"/>
      <c r="G269" s="300"/>
      <c r="H269" s="300"/>
      <c r="I269" s="300"/>
      <c r="J269" s="300"/>
      <c r="K269" s="314">
        <v>0.80500000000000005</v>
      </c>
      <c r="L269" s="306">
        <v>165</v>
      </c>
      <c r="M269" s="300"/>
      <c r="N269" s="300"/>
    </row>
    <row r="270" spans="2:14" x14ac:dyDescent="0.25">
      <c r="B270" s="300"/>
      <c r="C270" s="300"/>
      <c r="D270" s="300"/>
      <c r="E270" s="300"/>
      <c r="F270" s="300"/>
      <c r="G270" s="300"/>
      <c r="H270" s="300"/>
      <c r="I270" s="300"/>
      <c r="J270" s="300"/>
      <c r="K270" s="314">
        <v>0.81</v>
      </c>
      <c r="L270" s="306">
        <v>166</v>
      </c>
      <c r="M270" s="300"/>
      <c r="N270" s="300"/>
    </row>
    <row r="271" spans="2:14" x14ac:dyDescent="0.25">
      <c r="B271" s="300"/>
      <c r="C271" s="300"/>
      <c r="D271" s="300"/>
      <c r="E271" s="300"/>
      <c r="F271" s="300"/>
      <c r="G271" s="300"/>
      <c r="H271" s="300"/>
      <c r="I271" s="300"/>
      <c r="J271" s="300"/>
      <c r="K271" s="314">
        <v>0.81499999999999995</v>
      </c>
      <c r="L271" s="306">
        <v>167</v>
      </c>
      <c r="M271" s="300"/>
      <c r="N271" s="300"/>
    </row>
    <row r="272" spans="2:14" x14ac:dyDescent="0.25">
      <c r="B272" s="300"/>
      <c r="C272" s="300"/>
      <c r="D272" s="300"/>
      <c r="E272" s="300"/>
      <c r="F272" s="300"/>
      <c r="G272" s="300"/>
      <c r="H272" s="300"/>
      <c r="I272" s="300"/>
      <c r="J272" s="300"/>
      <c r="K272" s="314">
        <v>0.82</v>
      </c>
      <c r="L272" s="306">
        <v>168</v>
      </c>
      <c r="M272" s="300"/>
      <c r="N272" s="300"/>
    </row>
    <row r="273" spans="2:14" x14ac:dyDescent="0.25">
      <c r="B273" s="300"/>
      <c r="C273" s="300"/>
      <c r="D273" s="300"/>
      <c r="E273" s="300"/>
      <c r="F273" s="300"/>
      <c r="G273" s="300"/>
      <c r="H273" s="300"/>
      <c r="I273" s="300"/>
      <c r="J273" s="300"/>
      <c r="K273" s="314">
        <v>0.82499999999999996</v>
      </c>
      <c r="L273" s="306">
        <v>169</v>
      </c>
      <c r="M273" s="300"/>
      <c r="N273" s="300"/>
    </row>
    <row r="274" spans="2:14" x14ac:dyDescent="0.25">
      <c r="B274" s="300"/>
      <c r="C274" s="300"/>
      <c r="D274" s="300"/>
      <c r="E274" s="300"/>
      <c r="F274" s="300"/>
      <c r="G274" s="300"/>
      <c r="H274" s="300"/>
      <c r="I274" s="300"/>
      <c r="J274" s="300"/>
      <c r="K274" s="314">
        <v>0.83</v>
      </c>
      <c r="L274" s="306">
        <v>170</v>
      </c>
      <c r="M274" s="300"/>
      <c r="N274" s="300"/>
    </row>
    <row r="275" spans="2:14" x14ac:dyDescent="0.25">
      <c r="B275" s="300"/>
      <c r="C275" s="300"/>
      <c r="D275" s="300"/>
      <c r="E275" s="300"/>
      <c r="F275" s="300"/>
      <c r="G275" s="300"/>
      <c r="H275" s="300"/>
      <c r="I275" s="300"/>
      <c r="J275" s="300"/>
      <c r="K275" s="314">
        <v>0.83499999999999996</v>
      </c>
      <c r="L275" s="306">
        <v>171</v>
      </c>
      <c r="M275" s="300"/>
      <c r="N275" s="300"/>
    </row>
    <row r="276" spans="2:14" x14ac:dyDescent="0.25">
      <c r="B276" s="300"/>
      <c r="C276" s="300"/>
      <c r="D276" s="300"/>
      <c r="E276" s="300"/>
      <c r="F276" s="300"/>
      <c r="G276" s="300"/>
      <c r="H276" s="300"/>
      <c r="I276" s="300"/>
      <c r="J276" s="300"/>
      <c r="K276" s="314">
        <v>0.84</v>
      </c>
      <c r="L276" s="306">
        <v>172</v>
      </c>
      <c r="M276" s="300"/>
      <c r="N276" s="300"/>
    </row>
    <row r="277" spans="2:14" x14ac:dyDescent="0.25">
      <c r="B277" s="300"/>
      <c r="C277" s="300"/>
      <c r="D277" s="300"/>
      <c r="E277" s="300"/>
      <c r="F277" s="300"/>
      <c r="G277" s="300"/>
      <c r="H277" s="300"/>
      <c r="I277" s="300"/>
      <c r="J277" s="300"/>
      <c r="K277" s="314">
        <v>0.84499999999999997</v>
      </c>
      <c r="L277" s="306">
        <v>173</v>
      </c>
      <c r="M277" s="300"/>
      <c r="N277" s="300"/>
    </row>
    <row r="278" spans="2:14" x14ac:dyDescent="0.25">
      <c r="B278" s="300"/>
      <c r="C278" s="300"/>
      <c r="D278" s="300"/>
      <c r="E278" s="300"/>
      <c r="F278" s="300"/>
      <c r="G278" s="300"/>
      <c r="H278" s="300"/>
      <c r="I278" s="300"/>
      <c r="J278" s="300"/>
      <c r="K278" s="314">
        <v>0.85</v>
      </c>
      <c r="L278" s="306">
        <v>174</v>
      </c>
      <c r="M278" s="300"/>
      <c r="N278" s="300"/>
    </row>
    <row r="279" spans="2:14" x14ac:dyDescent="0.25">
      <c r="B279" s="300"/>
      <c r="C279" s="300"/>
      <c r="D279" s="300"/>
      <c r="E279" s="300"/>
      <c r="F279" s="300"/>
      <c r="G279" s="300"/>
      <c r="H279" s="300"/>
      <c r="I279" s="300"/>
      <c r="J279" s="300"/>
      <c r="K279" s="314">
        <v>0.85499999999999998</v>
      </c>
      <c r="L279" s="306">
        <v>175</v>
      </c>
      <c r="M279" s="300"/>
      <c r="N279" s="300"/>
    </row>
    <row r="280" spans="2:14" x14ac:dyDescent="0.25">
      <c r="B280" s="300"/>
      <c r="C280" s="300"/>
      <c r="D280" s="300"/>
      <c r="E280" s="300"/>
      <c r="F280" s="300"/>
      <c r="G280" s="300"/>
      <c r="H280" s="300"/>
      <c r="I280" s="300"/>
      <c r="J280" s="300"/>
      <c r="K280" s="314">
        <v>0.86</v>
      </c>
      <c r="L280" s="306">
        <v>176</v>
      </c>
      <c r="M280" s="300"/>
      <c r="N280" s="300"/>
    </row>
    <row r="281" spans="2:14" x14ac:dyDescent="0.25">
      <c r="B281" s="300"/>
      <c r="C281" s="300"/>
      <c r="D281" s="300"/>
      <c r="E281" s="300"/>
      <c r="F281" s="300"/>
      <c r="G281" s="300"/>
      <c r="H281" s="300"/>
      <c r="I281" s="300"/>
      <c r="J281" s="300"/>
      <c r="K281" s="314">
        <v>0.86499999999999999</v>
      </c>
      <c r="L281" s="306">
        <v>177</v>
      </c>
      <c r="M281" s="300"/>
      <c r="N281" s="300"/>
    </row>
    <row r="282" spans="2:14" x14ac:dyDescent="0.25">
      <c r="B282" s="300"/>
      <c r="C282" s="300"/>
      <c r="D282" s="300"/>
      <c r="E282" s="300"/>
      <c r="F282" s="300"/>
      <c r="G282" s="300"/>
      <c r="H282" s="300"/>
      <c r="I282" s="300"/>
      <c r="J282" s="300"/>
      <c r="K282" s="314">
        <v>0.87</v>
      </c>
      <c r="L282" s="306">
        <v>178</v>
      </c>
      <c r="M282" s="300"/>
      <c r="N282" s="300"/>
    </row>
    <row r="283" spans="2:14" x14ac:dyDescent="0.25">
      <c r="B283" s="300"/>
      <c r="C283" s="300"/>
      <c r="D283" s="300"/>
      <c r="E283" s="300"/>
      <c r="F283" s="300"/>
      <c r="G283" s="300"/>
      <c r="H283" s="300"/>
      <c r="I283" s="300"/>
      <c r="J283" s="300"/>
      <c r="K283" s="314">
        <v>0.875</v>
      </c>
      <c r="L283" s="306">
        <v>179</v>
      </c>
      <c r="M283" s="300"/>
      <c r="N283" s="300"/>
    </row>
    <row r="284" spans="2:14" x14ac:dyDescent="0.25">
      <c r="B284" s="300"/>
      <c r="C284" s="300"/>
      <c r="D284" s="300"/>
      <c r="E284" s="300"/>
      <c r="F284" s="300"/>
      <c r="G284" s="300"/>
      <c r="H284" s="300"/>
      <c r="I284" s="300"/>
      <c r="J284" s="300"/>
      <c r="K284" s="314">
        <v>0.88</v>
      </c>
      <c r="L284" s="306">
        <v>180</v>
      </c>
      <c r="M284" s="300"/>
      <c r="N284" s="300"/>
    </row>
    <row r="285" spans="2:14" x14ac:dyDescent="0.25">
      <c r="B285" s="300"/>
      <c r="C285" s="300"/>
      <c r="D285" s="300"/>
      <c r="E285" s="300"/>
      <c r="F285" s="300"/>
      <c r="G285" s="300"/>
      <c r="H285" s="300"/>
      <c r="I285" s="300"/>
      <c r="J285" s="300"/>
      <c r="K285" s="314">
        <v>0.88500000000000001</v>
      </c>
      <c r="L285" s="306">
        <v>181</v>
      </c>
      <c r="M285" s="300"/>
      <c r="N285" s="300"/>
    </row>
    <row r="286" spans="2:14" x14ac:dyDescent="0.25">
      <c r="B286" s="300"/>
      <c r="C286" s="300"/>
      <c r="D286" s="300"/>
      <c r="E286" s="300"/>
      <c r="F286" s="300"/>
      <c r="G286" s="300"/>
      <c r="H286" s="300"/>
      <c r="I286" s="300"/>
      <c r="J286" s="300"/>
      <c r="K286" s="314">
        <v>0.89</v>
      </c>
      <c r="L286" s="306">
        <v>182</v>
      </c>
      <c r="M286" s="300"/>
      <c r="N286" s="300"/>
    </row>
    <row r="287" spans="2:14" x14ac:dyDescent="0.25">
      <c r="B287" s="300"/>
      <c r="C287" s="300"/>
      <c r="D287" s="300"/>
      <c r="E287" s="300"/>
      <c r="F287" s="300"/>
      <c r="G287" s="300"/>
      <c r="H287" s="300"/>
      <c r="I287" s="300"/>
      <c r="J287" s="300"/>
      <c r="K287" s="314">
        <v>0.89500000000000002</v>
      </c>
      <c r="L287" s="306">
        <v>183</v>
      </c>
      <c r="M287" s="300"/>
      <c r="N287" s="300"/>
    </row>
    <row r="288" spans="2:14" x14ac:dyDescent="0.25">
      <c r="B288" s="300"/>
      <c r="C288" s="300"/>
      <c r="D288" s="300"/>
      <c r="E288" s="300"/>
      <c r="F288" s="300"/>
      <c r="G288" s="300"/>
      <c r="H288" s="300"/>
      <c r="I288" s="300"/>
      <c r="J288" s="300"/>
      <c r="K288" s="314">
        <v>0.9</v>
      </c>
      <c r="L288" s="306">
        <v>184</v>
      </c>
      <c r="M288" s="300"/>
      <c r="N288" s="300"/>
    </row>
    <row r="289" spans="2:14" x14ac:dyDescent="0.25">
      <c r="B289" s="300"/>
      <c r="C289" s="300"/>
      <c r="D289" s="300"/>
      <c r="E289" s="300"/>
      <c r="F289" s="300"/>
      <c r="G289" s="300"/>
      <c r="H289" s="300"/>
      <c r="I289" s="300"/>
      <c r="J289" s="300"/>
      <c r="K289" s="314">
        <v>0.90500000000000003</v>
      </c>
      <c r="L289" s="306">
        <v>185</v>
      </c>
      <c r="M289" s="300"/>
      <c r="N289" s="300"/>
    </row>
    <row r="290" spans="2:14" x14ac:dyDescent="0.25">
      <c r="B290" s="300"/>
      <c r="C290" s="300"/>
      <c r="D290" s="300"/>
      <c r="E290" s="300"/>
      <c r="F290" s="300"/>
      <c r="G290" s="300"/>
      <c r="H290" s="300"/>
      <c r="I290" s="300"/>
      <c r="J290" s="300"/>
      <c r="K290" s="314">
        <v>0.91</v>
      </c>
      <c r="L290" s="306">
        <v>186</v>
      </c>
      <c r="M290" s="300"/>
      <c r="N290" s="300"/>
    </row>
    <row r="291" spans="2:14" x14ac:dyDescent="0.25">
      <c r="B291" s="300"/>
      <c r="C291" s="300"/>
      <c r="D291" s="300"/>
      <c r="E291" s="300"/>
      <c r="F291" s="300"/>
      <c r="G291" s="300"/>
      <c r="H291" s="300"/>
      <c r="I291" s="300"/>
      <c r="J291" s="300"/>
      <c r="K291" s="314">
        <v>0.91500000000000004</v>
      </c>
      <c r="L291" s="306">
        <v>187</v>
      </c>
      <c r="M291" s="300"/>
      <c r="N291" s="300"/>
    </row>
    <row r="292" spans="2:14" x14ac:dyDescent="0.25">
      <c r="B292" s="300"/>
      <c r="C292" s="300"/>
      <c r="D292" s="300"/>
      <c r="E292" s="300"/>
      <c r="F292" s="300"/>
      <c r="G292" s="300"/>
      <c r="H292" s="300"/>
      <c r="I292" s="300"/>
      <c r="J292" s="300"/>
      <c r="K292" s="314">
        <v>0.92</v>
      </c>
      <c r="L292" s="306">
        <v>188</v>
      </c>
      <c r="M292" s="300"/>
      <c r="N292" s="300"/>
    </row>
    <row r="293" spans="2:14" x14ac:dyDescent="0.25">
      <c r="B293" s="300"/>
      <c r="C293" s="300"/>
      <c r="D293" s="300"/>
      <c r="E293" s="300"/>
      <c r="F293" s="300"/>
      <c r="G293" s="300"/>
      <c r="H293" s="300"/>
      <c r="I293" s="300"/>
      <c r="J293" s="300"/>
      <c r="K293" s="314">
        <v>0.92500000000000004</v>
      </c>
      <c r="L293" s="306">
        <v>189</v>
      </c>
      <c r="M293" s="300"/>
      <c r="N293" s="300"/>
    </row>
    <row r="294" spans="2:14" x14ac:dyDescent="0.25">
      <c r="B294" s="300"/>
      <c r="C294" s="300"/>
      <c r="D294" s="300"/>
      <c r="E294" s="300"/>
      <c r="F294" s="300"/>
      <c r="G294" s="300"/>
      <c r="H294" s="300"/>
      <c r="I294" s="300"/>
      <c r="J294" s="300"/>
      <c r="K294" s="314">
        <v>0.93</v>
      </c>
      <c r="L294" s="306">
        <v>190</v>
      </c>
      <c r="M294" s="300"/>
      <c r="N294" s="300"/>
    </row>
    <row r="295" spans="2:14" x14ac:dyDescent="0.25">
      <c r="B295" s="300"/>
      <c r="C295" s="300"/>
      <c r="D295" s="300"/>
      <c r="E295" s="300"/>
      <c r="F295" s="300"/>
      <c r="G295" s="300"/>
      <c r="H295" s="300"/>
      <c r="I295" s="300"/>
      <c r="J295" s="300"/>
      <c r="K295" s="314">
        <v>0.93500000000000005</v>
      </c>
      <c r="L295" s="306">
        <v>191</v>
      </c>
      <c r="M295" s="300"/>
      <c r="N295" s="300"/>
    </row>
    <row r="296" spans="2:14" x14ac:dyDescent="0.25">
      <c r="B296" s="300"/>
      <c r="C296" s="300"/>
      <c r="D296" s="300"/>
      <c r="E296" s="300"/>
      <c r="F296" s="300"/>
      <c r="G296" s="300"/>
      <c r="H296" s="300"/>
      <c r="I296" s="300"/>
      <c r="J296" s="300"/>
      <c r="K296" s="314">
        <v>0.94</v>
      </c>
      <c r="L296" s="306">
        <v>192</v>
      </c>
      <c r="M296" s="300"/>
      <c r="N296" s="300"/>
    </row>
    <row r="297" spans="2:14" x14ac:dyDescent="0.25">
      <c r="B297" s="300"/>
      <c r="C297" s="300"/>
      <c r="D297" s="300"/>
      <c r="E297" s="300"/>
      <c r="F297" s="300"/>
      <c r="G297" s="300"/>
      <c r="H297" s="300"/>
      <c r="I297" s="300"/>
      <c r="J297" s="300"/>
      <c r="K297" s="314">
        <v>0.94499999999999995</v>
      </c>
      <c r="L297" s="306">
        <v>193</v>
      </c>
      <c r="M297" s="300"/>
      <c r="N297" s="300"/>
    </row>
    <row r="298" spans="2:14" x14ac:dyDescent="0.25">
      <c r="B298" s="300"/>
      <c r="C298" s="300"/>
      <c r="D298" s="300"/>
      <c r="E298" s="300"/>
      <c r="F298" s="300"/>
      <c r="G298" s="300"/>
      <c r="H298" s="300"/>
      <c r="I298" s="300"/>
      <c r="J298" s="300"/>
      <c r="K298" s="314">
        <v>0.95</v>
      </c>
      <c r="L298" s="306">
        <v>194</v>
      </c>
      <c r="M298" s="300"/>
      <c r="N298" s="300"/>
    </row>
    <row r="299" spans="2:14" x14ac:dyDescent="0.25">
      <c r="B299" s="300"/>
      <c r="C299" s="300"/>
      <c r="D299" s="300"/>
      <c r="E299" s="300"/>
      <c r="F299" s="300"/>
      <c r="G299" s="300"/>
      <c r="H299" s="300"/>
      <c r="I299" s="300"/>
      <c r="J299" s="300"/>
      <c r="K299" s="314">
        <v>0.95499999999999996</v>
      </c>
      <c r="L299" s="306">
        <v>195</v>
      </c>
      <c r="M299" s="300"/>
      <c r="N299" s="300"/>
    </row>
    <row r="300" spans="2:14" x14ac:dyDescent="0.25">
      <c r="B300" s="300"/>
      <c r="C300" s="300"/>
      <c r="D300" s="300"/>
      <c r="E300" s="300"/>
      <c r="F300" s="300"/>
      <c r="G300" s="300"/>
      <c r="H300" s="300"/>
      <c r="I300" s="300"/>
      <c r="J300" s="300"/>
      <c r="K300" s="314">
        <v>0.96</v>
      </c>
      <c r="L300" s="306">
        <v>196</v>
      </c>
      <c r="M300" s="300"/>
      <c r="N300" s="300"/>
    </row>
    <row r="301" spans="2:14" x14ac:dyDescent="0.25">
      <c r="B301" s="300"/>
      <c r="C301" s="300"/>
      <c r="D301" s="300"/>
      <c r="E301" s="300"/>
      <c r="F301" s="300"/>
      <c r="G301" s="300"/>
      <c r="H301" s="300"/>
      <c r="I301" s="300"/>
      <c r="J301" s="300"/>
      <c r="K301" s="314">
        <v>0.96499999999999997</v>
      </c>
      <c r="L301" s="306">
        <v>197</v>
      </c>
      <c r="M301" s="300"/>
      <c r="N301" s="300"/>
    </row>
    <row r="302" spans="2:14" x14ac:dyDescent="0.25">
      <c r="B302" s="300"/>
      <c r="C302" s="300"/>
      <c r="D302" s="300"/>
      <c r="E302" s="300"/>
      <c r="F302" s="300"/>
      <c r="G302" s="300"/>
      <c r="H302" s="300"/>
      <c r="I302" s="300"/>
      <c r="J302" s="300"/>
      <c r="K302" s="314">
        <v>0.97</v>
      </c>
      <c r="L302" s="306">
        <v>198</v>
      </c>
      <c r="M302" s="300"/>
      <c r="N302" s="300"/>
    </row>
    <row r="303" spans="2:14" x14ac:dyDescent="0.25">
      <c r="B303" s="300"/>
      <c r="C303" s="300"/>
      <c r="D303" s="300"/>
      <c r="E303" s="300"/>
      <c r="F303" s="300"/>
      <c r="G303" s="300"/>
      <c r="H303" s="300"/>
      <c r="I303" s="300"/>
      <c r="J303" s="300"/>
      <c r="K303" s="314">
        <v>0.97499999999999998</v>
      </c>
      <c r="L303" s="306">
        <v>199</v>
      </c>
      <c r="M303" s="300"/>
      <c r="N303" s="300"/>
    </row>
    <row r="304" spans="2:14" x14ac:dyDescent="0.25">
      <c r="B304" s="300"/>
      <c r="C304" s="300"/>
      <c r="D304" s="300"/>
      <c r="E304" s="300"/>
      <c r="F304" s="300"/>
      <c r="G304" s="300"/>
      <c r="H304" s="300"/>
      <c r="I304" s="300"/>
      <c r="J304" s="300"/>
      <c r="K304" s="314">
        <v>0.98</v>
      </c>
      <c r="L304" s="306">
        <v>200</v>
      </c>
      <c r="M304" s="300"/>
      <c r="N304" s="300"/>
    </row>
    <row r="305" spans="2:14" x14ac:dyDescent="0.25">
      <c r="B305" s="300"/>
      <c r="C305" s="300"/>
      <c r="D305" s="300"/>
      <c r="E305" s="300"/>
      <c r="F305" s="300"/>
      <c r="G305" s="300"/>
      <c r="H305" s="300"/>
      <c r="I305" s="300"/>
      <c r="J305" s="300"/>
      <c r="K305" s="314">
        <v>0.98499999999999999</v>
      </c>
      <c r="L305" s="306">
        <v>201</v>
      </c>
      <c r="M305" s="300"/>
      <c r="N305" s="300"/>
    </row>
    <row r="306" spans="2:14" x14ac:dyDescent="0.25">
      <c r="B306" s="300"/>
      <c r="C306" s="300"/>
      <c r="D306" s="300"/>
      <c r="E306" s="300"/>
      <c r="F306" s="300"/>
      <c r="G306" s="300"/>
      <c r="H306" s="300"/>
      <c r="I306" s="300"/>
      <c r="J306" s="300"/>
      <c r="K306" s="314">
        <v>0.99</v>
      </c>
      <c r="L306" s="306">
        <v>202</v>
      </c>
      <c r="M306" s="300"/>
      <c r="N306" s="300"/>
    </row>
    <row r="307" spans="2:14" x14ac:dyDescent="0.25">
      <c r="B307" s="300"/>
      <c r="C307" s="300"/>
      <c r="D307" s="300"/>
      <c r="E307" s="300"/>
      <c r="F307" s="300"/>
      <c r="G307" s="300"/>
      <c r="H307" s="300"/>
      <c r="I307" s="300"/>
      <c r="J307" s="300"/>
      <c r="K307" s="314">
        <v>0.995</v>
      </c>
      <c r="L307" s="306">
        <v>203</v>
      </c>
      <c r="M307" s="300"/>
      <c r="N307" s="300"/>
    </row>
    <row r="308" spans="2:14" x14ac:dyDescent="0.25">
      <c r="B308" s="300"/>
      <c r="C308" s="300"/>
      <c r="D308" s="300"/>
      <c r="E308" s="300"/>
      <c r="F308" s="300"/>
      <c r="G308" s="300"/>
      <c r="H308" s="300"/>
      <c r="I308" s="300"/>
      <c r="J308" s="300"/>
      <c r="K308" s="314">
        <v>1</v>
      </c>
      <c r="L308" s="306">
        <v>204</v>
      </c>
      <c r="M308" s="300"/>
      <c r="N308" s="300"/>
    </row>
    <row r="309" spans="2:14" x14ac:dyDescent="0.25">
      <c r="B309" s="300"/>
      <c r="C309" s="300"/>
      <c r="D309" s="300"/>
      <c r="E309" s="300"/>
      <c r="F309" s="300"/>
      <c r="G309" s="300"/>
      <c r="H309" s="300"/>
      <c r="I309" s="300"/>
      <c r="J309" s="300"/>
      <c r="K309" s="300"/>
      <c r="L309" s="306">
        <v>205</v>
      </c>
      <c r="M309" s="300"/>
      <c r="N309" s="300"/>
    </row>
    <row r="310" spans="2:14" x14ac:dyDescent="0.25">
      <c r="B310" s="300"/>
      <c r="C310" s="300"/>
      <c r="D310" s="300"/>
      <c r="E310" s="300"/>
      <c r="F310" s="300"/>
      <c r="G310" s="300"/>
      <c r="H310" s="300"/>
      <c r="I310" s="300"/>
      <c r="J310" s="300"/>
      <c r="K310" s="300"/>
      <c r="L310" s="306">
        <v>206</v>
      </c>
      <c r="M310" s="300"/>
      <c r="N310" s="300"/>
    </row>
    <row r="311" spans="2:14" x14ac:dyDescent="0.25">
      <c r="B311" s="300"/>
      <c r="C311" s="300"/>
      <c r="D311" s="300"/>
      <c r="E311" s="300"/>
      <c r="F311" s="300"/>
      <c r="G311" s="300"/>
      <c r="H311" s="300"/>
      <c r="I311" s="300"/>
      <c r="J311" s="300"/>
      <c r="K311" s="300"/>
      <c r="L311" s="306">
        <v>207</v>
      </c>
      <c r="M311" s="300"/>
      <c r="N311" s="300"/>
    </row>
    <row r="312" spans="2:14" x14ac:dyDescent="0.25">
      <c r="B312" s="300"/>
      <c r="C312" s="300"/>
      <c r="D312" s="300"/>
      <c r="E312" s="300"/>
      <c r="F312" s="300"/>
      <c r="G312" s="300"/>
      <c r="H312" s="300"/>
      <c r="I312" s="300"/>
      <c r="J312" s="300"/>
      <c r="K312" s="300"/>
      <c r="L312" s="306">
        <v>208</v>
      </c>
      <c r="M312" s="300"/>
      <c r="N312" s="300"/>
    </row>
    <row r="313" spans="2:14" x14ac:dyDescent="0.25">
      <c r="B313" s="300"/>
      <c r="C313" s="300"/>
      <c r="D313" s="300"/>
      <c r="E313" s="300"/>
      <c r="F313" s="300"/>
      <c r="G313" s="300"/>
      <c r="H313" s="300"/>
      <c r="I313" s="300"/>
      <c r="J313" s="300"/>
      <c r="K313" s="300"/>
      <c r="L313" s="306">
        <v>209</v>
      </c>
      <c r="M313" s="300"/>
      <c r="N313" s="300"/>
    </row>
    <row r="314" spans="2:14" x14ac:dyDescent="0.25">
      <c r="B314" s="300"/>
      <c r="C314" s="300"/>
      <c r="D314" s="300"/>
      <c r="E314" s="300"/>
      <c r="F314" s="300"/>
      <c r="G314" s="300"/>
      <c r="H314" s="300"/>
      <c r="I314" s="300"/>
      <c r="J314" s="300"/>
      <c r="K314" s="300"/>
      <c r="L314" s="306">
        <v>210</v>
      </c>
      <c r="M314" s="300"/>
      <c r="N314" s="300"/>
    </row>
    <row r="315" spans="2:14" x14ac:dyDescent="0.25">
      <c r="B315" s="300"/>
      <c r="C315" s="300"/>
      <c r="D315" s="300"/>
      <c r="E315" s="300"/>
      <c r="F315" s="300"/>
      <c r="G315" s="300"/>
      <c r="H315" s="300"/>
      <c r="I315" s="300"/>
      <c r="J315" s="300"/>
      <c r="K315" s="300"/>
      <c r="L315" s="306">
        <v>211</v>
      </c>
      <c r="M315" s="300"/>
      <c r="N315" s="300"/>
    </row>
    <row r="316" spans="2:14" x14ac:dyDescent="0.25">
      <c r="B316" s="300"/>
      <c r="C316" s="300"/>
      <c r="D316" s="300"/>
      <c r="E316" s="300"/>
      <c r="F316" s="300"/>
      <c r="G316" s="300"/>
      <c r="H316" s="300"/>
      <c r="I316" s="300"/>
      <c r="J316" s="300"/>
      <c r="K316" s="300"/>
      <c r="L316" s="306">
        <v>212</v>
      </c>
      <c r="M316" s="300"/>
      <c r="N316" s="300"/>
    </row>
    <row r="317" spans="2:14" x14ac:dyDescent="0.25">
      <c r="B317" s="300"/>
      <c r="C317" s="300"/>
      <c r="D317" s="300"/>
      <c r="E317" s="300"/>
      <c r="F317" s="300"/>
      <c r="G317" s="300"/>
      <c r="H317" s="300"/>
      <c r="I317" s="300"/>
      <c r="J317" s="300"/>
      <c r="K317" s="300"/>
      <c r="L317" s="306">
        <v>213</v>
      </c>
      <c r="M317" s="300"/>
      <c r="N317" s="300"/>
    </row>
    <row r="318" spans="2:14" x14ac:dyDescent="0.25">
      <c r="B318" s="300"/>
      <c r="C318" s="300"/>
      <c r="D318" s="300"/>
      <c r="E318" s="300"/>
      <c r="F318" s="300"/>
      <c r="G318" s="300"/>
      <c r="H318" s="300"/>
      <c r="I318" s="300"/>
      <c r="J318" s="300"/>
      <c r="K318" s="300"/>
      <c r="L318" s="306">
        <v>214</v>
      </c>
      <c r="M318" s="300"/>
      <c r="N318" s="300"/>
    </row>
    <row r="319" spans="2:14" x14ac:dyDescent="0.25">
      <c r="B319" s="300"/>
      <c r="C319" s="300"/>
      <c r="D319" s="300"/>
      <c r="E319" s="300"/>
      <c r="F319" s="300"/>
      <c r="G319" s="300"/>
      <c r="H319" s="300"/>
      <c r="I319" s="300"/>
      <c r="J319" s="300"/>
      <c r="K319" s="300"/>
      <c r="L319" s="306">
        <v>215</v>
      </c>
      <c r="M319" s="300"/>
      <c r="N319" s="300"/>
    </row>
    <row r="320" spans="2:14" x14ac:dyDescent="0.25">
      <c r="B320" s="300"/>
      <c r="C320" s="300"/>
      <c r="D320" s="300"/>
      <c r="E320" s="300"/>
      <c r="F320" s="300"/>
      <c r="G320" s="300"/>
      <c r="H320" s="300"/>
      <c r="I320" s="300"/>
      <c r="J320" s="300"/>
      <c r="K320" s="300"/>
      <c r="L320" s="306">
        <v>216</v>
      </c>
      <c r="M320" s="300"/>
      <c r="N320" s="300"/>
    </row>
    <row r="321" spans="2:14" x14ac:dyDescent="0.25">
      <c r="B321" s="300"/>
      <c r="C321" s="300"/>
      <c r="D321" s="300"/>
      <c r="E321" s="300"/>
      <c r="F321" s="300"/>
      <c r="G321" s="300"/>
      <c r="H321" s="300"/>
      <c r="I321" s="300"/>
      <c r="J321" s="300"/>
      <c r="K321" s="300"/>
      <c r="L321" s="306">
        <v>217</v>
      </c>
      <c r="M321" s="300"/>
      <c r="N321" s="300"/>
    </row>
    <row r="322" spans="2:14" x14ac:dyDescent="0.25">
      <c r="B322" s="300"/>
      <c r="C322" s="300"/>
      <c r="D322" s="300"/>
      <c r="E322" s="300"/>
      <c r="F322" s="300"/>
      <c r="G322" s="300"/>
      <c r="H322" s="300"/>
      <c r="I322" s="300"/>
      <c r="J322" s="300"/>
      <c r="K322" s="300"/>
      <c r="L322" s="306">
        <v>218</v>
      </c>
      <c r="M322" s="300"/>
      <c r="N322" s="300"/>
    </row>
    <row r="323" spans="2:14" x14ac:dyDescent="0.25">
      <c r="B323" s="300"/>
      <c r="C323" s="300"/>
      <c r="D323" s="300"/>
      <c r="E323" s="300"/>
      <c r="F323" s="300"/>
      <c r="G323" s="300"/>
      <c r="H323" s="300"/>
      <c r="I323" s="300"/>
      <c r="J323" s="300"/>
      <c r="K323" s="300"/>
      <c r="L323" s="306">
        <v>219</v>
      </c>
      <c r="M323" s="300"/>
      <c r="N323" s="300"/>
    </row>
    <row r="324" spans="2:14" x14ac:dyDescent="0.25">
      <c r="B324" s="300"/>
      <c r="C324" s="300"/>
      <c r="D324" s="300"/>
      <c r="E324" s="300"/>
      <c r="F324" s="300"/>
      <c r="G324" s="300"/>
      <c r="H324" s="300"/>
      <c r="I324" s="300"/>
      <c r="J324" s="300"/>
      <c r="K324" s="300"/>
      <c r="L324" s="306">
        <v>220</v>
      </c>
      <c r="M324" s="300"/>
      <c r="N324" s="300"/>
    </row>
    <row r="325" spans="2:14" x14ac:dyDescent="0.25">
      <c r="B325" s="300"/>
      <c r="C325" s="300"/>
      <c r="D325" s="300"/>
      <c r="E325" s="300"/>
      <c r="F325" s="300"/>
      <c r="G325" s="300"/>
      <c r="H325" s="300"/>
      <c r="I325" s="300"/>
      <c r="J325" s="300"/>
      <c r="K325" s="300"/>
      <c r="L325" s="306">
        <v>221</v>
      </c>
      <c r="M325" s="300"/>
      <c r="N325" s="300"/>
    </row>
    <row r="326" spans="2:14" x14ac:dyDescent="0.25">
      <c r="B326" s="300"/>
      <c r="C326" s="300"/>
      <c r="D326" s="300"/>
      <c r="E326" s="300"/>
      <c r="F326" s="300"/>
      <c r="G326" s="300"/>
      <c r="H326" s="300"/>
      <c r="I326" s="300"/>
      <c r="J326" s="300"/>
      <c r="K326" s="300"/>
      <c r="L326" s="306">
        <v>222</v>
      </c>
      <c r="M326" s="300"/>
      <c r="N326" s="300"/>
    </row>
    <row r="327" spans="2:14" x14ac:dyDescent="0.25">
      <c r="B327" s="300"/>
      <c r="C327" s="300"/>
      <c r="D327" s="300"/>
      <c r="E327" s="300"/>
      <c r="F327" s="300"/>
      <c r="G327" s="300"/>
      <c r="H327" s="300"/>
      <c r="I327" s="300"/>
      <c r="J327" s="300"/>
      <c r="K327" s="300"/>
      <c r="L327" s="306">
        <v>223</v>
      </c>
      <c r="M327" s="300"/>
      <c r="N327" s="300"/>
    </row>
    <row r="328" spans="2:14" x14ac:dyDescent="0.25">
      <c r="B328" s="300"/>
      <c r="C328" s="300"/>
      <c r="D328" s="300"/>
      <c r="E328" s="300"/>
      <c r="F328" s="300"/>
      <c r="G328" s="300"/>
      <c r="H328" s="300"/>
      <c r="I328" s="300"/>
      <c r="J328" s="300"/>
      <c r="K328" s="300"/>
      <c r="L328" s="306">
        <v>224</v>
      </c>
      <c r="M328" s="300"/>
      <c r="N328" s="300"/>
    </row>
    <row r="329" spans="2:14" x14ac:dyDescent="0.25">
      <c r="B329" s="300"/>
      <c r="C329" s="300"/>
      <c r="D329" s="300"/>
      <c r="E329" s="300"/>
      <c r="F329" s="300"/>
      <c r="G329" s="300"/>
      <c r="H329" s="300"/>
      <c r="I329" s="300"/>
      <c r="J329" s="300"/>
      <c r="K329" s="300"/>
      <c r="L329" s="306">
        <v>225</v>
      </c>
      <c r="M329" s="300"/>
      <c r="N329" s="300"/>
    </row>
    <row r="330" spans="2:14" x14ac:dyDescent="0.25">
      <c r="B330" s="300"/>
      <c r="C330" s="300"/>
      <c r="D330" s="300"/>
      <c r="E330" s="300"/>
      <c r="F330" s="300"/>
      <c r="G330" s="300"/>
      <c r="H330" s="300"/>
      <c r="I330" s="300"/>
      <c r="J330" s="300"/>
      <c r="K330" s="300"/>
      <c r="L330" s="306">
        <v>226</v>
      </c>
      <c r="M330" s="300"/>
      <c r="N330" s="300"/>
    </row>
    <row r="331" spans="2:14" x14ac:dyDescent="0.25">
      <c r="B331" s="300"/>
      <c r="C331" s="300"/>
      <c r="D331" s="300"/>
      <c r="E331" s="300"/>
      <c r="F331" s="300"/>
      <c r="G331" s="300"/>
      <c r="H331" s="300"/>
      <c r="I331" s="300"/>
      <c r="J331" s="300"/>
      <c r="K331" s="300"/>
      <c r="L331" s="306">
        <v>227</v>
      </c>
      <c r="M331" s="300"/>
      <c r="N331" s="300"/>
    </row>
    <row r="332" spans="2:14" x14ac:dyDescent="0.25">
      <c r="B332" s="300"/>
      <c r="C332" s="300"/>
      <c r="D332" s="300"/>
      <c r="E332" s="300"/>
      <c r="F332" s="300"/>
      <c r="G332" s="300"/>
      <c r="H332" s="300"/>
      <c r="I332" s="300"/>
      <c r="J332" s="300"/>
      <c r="K332" s="300"/>
      <c r="L332" s="306">
        <v>228</v>
      </c>
      <c r="M332" s="300"/>
      <c r="N332" s="300"/>
    </row>
    <row r="333" spans="2:14" x14ac:dyDescent="0.25">
      <c r="B333" s="300"/>
      <c r="C333" s="300"/>
      <c r="D333" s="300"/>
      <c r="E333" s="300"/>
      <c r="F333" s="300"/>
      <c r="G333" s="300"/>
      <c r="H333" s="300"/>
      <c r="I333" s="300"/>
      <c r="J333" s="300"/>
      <c r="K333" s="300"/>
      <c r="L333" s="306">
        <v>229</v>
      </c>
      <c r="M333" s="300"/>
      <c r="N333" s="300"/>
    </row>
    <row r="334" spans="2:14" x14ac:dyDescent="0.25">
      <c r="B334" s="300"/>
      <c r="C334" s="300"/>
      <c r="D334" s="300"/>
      <c r="E334" s="300"/>
      <c r="F334" s="300"/>
      <c r="G334" s="300"/>
      <c r="H334" s="300"/>
      <c r="I334" s="300"/>
      <c r="J334" s="300"/>
      <c r="K334" s="300"/>
      <c r="L334" s="306">
        <v>230</v>
      </c>
      <c r="M334" s="300"/>
      <c r="N334" s="300"/>
    </row>
    <row r="335" spans="2:14" x14ac:dyDescent="0.25">
      <c r="B335" s="300"/>
      <c r="C335" s="300"/>
      <c r="D335" s="300"/>
      <c r="E335" s="300"/>
      <c r="F335" s="300"/>
      <c r="G335" s="300"/>
      <c r="H335" s="300"/>
      <c r="I335" s="300"/>
      <c r="J335" s="300"/>
      <c r="K335" s="300"/>
      <c r="L335" s="306">
        <v>231</v>
      </c>
      <c r="M335" s="300"/>
      <c r="N335" s="300"/>
    </row>
    <row r="336" spans="2:14" x14ac:dyDescent="0.25">
      <c r="B336" s="300"/>
      <c r="C336" s="300"/>
      <c r="D336" s="300"/>
      <c r="E336" s="300"/>
      <c r="F336" s="300"/>
      <c r="G336" s="300"/>
      <c r="H336" s="300"/>
      <c r="I336" s="300"/>
      <c r="J336" s="300"/>
      <c r="K336" s="300"/>
      <c r="L336" s="306">
        <v>232</v>
      </c>
      <c r="M336" s="300"/>
      <c r="N336" s="300"/>
    </row>
    <row r="337" spans="2:14" x14ac:dyDescent="0.25">
      <c r="B337" s="300"/>
      <c r="C337" s="300"/>
      <c r="D337" s="300"/>
      <c r="E337" s="300"/>
      <c r="F337" s="300"/>
      <c r="G337" s="300"/>
      <c r="H337" s="300"/>
      <c r="I337" s="300"/>
      <c r="J337" s="300"/>
      <c r="K337" s="300"/>
      <c r="L337" s="306">
        <v>233</v>
      </c>
      <c r="M337" s="300"/>
      <c r="N337" s="300"/>
    </row>
    <row r="338" spans="2:14" x14ac:dyDescent="0.25">
      <c r="B338" s="300"/>
      <c r="C338" s="300"/>
      <c r="D338" s="300"/>
      <c r="E338" s="300"/>
      <c r="F338" s="300"/>
      <c r="G338" s="300"/>
      <c r="H338" s="300"/>
      <c r="I338" s="300"/>
      <c r="J338" s="300"/>
      <c r="K338" s="300"/>
      <c r="L338" s="306">
        <v>234</v>
      </c>
      <c r="M338" s="300"/>
      <c r="N338" s="300"/>
    </row>
    <row r="339" spans="2:14" x14ac:dyDescent="0.25">
      <c r="B339" s="300"/>
      <c r="C339" s="300"/>
      <c r="D339" s="300"/>
      <c r="E339" s="300"/>
      <c r="F339" s="300"/>
      <c r="G339" s="300"/>
      <c r="H339" s="300"/>
      <c r="I339" s="300"/>
      <c r="J339" s="300"/>
      <c r="K339" s="300"/>
      <c r="L339" s="306">
        <v>235</v>
      </c>
      <c r="M339" s="300"/>
      <c r="N339" s="300"/>
    </row>
    <row r="340" spans="2:14" x14ac:dyDescent="0.25">
      <c r="B340" s="300"/>
      <c r="C340" s="300"/>
      <c r="D340" s="300"/>
      <c r="E340" s="300"/>
      <c r="F340" s="300"/>
      <c r="G340" s="300"/>
      <c r="H340" s="300"/>
      <c r="I340" s="300"/>
      <c r="J340" s="300"/>
      <c r="K340" s="300"/>
      <c r="L340" s="306">
        <v>236</v>
      </c>
      <c r="M340" s="300"/>
      <c r="N340" s="300"/>
    </row>
    <row r="341" spans="2:14" x14ac:dyDescent="0.25">
      <c r="B341" s="300"/>
      <c r="C341" s="300"/>
      <c r="D341" s="300"/>
      <c r="E341" s="300"/>
      <c r="F341" s="300"/>
      <c r="G341" s="300"/>
      <c r="H341" s="300"/>
      <c r="I341" s="300"/>
      <c r="J341" s="300"/>
      <c r="K341" s="300"/>
      <c r="L341" s="306">
        <v>237</v>
      </c>
      <c r="M341" s="300"/>
      <c r="N341" s="300"/>
    </row>
    <row r="342" spans="2:14" x14ac:dyDescent="0.25">
      <c r="B342" s="300"/>
      <c r="C342" s="300"/>
      <c r="D342" s="300"/>
      <c r="E342" s="300"/>
      <c r="F342" s="300"/>
      <c r="G342" s="300"/>
      <c r="H342" s="300"/>
      <c r="I342" s="300"/>
      <c r="J342" s="300"/>
      <c r="K342" s="300"/>
      <c r="L342" s="306">
        <v>238</v>
      </c>
      <c r="M342" s="300"/>
      <c r="N342" s="300"/>
    </row>
    <row r="343" spans="2:14" x14ac:dyDescent="0.25">
      <c r="B343" s="300"/>
      <c r="C343" s="300"/>
      <c r="D343" s="300"/>
      <c r="E343" s="300"/>
      <c r="F343" s="300"/>
      <c r="G343" s="300"/>
      <c r="H343" s="300"/>
      <c r="I343" s="300"/>
      <c r="J343" s="300"/>
      <c r="K343" s="300"/>
      <c r="L343" s="306">
        <v>239</v>
      </c>
      <c r="M343" s="300"/>
      <c r="N343" s="300"/>
    </row>
    <row r="344" spans="2:14" x14ac:dyDescent="0.25">
      <c r="B344" s="300"/>
      <c r="C344" s="300"/>
      <c r="D344" s="300"/>
      <c r="E344" s="300"/>
      <c r="F344" s="300"/>
      <c r="G344" s="300"/>
      <c r="H344" s="300"/>
      <c r="I344" s="300"/>
      <c r="J344" s="300"/>
      <c r="K344" s="300"/>
      <c r="L344" s="306">
        <v>240</v>
      </c>
      <c r="M344" s="300"/>
      <c r="N344" s="300"/>
    </row>
    <row r="345" spans="2:14" x14ac:dyDescent="0.25">
      <c r="B345" s="300"/>
      <c r="C345" s="300"/>
      <c r="D345" s="300"/>
      <c r="E345" s="300"/>
      <c r="F345" s="300"/>
      <c r="G345" s="300"/>
      <c r="H345" s="300"/>
      <c r="I345" s="300"/>
      <c r="J345" s="300"/>
      <c r="K345" s="300"/>
      <c r="L345" s="306">
        <v>241</v>
      </c>
      <c r="M345" s="300"/>
      <c r="N345" s="300"/>
    </row>
    <row r="346" spans="2:14" x14ac:dyDescent="0.25">
      <c r="B346" s="300"/>
      <c r="C346" s="300"/>
      <c r="D346" s="300"/>
      <c r="E346" s="300"/>
      <c r="F346" s="300"/>
      <c r="G346" s="300"/>
      <c r="H346" s="300"/>
      <c r="I346" s="300"/>
      <c r="J346" s="300"/>
      <c r="K346" s="300"/>
      <c r="L346" s="306">
        <v>242</v>
      </c>
      <c r="M346" s="300"/>
      <c r="N346" s="300"/>
    </row>
    <row r="347" spans="2:14" x14ac:dyDescent="0.25">
      <c r="B347" s="300"/>
      <c r="C347" s="300"/>
      <c r="D347" s="300"/>
      <c r="E347" s="300"/>
      <c r="F347" s="300"/>
      <c r="G347" s="300"/>
      <c r="H347" s="300"/>
      <c r="I347" s="300"/>
      <c r="J347" s="300"/>
      <c r="K347" s="300"/>
      <c r="L347" s="306">
        <v>243</v>
      </c>
      <c r="M347" s="300"/>
      <c r="N347" s="300"/>
    </row>
    <row r="348" spans="2:14" x14ac:dyDescent="0.25">
      <c r="B348" s="300"/>
      <c r="C348" s="300"/>
      <c r="D348" s="300"/>
      <c r="E348" s="300"/>
      <c r="F348" s="300"/>
      <c r="G348" s="300"/>
      <c r="H348" s="300"/>
      <c r="I348" s="300"/>
      <c r="J348" s="300"/>
      <c r="K348" s="300"/>
      <c r="L348" s="306">
        <v>244</v>
      </c>
      <c r="M348" s="300"/>
      <c r="N348" s="300"/>
    </row>
    <row r="349" spans="2:14" x14ac:dyDescent="0.25">
      <c r="B349" s="300"/>
      <c r="C349" s="300"/>
      <c r="D349" s="300"/>
      <c r="E349" s="300"/>
      <c r="F349" s="300"/>
      <c r="G349" s="300"/>
      <c r="H349" s="300"/>
      <c r="I349" s="300"/>
      <c r="J349" s="300"/>
      <c r="K349" s="300"/>
      <c r="L349" s="306">
        <v>245</v>
      </c>
      <c r="M349" s="300"/>
      <c r="N349" s="300"/>
    </row>
    <row r="350" spans="2:14" x14ac:dyDescent="0.25">
      <c r="B350" s="300"/>
      <c r="C350" s="300"/>
      <c r="D350" s="300"/>
      <c r="E350" s="300"/>
      <c r="F350" s="300"/>
      <c r="G350" s="300"/>
      <c r="H350" s="300"/>
      <c r="I350" s="300"/>
      <c r="J350" s="300"/>
      <c r="K350" s="300"/>
      <c r="L350" s="306">
        <v>246</v>
      </c>
      <c r="M350" s="300"/>
      <c r="N350" s="300"/>
    </row>
    <row r="351" spans="2:14" x14ac:dyDescent="0.25">
      <c r="B351" s="300"/>
      <c r="C351" s="300"/>
      <c r="D351" s="300"/>
      <c r="E351" s="300"/>
      <c r="F351" s="300"/>
      <c r="G351" s="300"/>
      <c r="H351" s="300"/>
      <c r="I351" s="300"/>
      <c r="J351" s="300"/>
      <c r="K351" s="300"/>
      <c r="L351" s="306">
        <v>247</v>
      </c>
      <c r="M351" s="300"/>
      <c r="N351" s="300"/>
    </row>
    <row r="352" spans="2:14" x14ac:dyDescent="0.25">
      <c r="B352" s="300"/>
      <c r="C352" s="300"/>
      <c r="D352" s="300"/>
      <c r="E352" s="300"/>
      <c r="F352" s="300"/>
      <c r="G352" s="300"/>
      <c r="H352" s="300"/>
      <c r="I352" s="300"/>
      <c r="J352" s="300"/>
      <c r="K352" s="300"/>
      <c r="L352" s="306">
        <v>248</v>
      </c>
      <c r="M352" s="300"/>
      <c r="N352" s="300"/>
    </row>
    <row r="353" spans="2:14" x14ac:dyDescent="0.25">
      <c r="B353" s="300"/>
      <c r="C353" s="300"/>
      <c r="D353" s="300"/>
      <c r="E353" s="300"/>
      <c r="F353" s="300"/>
      <c r="G353" s="300"/>
      <c r="H353" s="300"/>
      <c r="I353" s="300"/>
      <c r="J353" s="300"/>
      <c r="K353" s="300"/>
      <c r="L353" s="306">
        <v>249</v>
      </c>
      <c r="M353" s="300"/>
      <c r="N353" s="300"/>
    </row>
    <row r="354" spans="2:14" x14ac:dyDescent="0.25">
      <c r="B354" s="300"/>
      <c r="C354" s="300"/>
      <c r="D354" s="300"/>
      <c r="E354" s="300"/>
      <c r="F354" s="300"/>
      <c r="G354" s="300"/>
      <c r="H354" s="300"/>
      <c r="I354" s="300"/>
      <c r="J354" s="300"/>
      <c r="K354" s="300"/>
      <c r="L354" s="306">
        <v>250</v>
      </c>
      <c r="M354" s="300"/>
      <c r="N354" s="300"/>
    </row>
    <row r="355" spans="2:14" x14ac:dyDescent="0.25">
      <c r="B355" s="300"/>
      <c r="C355" s="300"/>
      <c r="D355" s="300"/>
      <c r="E355" s="300"/>
      <c r="F355" s="300"/>
      <c r="G355" s="300"/>
      <c r="H355" s="300"/>
      <c r="I355" s="300"/>
      <c r="J355" s="300"/>
      <c r="K355" s="300"/>
      <c r="L355" s="306">
        <v>251</v>
      </c>
      <c r="M355" s="300"/>
      <c r="N355" s="300"/>
    </row>
    <row r="356" spans="2:14" x14ac:dyDescent="0.25">
      <c r="B356" s="300"/>
      <c r="C356" s="300"/>
      <c r="D356" s="300"/>
      <c r="E356" s="300"/>
      <c r="F356" s="300"/>
      <c r="G356" s="300"/>
      <c r="H356" s="300"/>
      <c r="I356" s="300"/>
      <c r="J356" s="300"/>
      <c r="K356" s="300"/>
      <c r="L356" s="306">
        <v>252</v>
      </c>
      <c r="M356" s="300"/>
      <c r="N356" s="300"/>
    </row>
    <row r="357" spans="2:14" x14ac:dyDescent="0.25">
      <c r="B357" s="300"/>
      <c r="C357" s="300"/>
      <c r="D357" s="300"/>
      <c r="E357" s="300"/>
      <c r="F357" s="300"/>
      <c r="G357" s="300"/>
      <c r="H357" s="300"/>
      <c r="I357" s="300"/>
      <c r="J357" s="300"/>
      <c r="K357" s="300"/>
      <c r="L357" s="306">
        <v>253</v>
      </c>
      <c r="M357" s="300"/>
      <c r="N357" s="300"/>
    </row>
    <row r="358" spans="2:14" x14ac:dyDescent="0.25">
      <c r="B358" s="300"/>
      <c r="C358" s="300"/>
      <c r="D358" s="300"/>
      <c r="E358" s="300"/>
      <c r="F358" s="300"/>
      <c r="G358" s="300"/>
      <c r="H358" s="300"/>
      <c r="I358" s="300"/>
      <c r="J358" s="300"/>
      <c r="K358" s="300"/>
      <c r="L358" s="306">
        <v>254</v>
      </c>
      <c r="M358" s="300"/>
      <c r="N358" s="300"/>
    </row>
    <row r="359" spans="2:14" x14ac:dyDescent="0.25">
      <c r="B359" s="300"/>
      <c r="C359" s="300"/>
      <c r="D359" s="300"/>
      <c r="E359" s="300"/>
      <c r="F359" s="300"/>
      <c r="G359" s="300"/>
      <c r="H359" s="300"/>
      <c r="I359" s="300"/>
      <c r="J359" s="300"/>
      <c r="K359" s="300"/>
      <c r="L359" s="306">
        <v>255</v>
      </c>
      <c r="M359" s="300"/>
      <c r="N359" s="300"/>
    </row>
    <row r="360" spans="2:14" x14ac:dyDescent="0.25">
      <c r="B360" s="300"/>
      <c r="C360" s="300"/>
      <c r="D360" s="300"/>
      <c r="E360" s="300"/>
      <c r="F360" s="300"/>
      <c r="G360" s="300"/>
      <c r="H360" s="300"/>
      <c r="I360" s="300"/>
      <c r="J360" s="300"/>
      <c r="K360" s="300"/>
      <c r="L360" s="306">
        <v>256</v>
      </c>
      <c r="M360" s="300"/>
      <c r="N360" s="300"/>
    </row>
    <row r="361" spans="2:14" x14ac:dyDescent="0.25">
      <c r="B361" s="300"/>
      <c r="C361" s="300"/>
      <c r="D361" s="300"/>
      <c r="E361" s="300"/>
      <c r="F361" s="300"/>
      <c r="G361" s="300"/>
      <c r="H361" s="300"/>
      <c r="I361" s="300"/>
      <c r="J361" s="300"/>
      <c r="K361" s="300"/>
      <c r="L361" s="306">
        <v>257</v>
      </c>
      <c r="M361" s="300"/>
      <c r="N361" s="300"/>
    </row>
    <row r="362" spans="2:14" x14ac:dyDescent="0.25">
      <c r="B362" s="300"/>
      <c r="C362" s="300"/>
      <c r="D362" s="300"/>
      <c r="E362" s="300"/>
      <c r="F362" s="300"/>
      <c r="G362" s="300"/>
      <c r="H362" s="300"/>
      <c r="I362" s="300"/>
      <c r="J362" s="300"/>
      <c r="K362" s="300"/>
      <c r="L362" s="306">
        <v>258</v>
      </c>
      <c r="M362" s="300"/>
      <c r="N362" s="300"/>
    </row>
    <row r="363" spans="2:14" x14ac:dyDescent="0.25">
      <c r="B363" s="300"/>
      <c r="C363" s="300"/>
      <c r="D363" s="300"/>
      <c r="E363" s="300"/>
      <c r="F363" s="300"/>
      <c r="G363" s="300"/>
      <c r="H363" s="300"/>
      <c r="I363" s="300"/>
      <c r="J363" s="300"/>
      <c r="K363" s="300"/>
      <c r="L363" s="306">
        <v>259</v>
      </c>
      <c r="M363" s="300"/>
      <c r="N363" s="300"/>
    </row>
    <row r="364" spans="2:14" x14ac:dyDescent="0.25">
      <c r="B364" s="300"/>
      <c r="C364" s="300"/>
      <c r="D364" s="300"/>
      <c r="E364" s="300"/>
      <c r="F364" s="300"/>
      <c r="G364" s="300"/>
      <c r="H364" s="300"/>
      <c r="I364" s="300"/>
      <c r="J364" s="300"/>
      <c r="K364" s="300"/>
      <c r="L364" s="306">
        <v>260</v>
      </c>
      <c r="M364" s="300"/>
      <c r="N364" s="300"/>
    </row>
    <row r="365" spans="2:14" x14ac:dyDescent="0.25">
      <c r="B365" s="300"/>
      <c r="C365" s="300"/>
      <c r="D365" s="300"/>
      <c r="E365" s="300"/>
      <c r="F365" s="300"/>
      <c r="G365" s="300"/>
      <c r="H365" s="300"/>
      <c r="I365" s="300"/>
      <c r="J365" s="300"/>
      <c r="K365" s="300"/>
      <c r="L365" s="306">
        <v>261</v>
      </c>
      <c r="M365" s="300"/>
      <c r="N365" s="300"/>
    </row>
    <row r="366" spans="2:14" x14ac:dyDescent="0.25">
      <c r="B366" s="300"/>
      <c r="C366" s="300"/>
      <c r="D366" s="300"/>
      <c r="E366" s="300"/>
      <c r="F366" s="300"/>
      <c r="G366" s="300"/>
      <c r="H366" s="300"/>
      <c r="I366" s="300"/>
      <c r="J366" s="300"/>
      <c r="K366" s="300"/>
      <c r="L366" s="306">
        <v>262</v>
      </c>
      <c r="M366" s="300"/>
      <c r="N366" s="300"/>
    </row>
    <row r="367" spans="2:14" x14ac:dyDescent="0.25">
      <c r="B367" s="300"/>
      <c r="C367" s="300"/>
      <c r="D367" s="300"/>
      <c r="E367" s="300"/>
      <c r="F367" s="300"/>
      <c r="G367" s="300"/>
      <c r="H367" s="300"/>
      <c r="I367" s="300"/>
      <c r="J367" s="300"/>
      <c r="K367" s="300"/>
      <c r="L367" s="306">
        <v>263</v>
      </c>
      <c r="M367" s="300"/>
      <c r="N367" s="300"/>
    </row>
    <row r="368" spans="2:14" x14ac:dyDescent="0.25">
      <c r="B368" s="300"/>
      <c r="C368" s="300"/>
      <c r="D368" s="300"/>
      <c r="E368" s="300"/>
      <c r="F368" s="300"/>
      <c r="G368" s="300"/>
      <c r="H368" s="300"/>
      <c r="I368" s="300"/>
      <c r="J368" s="300"/>
      <c r="K368" s="300"/>
      <c r="L368" s="306">
        <v>264</v>
      </c>
      <c r="M368" s="300"/>
      <c r="N368" s="300"/>
    </row>
    <row r="369" spans="2:14" x14ac:dyDescent="0.25">
      <c r="B369" s="300"/>
      <c r="C369" s="300"/>
      <c r="D369" s="300"/>
      <c r="E369" s="300"/>
      <c r="F369" s="300"/>
      <c r="G369" s="300"/>
      <c r="H369" s="300"/>
      <c r="I369" s="300"/>
      <c r="J369" s="300"/>
      <c r="K369" s="300"/>
      <c r="L369" s="306">
        <v>265</v>
      </c>
      <c r="M369" s="300"/>
      <c r="N369" s="300"/>
    </row>
    <row r="370" spans="2:14" x14ac:dyDescent="0.25">
      <c r="B370" s="300"/>
      <c r="C370" s="300"/>
      <c r="D370" s="300"/>
      <c r="E370" s="300"/>
      <c r="F370" s="300"/>
      <c r="G370" s="300"/>
      <c r="H370" s="300"/>
      <c r="I370" s="300"/>
      <c r="J370" s="300"/>
      <c r="K370" s="300"/>
      <c r="L370" s="306">
        <v>266</v>
      </c>
      <c r="M370" s="300"/>
      <c r="N370" s="300"/>
    </row>
    <row r="371" spans="2:14" x14ac:dyDescent="0.25">
      <c r="B371" s="300"/>
      <c r="C371" s="300"/>
      <c r="D371" s="300"/>
      <c r="E371" s="300"/>
      <c r="F371" s="300"/>
      <c r="G371" s="300"/>
      <c r="H371" s="300"/>
      <c r="I371" s="300"/>
      <c r="J371" s="300"/>
      <c r="K371" s="300"/>
      <c r="L371" s="306">
        <v>267</v>
      </c>
      <c r="M371" s="300"/>
      <c r="N371" s="300"/>
    </row>
    <row r="372" spans="2:14" x14ac:dyDescent="0.25">
      <c r="B372" s="300"/>
      <c r="C372" s="300"/>
      <c r="D372" s="300"/>
      <c r="E372" s="300"/>
      <c r="F372" s="300"/>
      <c r="G372" s="300"/>
      <c r="H372" s="300"/>
      <c r="I372" s="300"/>
      <c r="J372" s="300"/>
      <c r="K372" s="300"/>
      <c r="L372" s="306">
        <v>268</v>
      </c>
      <c r="M372" s="300"/>
      <c r="N372" s="300"/>
    </row>
    <row r="373" spans="2:14" x14ac:dyDescent="0.25">
      <c r="B373" s="300"/>
      <c r="C373" s="300"/>
      <c r="D373" s="300"/>
      <c r="E373" s="300"/>
      <c r="F373" s="300"/>
      <c r="G373" s="300"/>
      <c r="H373" s="300"/>
      <c r="I373" s="300"/>
      <c r="J373" s="300"/>
      <c r="K373" s="300"/>
      <c r="L373" s="306">
        <v>269</v>
      </c>
      <c r="M373" s="300"/>
      <c r="N373" s="300"/>
    </row>
    <row r="374" spans="2:14" x14ac:dyDescent="0.25">
      <c r="B374" s="300"/>
      <c r="C374" s="300"/>
      <c r="D374" s="300"/>
      <c r="E374" s="300"/>
      <c r="F374" s="300"/>
      <c r="G374" s="300"/>
      <c r="H374" s="300"/>
      <c r="I374" s="300"/>
      <c r="J374" s="300"/>
      <c r="K374" s="300"/>
      <c r="L374" s="306">
        <v>270</v>
      </c>
      <c r="M374" s="300"/>
      <c r="N374" s="300"/>
    </row>
    <row r="375" spans="2:14" x14ac:dyDescent="0.25">
      <c r="B375" s="300"/>
      <c r="C375" s="300"/>
      <c r="D375" s="300"/>
      <c r="E375" s="300"/>
      <c r="F375" s="300"/>
      <c r="G375" s="300"/>
      <c r="H375" s="300"/>
      <c r="I375" s="300"/>
      <c r="J375" s="300"/>
      <c r="K375" s="300"/>
      <c r="L375" s="306">
        <v>271</v>
      </c>
      <c r="M375" s="300"/>
      <c r="N375" s="300"/>
    </row>
    <row r="376" spans="2:14" x14ac:dyDescent="0.25">
      <c r="B376" s="300"/>
      <c r="C376" s="300"/>
      <c r="D376" s="300"/>
      <c r="E376" s="300"/>
      <c r="F376" s="300"/>
      <c r="G376" s="300"/>
      <c r="H376" s="300"/>
      <c r="I376" s="300"/>
      <c r="J376" s="300"/>
      <c r="K376" s="300"/>
      <c r="L376" s="306">
        <v>272</v>
      </c>
      <c r="M376" s="300"/>
      <c r="N376" s="300"/>
    </row>
    <row r="377" spans="2:14" x14ac:dyDescent="0.25">
      <c r="B377" s="300"/>
      <c r="C377" s="300"/>
      <c r="D377" s="300"/>
      <c r="E377" s="300"/>
      <c r="F377" s="300"/>
      <c r="G377" s="300"/>
      <c r="H377" s="300"/>
      <c r="I377" s="300"/>
      <c r="J377" s="300"/>
      <c r="K377" s="300"/>
      <c r="L377" s="306">
        <v>273</v>
      </c>
      <c r="M377" s="300"/>
      <c r="N377" s="300"/>
    </row>
    <row r="378" spans="2:14" x14ac:dyDescent="0.25">
      <c r="B378" s="300"/>
      <c r="C378" s="300"/>
      <c r="D378" s="300"/>
      <c r="E378" s="300"/>
      <c r="F378" s="300"/>
      <c r="G378" s="300"/>
      <c r="H378" s="300"/>
      <c r="I378" s="300"/>
      <c r="J378" s="300"/>
      <c r="K378" s="300"/>
      <c r="L378" s="306">
        <v>274</v>
      </c>
      <c r="M378" s="300"/>
      <c r="N378" s="300"/>
    </row>
    <row r="379" spans="2:14" x14ac:dyDescent="0.25">
      <c r="B379" s="300"/>
      <c r="C379" s="300"/>
      <c r="D379" s="300"/>
      <c r="E379" s="300"/>
      <c r="F379" s="300"/>
      <c r="G379" s="300"/>
      <c r="H379" s="300"/>
      <c r="I379" s="300"/>
      <c r="J379" s="300"/>
      <c r="K379" s="300"/>
      <c r="L379" s="306">
        <v>275</v>
      </c>
      <c r="M379" s="300"/>
      <c r="N379" s="300"/>
    </row>
    <row r="380" spans="2:14" x14ac:dyDescent="0.25">
      <c r="B380" s="300"/>
      <c r="C380" s="300"/>
      <c r="D380" s="300"/>
      <c r="E380" s="300"/>
      <c r="F380" s="300"/>
      <c r="G380" s="300"/>
      <c r="H380" s="300"/>
      <c r="I380" s="300"/>
      <c r="J380" s="300"/>
      <c r="K380" s="300"/>
      <c r="L380" s="306">
        <v>276</v>
      </c>
      <c r="M380" s="300"/>
      <c r="N380" s="300"/>
    </row>
    <row r="381" spans="2:14" x14ac:dyDescent="0.25">
      <c r="B381" s="300"/>
      <c r="C381" s="300"/>
      <c r="D381" s="300"/>
      <c r="E381" s="300"/>
      <c r="F381" s="300"/>
      <c r="G381" s="300"/>
      <c r="H381" s="300"/>
      <c r="I381" s="300"/>
      <c r="J381" s="300"/>
      <c r="K381" s="300"/>
      <c r="L381" s="306">
        <v>277</v>
      </c>
      <c r="M381" s="300"/>
      <c r="N381" s="300"/>
    </row>
    <row r="382" spans="2:14" x14ac:dyDescent="0.25">
      <c r="B382" s="300"/>
      <c r="C382" s="300"/>
      <c r="D382" s="300"/>
      <c r="E382" s="300"/>
      <c r="F382" s="300"/>
      <c r="G382" s="300"/>
      <c r="H382" s="300"/>
      <c r="I382" s="300"/>
      <c r="J382" s="300"/>
      <c r="K382" s="300"/>
      <c r="L382" s="306">
        <v>278</v>
      </c>
      <c r="M382" s="300"/>
      <c r="N382" s="300"/>
    </row>
    <row r="383" spans="2:14" x14ac:dyDescent="0.25">
      <c r="B383" s="300"/>
      <c r="C383" s="300"/>
      <c r="D383" s="300"/>
      <c r="E383" s="300"/>
      <c r="F383" s="300"/>
      <c r="G383" s="300"/>
      <c r="H383" s="300"/>
      <c r="I383" s="300"/>
      <c r="J383" s="300"/>
      <c r="K383" s="300"/>
      <c r="L383" s="306">
        <v>279</v>
      </c>
      <c r="M383" s="300"/>
      <c r="N383" s="300"/>
    </row>
    <row r="384" spans="2:14" x14ac:dyDescent="0.25">
      <c r="B384" s="300"/>
      <c r="C384" s="300"/>
      <c r="D384" s="300"/>
      <c r="E384" s="300"/>
      <c r="F384" s="300"/>
      <c r="G384" s="300"/>
      <c r="H384" s="300"/>
      <c r="I384" s="300"/>
      <c r="J384" s="300"/>
      <c r="K384" s="300"/>
      <c r="L384" s="306">
        <v>280</v>
      </c>
      <c r="M384" s="300"/>
      <c r="N384" s="300"/>
    </row>
    <row r="385" spans="2:14" x14ac:dyDescent="0.25">
      <c r="B385" s="300"/>
      <c r="C385" s="300"/>
      <c r="D385" s="300"/>
      <c r="E385" s="300"/>
      <c r="F385" s="300"/>
      <c r="G385" s="300"/>
      <c r="H385" s="300"/>
      <c r="I385" s="300"/>
      <c r="J385" s="300"/>
      <c r="K385" s="300"/>
      <c r="L385" s="306">
        <v>281</v>
      </c>
      <c r="M385" s="300"/>
      <c r="N385" s="300"/>
    </row>
    <row r="386" spans="2:14" x14ac:dyDescent="0.25">
      <c r="B386" s="300"/>
      <c r="C386" s="300"/>
      <c r="D386" s="300"/>
      <c r="E386" s="300"/>
      <c r="F386" s="300"/>
      <c r="G386" s="300"/>
      <c r="H386" s="300"/>
      <c r="I386" s="300"/>
      <c r="J386" s="300"/>
      <c r="K386" s="300"/>
      <c r="L386" s="306">
        <v>282</v>
      </c>
      <c r="M386" s="300"/>
      <c r="N386" s="300"/>
    </row>
    <row r="387" spans="2:14" x14ac:dyDescent="0.25">
      <c r="B387" s="300"/>
      <c r="C387" s="300"/>
      <c r="D387" s="300"/>
      <c r="E387" s="300"/>
      <c r="F387" s="300"/>
      <c r="G387" s="300"/>
      <c r="H387" s="300"/>
      <c r="I387" s="300"/>
      <c r="J387" s="300"/>
      <c r="K387" s="300"/>
      <c r="L387" s="306">
        <v>283</v>
      </c>
      <c r="M387" s="300"/>
      <c r="N387" s="300"/>
    </row>
    <row r="388" spans="2:14" x14ac:dyDescent="0.25">
      <c r="B388" s="300"/>
      <c r="C388" s="300"/>
      <c r="D388" s="300"/>
      <c r="E388" s="300"/>
      <c r="F388" s="300"/>
      <c r="G388" s="300"/>
      <c r="H388" s="300"/>
      <c r="I388" s="300"/>
      <c r="J388" s="300"/>
      <c r="K388" s="300"/>
      <c r="L388" s="306">
        <v>284</v>
      </c>
      <c r="M388" s="300"/>
      <c r="N388" s="300"/>
    </row>
    <row r="389" spans="2:14" x14ac:dyDescent="0.25">
      <c r="B389" s="300"/>
      <c r="C389" s="300"/>
      <c r="D389" s="300"/>
      <c r="E389" s="300"/>
      <c r="F389" s="300"/>
      <c r="G389" s="300"/>
      <c r="H389" s="300"/>
      <c r="I389" s="300"/>
      <c r="J389" s="300"/>
      <c r="K389" s="300"/>
      <c r="L389" s="306">
        <v>285</v>
      </c>
      <c r="M389" s="300"/>
      <c r="N389" s="300"/>
    </row>
    <row r="390" spans="2:14" x14ac:dyDescent="0.25">
      <c r="B390" s="300"/>
      <c r="C390" s="300"/>
      <c r="D390" s="300"/>
      <c r="E390" s="300"/>
      <c r="F390" s="300"/>
      <c r="G390" s="300"/>
      <c r="H390" s="300"/>
      <c r="I390" s="300"/>
      <c r="J390" s="300"/>
      <c r="K390" s="300"/>
      <c r="L390" s="306">
        <v>286</v>
      </c>
      <c r="M390" s="300"/>
      <c r="N390" s="300"/>
    </row>
    <row r="391" spans="2:14" x14ac:dyDescent="0.25">
      <c r="B391" s="300"/>
      <c r="C391" s="300"/>
      <c r="D391" s="300"/>
      <c r="E391" s="300"/>
      <c r="F391" s="300"/>
      <c r="G391" s="300"/>
      <c r="H391" s="300"/>
      <c r="I391" s="300"/>
      <c r="J391" s="300"/>
      <c r="K391" s="300"/>
      <c r="L391" s="306">
        <v>287</v>
      </c>
      <c r="M391" s="300"/>
      <c r="N391" s="300"/>
    </row>
    <row r="392" spans="2:14" x14ac:dyDescent="0.25">
      <c r="B392" s="300"/>
      <c r="C392" s="300"/>
      <c r="D392" s="300"/>
      <c r="E392" s="300"/>
      <c r="F392" s="300"/>
      <c r="G392" s="300"/>
      <c r="H392" s="300"/>
      <c r="I392" s="300"/>
      <c r="J392" s="300"/>
      <c r="K392" s="300"/>
      <c r="L392" s="306">
        <v>288</v>
      </c>
      <c r="M392" s="300"/>
      <c r="N392" s="300"/>
    </row>
    <row r="393" spans="2:14" x14ac:dyDescent="0.25">
      <c r="B393" s="300"/>
      <c r="C393" s="300"/>
      <c r="D393" s="300"/>
      <c r="E393" s="300"/>
      <c r="F393" s="300"/>
      <c r="G393" s="300"/>
      <c r="H393" s="300"/>
      <c r="I393" s="300"/>
      <c r="J393" s="300"/>
      <c r="K393" s="300"/>
      <c r="L393" s="306">
        <v>289</v>
      </c>
      <c r="M393" s="300"/>
      <c r="N393" s="300"/>
    </row>
    <row r="394" spans="2:14" x14ac:dyDescent="0.25">
      <c r="B394" s="300"/>
      <c r="C394" s="300"/>
      <c r="D394" s="300"/>
      <c r="E394" s="300"/>
      <c r="F394" s="300"/>
      <c r="G394" s="300"/>
      <c r="H394" s="300"/>
      <c r="I394" s="300"/>
      <c r="J394" s="300"/>
      <c r="K394" s="300"/>
      <c r="L394" s="306">
        <v>290</v>
      </c>
      <c r="M394" s="300"/>
      <c r="N394" s="300"/>
    </row>
    <row r="395" spans="2:14" x14ac:dyDescent="0.25">
      <c r="B395" s="300"/>
      <c r="C395" s="300"/>
      <c r="D395" s="300"/>
      <c r="E395" s="300"/>
      <c r="F395" s="300"/>
      <c r="G395" s="300"/>
      <c r="H395" s="300"/>
      <c r="I395" s="300"/>
      <c r="J395" s="300"/>
      <c r="K395" s="300"/>
      <c r="L395" s="306">
        <v>291</v>
      </c>
      <c r="M395" s="300"/>
      <c r="N395" s="300"/>
    </row>
    <row r="396" spans="2:14" x14ac:dyDescent="0.25">
      <c r="B396" s="300"/>
      <c r="C396" s="300"/>
      <c r="D396" s="300"/>
      <c r="E396" s="300"/>
      <c r="F396" s="300"/>
      <c r="G396" s="300"/>
      <c r="H396" s="300"/>
      <c r="I396" s="300"/>
      <c r="J396" s="300"/>
      <c r="K396" s="300"/>
      <c r="L396" s="306">
        <v>292</v>
      </c>
      <c r="M396" s="300"/>
      <c r="N396" s="300"/>
    </row>
    <row r="397" spans="2:14" x14ac:dyDescent="0.25">
      <c r="B397" s="300"/>
      <c r="C397" s="300"/>
      <c r="D397" s="300"/>
      <c r="E397" s="300"/>
      <c r="F397" s="300"/>
      <c r="G397" s="300"/>
      <c r="H397" s="300"/>
      <c r="I397" s="300"/>
      <c r="J397" s="300"/>
      <c r="K397" s="300"/>
      <c r="L397" s="306">
        <v>293</v>
      </c>
      <c r="M397" s="300"/>
      <c r="N397" s="300"/>
    </row>
    <row r="398" spans="2:14" x14ac:dyDescent="0.25">
      <c r="B398" s="300"/>
      <c r="C398" s="300"/>
      <c r="D398" s="300"/>
      <c r="E398" s="300"/>
      <c r="F398" s="300"/>
      <c r="G398" s="300"/>
      <c r="H398" s="300"/>
      <c r="I398" s="300"/>
      <c r="J398" s="300"/>
      <c r="K398" s="300"/>
      <c r="L398" s="306">
        <v>294</v>
      </c>
      <c r="M398" s="300"/>
      <c r="N398" s="300"/>
    </row>
    <row r="399" spans="2:14" x14ac:dyDescent="0.25">
      <c r="B399" s="300"/>
      <c r="C399" s="300"/>
      <c r="D399" s="300"/>
      <c r="E399" s="300"/>
      <c r="F399" s="300"/>
      <c r="G399" s="300"/>
      <c r="H399" s="300"/>
      <c r="I399" s="300"/>
      <c r="J399" s="300"/>
      <c r="K399" s="300"/>
      <c r="L399" s="306">
        <v>295</v>
      </c>
      <c r="M399" s="300"/>
      <c r="N399" s="300"/>
    </row>
    <row r="400" spans="2:14" x14ac:dyDescent="0.25">
      <c r="B400" s="300"/>
      <c r="C400" s="300"/>
      <c r="D400" s="300"/>
      <c r="E400" s="300"/>
      <c r="F400" s="300"/>
      <c r="G400" s="300"/>
      <c r="H400" s="300"/>
      <c r="I400" s="300"/>
      <c r="J400" s="300"/>
      <c r="K400" s="300"/>
      <c r="L400" s="306">
        <v>296</v>
      </c>
      <c r="M400" s="300"/>
      <c r="N400" s="300"/>
    </row>
    <row r="401" spans="2:14" x14ac:dyDescent="0.25">
      <c r="B401" s="300"/>
      <c r="C401" s="300"/>
      <c r="D401" s="300"/>
      <c r="E401" s="300"/>
      <c r="F401" s="300"/>
      <c r="G401" s="300"/>
      <c r="H401" s="300"/>
      <c r="I401" s="300"/>
      <c r="J401" s="300"/>
      <c r="K401" s="300"/>
      <c r="L401" s="306">
        <v>297</v>
      </c>
      <c r="M401" s="300"/>
      <c r="N401" s="300"/>
    </row>
    <row r="402" spans="2:14" x14ac:dyDescent="0.25">
      <c r="B402" s="300"/>
      <c r="C402" s="300"/>
      <c r="D402" s="300"/>
      <c r="E402" s="300"/>
      <c r="F402" s="300"/>
      <c r="G402" s="300"/>
      <c r="H402" s="300"/>
      <c r="I402" s="300"/>
      <c r="J402" s="300"/>
      <c r="K402" s="300"/>
      <c r="L402" s="306">
        <v>298</v>
      </c>
      <c r="M402" s="300"/>
      <c r="N402" s="300"/>
    </row>
    <row r="403" spans="2:14" x14ac:dyDescent="0.25">
      <c r="B403" s="300"/>
      <c r="C403" s="300"/>
      <c r="D403" s="300"/>
      <c r="E403" s="300"/>
      <c r="F403" s="300"/>
      <c r="G403" s="300"/>
      <c r="H403" s="300"/>
      <c r="I403" s="300"/>
      <c r="J403" s="300"/>
      <c r="K403" s="300"/>
      <c r="L403" s="306">
        <v>299</v>
      </c>
      <c r="M403" s="300"/>
      <c r="N403" s="300"/>
    </row>
    <row r="404" spans="2:14" x14ac:dyDescent="0.25">
      <c r="B404" s="300"/>
      <c r="C404" s="300"/>
      <c r="D404" s="300"/>
      <c r="E404" s="300"/>
      <c r="F404" s="300"/>
      <c r="G404" s="300"/>
      <c r="H404" s="300"/>
      <c r="I404" s="300"/>
      <c r="J404" s="300"/>
      <c r="K404" s="300"/>
      <c r="L404" s="306">
        <v>300</v>
      </c>
      <c r="M404" s="300"/>
      <c r="N404" s="300"/>
    </row>
    <row r="405" spans="2:14" x14ac:dyDescent="0.25">
      <c r="B405" s="300"/>
      <c r="C405" s="300"/>
      <c r="D405" s="300"/>
      <c r="E405" s="300"/>
      <c r="F405" s="300"/>
      <c r="G405" s="300"/>
      <c r="H405" s="300"/>
      <c r="I405" s="300"/>
      <c r="J405" s="300"/>
      <c r="K405" s="300"/>
      <c r="L405" s="306">
        <v>301</v>
      </c>
      <c r="M405" s="300"/>
      <c r="N405" s="300"/>
    </row>
    <row r="406" spans="2:14" x14ac:dyDescent="0.25">
      <c r="B406" s="300"/>
      <c r="C406" s="300"/>
      <c r="D406" s="300"/>
      <c r="E406" s="300"/>
      <c r="F406" s="300"/>
      <c r="G406" s="300"/>
      <c r="H406" s="300"/>
      <c r="I406" s="300"/>
      <c r="J406" s="300"/>
      <c r="K406" s="300"/>
      <c r="L406" s="306">
        <v>302</v>
      </c>
      <c r="M406" s="300"/>
      <c r="N406" s="300"/>
    </row>
    <row r="407" spans="2:14" x14ac:dyDescent="0.25">
      <c r="B407" s="300"/>
      <c r="C407" s="300"/>
      <c r="D407" s="300"/>
      <c r="E407" s="300"/>
      <c r="F407" s="300"/>
      <c r="G407" s="300"/>
      <c r="H407" s="300"/>
      <c r="I407" s="300"/>
      <c r="J407" s="300"/>
      <c r="K407" s="300"/>
      <c r="L407" s="306">
        <v>303</v>
      </c>
      <c r="M407" s="300"/>
      <c r="N407" s="300"/>
    </row>
    <row r="408" spans="2:14" x14ac:dyDescent="0.25">
      <c r="B408" s="300"/>
      <c r="C408" s="300"/>
      <c r="D408" s="300"/>
      <c r="E408" s="300"/>
      <c r="F408" s="300"/>
      <c r="G408" s="300"/>
      <c r="H408" s="300"/>
      <c r="I408" s="300"/>
      <c r="J408" s="300"/>
      <c r="K408" s="300"/>
      <c r="L408" s="306">
        <v>304</v>
      </c>
      <c r="M408" s="300"/>
      <c r="N408" s="300"/>
    </row>
    <row r="409" spans="2:14" x14ac:dyDescent="0.25">
      <c r="B409" s="300"/>
      <c r="C409" s="300"/>
      <c r="D409" s="300"/>
      <c r="E409" s="300"/>
      <c r="F409" s="300"/>
      <c r="G409" s="300"/>
      <c r="H409" s="300"/>
      <c r="I409" s="300"/>
      <c r="J409" s="300"/>
      <c r="K409" s="300"/>
      <c r="L409" s="306">
        <v>305</v>
      </c>
      <c r="M409" s="300"/>
      <c r="N409" s="300"/>
    </row>
    <row r="410" spans="2:14" x14ac:dyDescent="0.25">
      <c r="B410" s="300"/>
      <c r="C410" s="300"/>
      <c r="D410" s="300"/>
      <c r="E410" s="300"/>
      <c r="F410" s="300"/>
      <c r="G410" s="300"/>
      <c r="H410" s="300"/>
      <c r="I410" s="300"/>
      <c r="J410" s="300"/>
      <c r="K410" s="300"/>
      <c r="L410" s="306">
        <v>306</v>
      </c>
      <c r="M410" s="300"/>
      <c r="N410" s="300"/>
    </row>
    <row r="411" spans="2:14" x14ac:dyDescent="0.25">
      <c r="B411" s="300"/>
      <c r="C411" s="300"/>
      <c r="D411" s="300"/>
      <c r="E411" s="300"/>
      <c r="F411" s="300"/>
      <c r="G411" s="300"/>
      <c r="H411" s="300"/>
      <c r="I411" s="300"/>
      <c r="J411" s="300"/>
      <c r="K411" s="300"/>
      <c r="L411" s="306">
        <v>307</v>
      </c>
      <c r="M411" s="300"/>
      <c r="N411" s="300"/>
    </row>
    <row r="412" spans="2:14" x14ac:dyDescent="0.25">
      <c r="B412" s="300"/>
      <c r="C412" s="300"/>
      <c r="D412" s="300"/>
      <c r="E412" s="300"/>
      <c r="F412" s="300"/>
      <c r="G412" s="300"/>
      <c r="H412" s="300"/>
      <c r="I412" s="300"/>
      <c r="J412" s="300"/>
      <c r="K412" s="300"/>
      <c r="L412" s="306">
        <v>308</v>
      </c>
      <c r="M412" s="300"/>
      <c r="N412" s="300"/>
    </row>
    <row r="413" spans="2:14" x14ac:dyDescent="0.25">
      <c r="B413" s="300"/>
      <c r="C413" s="300"/>
      <c r="D413" s="300"/>
      <c r="E413" s="300"/>
      <c r="F413" s="300"/>
      <c r="G413" s="300"/>
      <c r="H413" s="300"/>
      <c r="I413" s="300"/>
      <c r="J413" s="300"/>
      <c r="K413" s="300"/>
      <c r="L413" s="306">
        <v>309</v>
      </c>
      <c r="M413" s="300"/>
      <c r="N413" s="300"/>
    </row>
    <row r="414" spans="2:14" x14ac:dyDescent="0.25">
      <c r="B414" s="300"/>
      <c r="C414" s="300"/>
      <c r="D414" s="300"/>
      <c r="E414" s="300"/>
      <c r="F414" s="300"/>
      <c r="G414" s="300"/>
      <c r="H414" s="300"/>
      <c r="I414" s="300"/>
      <c r="J414" s="300"/>
      <c r="K414" s="300"/>
      <c r="L414" s="306">
        <v>310</v>
      </c>
      <c r="M414" s="300"/>
      <c r="N414" s="300"/>
    </row>
    <row r="415" spans="2:14" x14ac:dyDescent="0.25">
      <c r="B415" s="300"/>
      <c r="C415" s="300"/>
      <c r="D415" s="300"/>
      <c r="E415" s="300"/>
      <c r="F415" s="300"/>
      <c r="G415" s="300"/>
      <c r="H415" s="300"/>
      <c r="I415" s="300"/>
      <c r="J415" s="300"/>
      <c r="K415" s="300"/>
      <c r="L415" s="306">
        <v>311</v>
      </c>
      <c r="M415" s="300"/>
      <c r="N415" s="300"/>
    </row>
    <row r="416" spans="2:14" x14ac:dyDescent="0.25">
      <c r="B416" s="300"/>
      <c r="C416" s="300"/>
      <c r="D416" s="300"/>
      <c r="E416" s="300"/>
      <c r="F416" s="300"/>
      <c r="G416" s="300"/>
      <c r="H416" s="300"/>
      <c r="I416" s="300"/>
      <c r="J416" s="300"/>
      <c r="K416" s="300"/>
      <c r="L416" s="306">
        <v>312</v>
      </c>
      <c r="M416" s="300"/>
      <c r="N416" s="300"/>
    </row>
    <row r="417" spans="2:14" x14ac:dyDescent="0.25">
      <c r="B417" s="300"/>
      <c r="C417" s="300"/>
      <c r="D417" s="300"/>
      <c r="E417" s="300"/>
      <c r="F417" s="300"/>
      <c r="G417" s="300"/>
      <c r="H417" s="300"/>
      <c r="I417" s="300"/>
      <c r="J417" s="300"/>
      <c r="K417" s="300"/>
      <c r="L417" s="306">
        <v>313</v>
      </c>
      <c r="M417" s="300"/>
      <c r="N417" s="300"/>
    </row>
    <row r="418" spans="2:14" x14ac:dyDescent="0.25">
      <c r="B418" s="300"/>
      <c r="C418" s="300"/>
      <c r="D418" s="300"/>
      <c r="E418" s="300"/>
      <c r="F418" s="300"/>
      <c r="G418" s="300"/>
      <c r="H418" s="300"/>
      <c r="I418" s="300"/>
      <c r="J418" s="300"/>
      <c r="K418" s="300"/>
      <c r="L418" s="306">
        <v>314</v>
      </c>
      <c r="M418" s="300"/>
      <c r="N418" s="300"/>
    </row>
    <row r="419" spans="2:14" x14ac:dyDescent="0.25">
      <c r="B419" s="300"/>
      <c r="C419" s="300"/>
      <c r="D419" s="300"/>
      <c r="E419" s="300"/>
      <c r="F419" s="300"/>
      <c r="G419" s="300"/>
      <c r="H419" s="300"/>
      <c r="I419" s="300"/>
      <c r="J419" s="300"/>
      <c r="K419" s="300"/>
      <c r="L419" s="306">
        <v>315</v>
      </c>
      <c r="M419" s="300"/>
      <c r="N419" s="300"/>
    </row>
    <row r="420" spans="2:14" x14ac:dyDescent="0.25">
      <c r="B420" s="300"/>
      <c r="C420" s="300"/>
      <c r="D420" s="300"/>
      <c r="E420" s="300"/>
      <c r="F420" s="300"/>
      <c r="G420" s="300"/>
      <c r="H420" s="300"/>
      <c r="I420" s="300"/>
      <c r="J420" s="300"/>
      <c r="K420" s="300"/>
      <c r="L420" s="306">
        <v>316</v>
      </c>
      <c r="M420" s="300"/>
      <c r="N420" s="300"/>
    </row>
    <row r="421" spans="2:14" x14ac:dyDescent="0.25">
      <c r="B421" s="300"/>
      <c r="C421" s="300"/>
      <c r="D421" s="300"/>
      <c r="E421" s="300"/>
      <c r="F421" s="300"/>
      <c r="G421" s="300"/>
      <c r="H421" s="300"/>
      <c r="I421" s="300"/>
      <c r="J421" s="300"/>
      <c r="K421" s="300"/>
      <c r="L421" s="306">
        <v>317</v>
      </c>
      <c r="M421" s="300"/>
      <c r="N421" s="300"/>
    </row>
    <row r="422" spans="2:14" x14ac:dyDescent="0.25">
      <c r="B422" s="300"/>
      <c r="C422" s="300"/>
      <c r="D422" s="300"/>
      <c r="E422" s="300"/>
      <c r="F422" s="300"/>
      <c r="G422" s="300"/>
      <c r="H422" s="300"/>
      <c r="I422" s="300"/>
      <c r="J422" s="300"/>
      <c r="K422" s="300"/>
      <c r="L422" s="306">
        <v>318</v>
      </c>
      <c r="M422" s="300"/>
      <c r="N422" s="300"/>
    </row>
    <row r="423" spans="2:14" x14ac:dyDescent="0.25">
      <c r="B423" s="300"/>
      <c r="C423" s="300"/>
      <c r="D423" s="300"/>
      <c r="E423" s="300"/>
      <c r="F423" s="300"/>
      <c r="G423" s="300"/>
      <c r="H423" s="300"/>
      <c r="I423" s="300"/>
      <c r="J423" s="300"/>
      <c r="K423" s="300"/>
      <c r="L423" s="306">
        <v>319</v>
      </c>
      <c r="M423" s="300"/>
      <c r="N423" s="300"/>
    </row>
    <row r="424" spans="2:14" x14ac:dyDescent="0.25">
      <c r="B424" s="300"/>
      <c r="C424" s="300"/>
      <c r="D424" s="300"/>
      <c r="E424" s="300"/>
      <c r="F424" s="300"/>
      <c r="G424" s="300"/>
      <c r="H424" s="300"/>
      <c r="I424" s="300"/>
      <c r="J424" s="300"/>
      <c r="K424" s="300"/>
      <c r="L424" s="306">
        <v>320</v>
      </c>
      <c r="M424" s="300"/>
      <c r="N424" s="300"/>
    </row>
    <row r="425" spans="2:14" x14ac:dyDescent="0.25">
      <c r="B425" s="300"/>
      <c r="C425" s="300"/>
      <c r="D425" s="300"/>
      <c r="E425" s="300"/>
      <c r="F425" s="300"/>
      <c r="G425" s="300"/>
      <c r="H425" s="300"/>
      <c r="I425" s="300"/>
      <c r="J425" s="300"/>
      <c r="K425" s="300"/>
      <c r="L425" s="306">
        <v>321</v>
      </c>
      <c r="M425" s="300"/>
      <c r="N425" s="300"/>
    </row>
    <row r="426" spans="2:14" x14ac:dyDescent="0.25">
      <c r="B426" s="300"/>
      <c r="C426" s="300"/>
      <c r="D426" s="300"/>
      <c r="E426" s="300"/>
      <c r="F426" s="300"/>
      <c r="G426" s="300"/>
      <c r="H426" s="300"/>
      <c r="I426" s="300"/>
      <c r="J426" s="300"/>
      <c r="K426" s="300"/>
      <c r="L426" s="306">
        <v>322</v>
      </c>
      <c r="M426" s="300"/>
      <c r="N426" s="300"/>
    </row>
    <row r="427" spans="2:14" x14ac:dyDescent="0.25">
      <c r="B427" s="300"/>
      <c r="C427" s="300"/>
      <c r="D427" s="300"/>
      <c r="E427" s="300"/>
      <c r="F427" s="300"/>
      <c r="G427" s="300"/>
      <c r="H427" s="300"/>
      <c r="I427" s="300"/>
      <c r="J427" s="300"/>
      <c r="K427" s="300"/>
      <c r="L427" s="306">
        <v>323</v>
      </c>
      <c r="M427" s="300"/>
      <c r="N427" s="300"/>
    </row>
    <row r="428" spans="2:14" x14ac:dyDescent="0.25">
      <c r="B428" s="300"/>
      <c r="C428" s="300"/>
      <c r="D428" s="300"/>
      <c r="E428" s="300"/>
      <c r="F428" s="300"/>
      <c r="G428" s="300"/>
      <c r="H428" s="300"/>
      <c r="I428" s="300"/>
      <c r="J428" s="300"/>
      <c r="K428" s="300"/>
      <c r="L428" s="306">
        <v>324</v>
      </c>
      <c r="M428" s="300"/>
      <c r="N428" s="300"/>
    </row>
    <row r="429" spans="2:14" x14ac:dyDescent="0.25">
      <c r="B429" s="300"/>
      <c r="C429" s="300"/>
      <c r="D429" s="300"/>
      <c r="E429" s="300"/>
      <c r="F429" s="300"/>
      <c r="G429" s="300"/>
      <c r="H429" s="300"/>
      <c r="I429" s="300"/>
      <c r="J429" s="300"/>
      <c r="K429" s="300"/>
      <c r="L429" s="306">
        <v>325</v>
      </c>
      <c r="M429" s="300"/>
      <c r="N429" s="300"/>
    </row>
    <row r="430" spans="2:14" x14ac:dyDescent="0.25">
      <c r="B430" s="300"/>
      <c r="C430" s="300"/>
      <c r="D430" s="300"/>
      <c r="E430" s="300"/>
      <c r="F430" s="300"/>
      <c r="G430" s="300"/>
      <c r="H430" s="300"/>
      <c r="I430" s="300"/>
      <c r="J430" s="300"/>
      <c r="K430" s="300"/>
      <c r="L430" s="306">
        <v>326</v>
      </c>
      <c r="M430" s="300"/>
      <c r="N430" s="300"/>
    </row>
    <row r="431" spans="2:14" x14ac:dyDescent="0.25">
      <c r="B431" s="300"/>
      <c r="C431" s="300"/>
      <c r="D431" s="300"/>
      <c r="E431" s="300"/>
      <c r="F431" s="300"/>
      <c r="G431" s="300"/>
      <c r="H431" s="300"/>
      <c r="I431" s="300"/>
      <c r="J431" s="300"/>
      <c r="K431" s="300"/>
      <c r="L431" s="306">
        <v>327</v>
      </c>
      <c r="M431" s="300"/>
      <c r="N431" s="300"/>
    </row>
    <row r="432" spans="2:14" x14ac:dyDescent="0.25">
      <c r="B432" s="300"/>
      <c r="C432" s="300"/>
      <c r="D432" s="300"/>
      <c r="E432" s="300"/>
      <c r="F432" s="300"/>
      <c r="G432" s="300"/>
      <c r="H432" s="300"/>
      <c r="I432" s="300"/>
      <c r="J432" s="300"/>
      <c r="K432" s="300"/>
      <c r="L432" s="306">
        <v>328</v>
      </c>
      <c r="M432" s="300"/>
      <c r="N432" s="300"/>
    </row>
    <row r="433" spans="2:14" x14ac:dyDescent="0.25">
      <c r="B433" s="300"/>
      <c r="C433" s="300"/>
      <c r="D433" s="300"/>
      <c r="E433" s="300"/>
      <c r="F433" s="300"/>
      <c r="G433" s="300"/>
      <c r="H433" s="300"/>
      <c r="I433" s="300"/>
      <c r="J433" s="300"/>
      <c r="K433" s="300"/>
      <c r="L433" s="306">
        <v>329</v>
      </c>
      <c r="M433" s="300"/>
      <c r="N433" s="300"/>
    </row>
    <row r="434" spans="2:14" x14ac:dyDescent="0.25">
      <c r="B434" s="300"/>
      <c r="C434" s="300"/>
      <c r="D434" s="300"/>
      <c r="E434" s="300"/>
      <c r="F434" s="300"/>
      <c r="G434" s="300"/>
      <c r="H434" s="300"/>
      <c r="I434" s="300"/>
      <c r="J434" s="300"/>
      <c r="K434" s="300"/>
      <c r="L434" s="306">
        <v>330</v>
      </c>
      <c r="M434" s="300"/>
      <c r="N434" s="300"/>
    </row>
    <row r="435" spans="2:14" x14ac:dyDescent="0.25">
      <c r="B435" s="300"/>
      <c r="C435" s="300"/>
      <c r="D435" s="300"/>
      <c r="E435" s="300"/>
      <c r="F435" s="300"/>
      <c r="G435" s="300"/>
      <c r="H435" s="300"/>
      <c r="I435" s="300"/>
      <c r="J435" s="300"/>
      <c r="K435" s="300"/>
      <c r="L435" s="306">
        <v>331</v>
      </c>
      <c r="M435" s="300"/>
      <c r="N435" s="300"/>
    </row>
    <row r="436" spans="2:14" x14ac:dyDescent="0.25">
      <c r="B436" s="300"/>
      <c r="C436" s="300"/>
      <c r="D436" s="300"/>
      <c r="E436" s="300"/>
      <c r="F436" s="300"/>
      <c r="G436" s="300"/>
      <c r="H436" s="300"/>
      <c r="I436" s="300"/>
      <c r="J436" s="300"/>
      <c r="K436" s="300"/>
      <c r="L436" s="306">
        <v>332</v>
      </c>
      <c r="M436" s="300"/>
      <c r="N436" s="300"/>
    </row>
    <row r="437" spans="2:14" x14ac:dyDescent="0.25">
      <c r="B437" s="300"/>
      <c r="C437" s="300"/>
      <c r="D437" s="300"/>
      <c r="E437" s="300"/>
      <c r="F437" s="300"/>
      <c r="G437" s="300"/>
      <c r="H437" s="300"/>
      <c r="I437" s="300"/>
      <c r="J437" s="300"/>
      <c r="K437" s="300"/>
      <c r="L437" s="306">
        <v>333</v>
      </c>
      <c r="M437" s="300"/>
      <c r="N437" s="300"/>
    </row>
    <row r="438" spans="2:14" x14ac:dyDescent="0.25">
      <c r="B438" s="300"/>
      <c r="C438" s="300"/>
      <c r="D438" s="300"/>
      <c r="E438" s="300"/>
      <c r="F438" s="300"/>
      <c r="G438" s="300"/>
      <c r="H438" s="300"/>
      <c r="I438" s="300"/>
      <c r="J438" s="300"/>
      <c r="K438" s="300"/>
      <c r="L438" s="306">
        <v>334</v>
      </c>
      <c r="M438" s="300"/>
      <c r="N438" s="300"/>
    </row>
    <row r="439" spans="2:14" x14ac:dyDescent="0.25">
      <c r="B439" s="300"/>
      <c r="C439" s="300"/>
      <c r="D439" s="300"/>
      <c r="E439" s="300"/>
      <c r="F439" s="300"/>
      <c r="G439" s="300"/>
      <c r="H439" s="300"/>
      <c r="I439" s="300"/>
      <c r="J439" s="300"/>
      <c r="K439" s="300"/>
      <c r="L439" s="306">
        <v>335</v>
      </c>
      <c r="M439" s="300"/>
      <c r="N439" s="300"/>
    </row>
    <row r="440" spans="2:14" x14ac:dyDescent="0.25">
      <c r="B440" s="300"/>
      <c r="C440" s="300"/>
      <c r="D440" s="300"/>
      <c r="E440" s="300"/>
      <c r="F440" s="300"/>
      <c r="G440" s="300"/>
      <c r="H440" s="300"/>
      <c r="I440" s="300"/>
      <c r="J440" s="300"/>
      <c r="K440" s="300"/>
      <c r="L440" s="306">
        <v>336</v>
      </c>
      <c r="M440" s="300"/>
      <c r="N440" s="300"/>
    </row>
    <row r="441" spans="2:14" x14ac:dyDescent="0.25">
      <c r="B441" s="300"/>
      <c r="C441" s="300"/>
      <c r="D441" s="300"/>
      <c r="E441" s="300"/>
      <c r="F441" s="300"/>
      <c r="G441" s="300"/>
      <c r="H441" s="300"/>
      <c r="I441" s="300"/>
      <c r="J441" s="300"/>
      <c r="K441" s="300"/>
      <c r="L441" s="306">
        <v>337</v>
      </c>
      <c r="M441" s="300"/>
      <c r="N441" s="300"/>
    </row>
    <row r="442" spans="2:14" x14ac:dyDescent="0.25">
      <c r="B442" s="300"/>
      <c r="C442" s="300"/>
      <c r="D442" s="300"/>
      <c r="E442" s="300"/>
      <c r="F442" s="300"/>
      <c r="G442" s="300"/>
      <c r="H442" s="300"/>
      <c r="I442" s="300"/>
      <c r="J442" s="300"/>
      <c r="K442" s="300"/>
      <c r="L442" s="306">
        <v>338</v>
      </c>
      <c r="M442" s="300"/>
      <c r="N442" s="300"/>
    </row>
    <row r="443" spans="2:14" x14ac:dyDescent="0.25">
      <c r="B443" s="300"/>
      <c r="C443" s="300"/>
      <c r="D443" s="300"/>
      <c r="E443" s="300"/>
      <c r="F443" s="300"/>
      <c r="G443" s="300"/>
      <c r="H443" s="300"/>
      <c r="I443" s="300"/>
      <c r="J443" s="300"/>
      <c r="K443" s="300"/>
      <c r="L443" s="306">
        <v>339</v>
      </c>
      <c r="M443" s="300"/>
      <c r="N443" s="300"/>
    </row>
    <row r="444" spans="2:14" x14ac:dyDescent="0.25">
      <c r="B444" s="300"/>
      <c r="C444" s="300"/>
      <c r="D444" s="300"/>
      <c r="E444" s="300"/>
      <c r="F444" s="300"/>
      <c r="G444" s="300"/>
      <c r="H444" s="300"/>
      <c r="I444" s="300"/>
      <c r="J444" s="300"/>
      <c r="K444" s="300"/>
      <c r="L444" s="306">
        <v>340</v>
      </c>
      <c r="M444" s="300"/>
      <c r="N444" s="300"/>
    </row>
    <row r="445" spans="2:14" x14ac:dyDescent="0.25">
      <c r="B445" s="300"/>
      <c r="C445" s="300"/>
      <c r="D445" s="300"/>
      <c r="E445" s="300"/>
      <c r="F445" s="300"/>
      <c r="G445" s="300"/>
      <c r="H445" s="300"/>
      <c r="I445" s="300"/>
      <c r="J445" s="300"/>
      <c r="K445" s="300"/>
      <c r="L445" s="306">
        <v>341</v>
      </c>
      <c r="M445" s="300"/>
      <c r="N445" s="300"/>
    </row>
    <row r="446" spans="2:14" x14ac:dyDescent="0.25">
      <c r="B446" s="300"/>
      <c r="C446" s="300"/>
      <c r="D446" s="300"/>
      <c r="E446" s="300"/>
      <c r="F446" s="300"/>
      <c r="G446" s="300"/>
      <c r="H446" s="300"/>
      <c r="I446" s="300"/>
      <c r="J446" s="300"/>
      <c r="K446" s="300"/>
      <c r="L446" s="306">
        <v>342</v>
      </c>
      <c r="M446" s="300"/>
      <c r="N446" s="300"/>
    </row>
    <row r="447" spans="2:14" x14ac:dyDescent="0.25">
      <c r="B447" s="300"/>
      <c r="C447" s="300"/>
      <c r="D447" s="300"/>
      <c r="E447" s="300"/>
      <c r="F447" s="300"/>
      <c r="G447" s="300"/>
      <c r="H447" s="300"/>
      <c r="I447" s="300"/>
      <c r="J447" s="300"/>
      <c r="K447" s="300"/>
      <c r="L447" s="306">
        <v>343</v>
      </c>
      <c r="M447" s="300"/>
      <c r="N447" s="300"/>
    </row>
    <row r="448" spans="2:14" x14ac:dyDescent="0.25">
      <c r="B448" s="300"/>
      <c r="C448" s="300"/>
      <c r="D448" s="300"/>
      <c r="E448" s="300"/>
      <c r="F448" s="300"/>
      <c r="G448" s="300"/>
      <c r="H448" s="300"/>
      <c r="I448" s="300"/>
      <c r="J448" s="300"/>
      <c r="K448" s="300"/>
      <c r="L448" s="306">
        <v>344</v>
      </c>
      <c r="M448" s="300"/>
      <c r="N448" s="300"/>
    </row>
    <row r="449" spans="2:14" x14ac:dyDescent="0.25">
      <c r="B449" s="300"/>
      <c r="C449" s="300"/>
      <c r="D449" s="300"/>
      <c r="E449" s="300"/>
      <c r="F449" s="300"/>
      <c r="G449" s="300"/>
      <c r="H449" s="300"/>
      <c r="I449" s="300"/>
      <c r="J449" s="300"/>
      <c r="K449" s="300"/>
      <c r="L449" s="306">
        <v>345</v>
      </c>
      <c r="M449" s="300"/>
      <c r="N449" s="300"/>
    </row>
    <row r="450" spans="2:14" x14ac:dyDescent="0.25">
      <c r="B450" s="300"/>
      <c r="C450" s="300"/>
      <c r="D450" s="300"/>
      <c r="E450" s="300"/>
      <c r="F450" s="300"/>
      <c r="G450" s="300"/>
      <c r="H450" s="300"/>
      <c r="I450" s="300"/>
      <c r="J450" s="300"/>
      <c r="K450" s="300"/>
      <c r="L450" s="306">
        <v>346</v>
      </c>
      <c r="M450" s="300"/>
      <c r="N450" s="300"/>
    </row>
    <row r="451" spans="2:14" x14ac:dyDescent="0.25">
      <c r="B451" s="300"/>
      <c r="C451" s="300"/>
      <c r="D451" s="300"/>
      <c r="E451" s="300"/>
      <c r="F451" s="300"/>
      <c r="G451" s="300"/>
      <c r="H451" s="300"/>
      <c r="I451" s="300"/>
      <c r="J451" s="300"/>
      <c r="K451" s="300"/>
      <c r="L451" s="306">
        <v>347</v>
      </c>
      <c r="M451" s="300"/>
      <c r="N451" s="300"/>
    </row>
    <row r="452" spans="2:14" x14ac:dyDescent="0.25">
      <c r="B452" s="300"/>
      <c r="C452" s="300"/>
      <c r="D452" s="300"/>
      <c r="E452" s="300"/>
      <c r="F452" s="300"/>
      <c r="G452" s="300"/>
      <c r="H452" s="300"/>
      <c r="I452" s="300"/>
      <c r="J452" s="300"/>
      <c r="K452" s="300"/>
      <c r="L452" s="306">
        <v>348</v>
      </c>
      <c r="M452" s="300"/>
      <c r="N452" s="300"/>
    </row>
    <row r="453" spans="2:14" x14ac:dyDescent="0.25">
      <c r="B453" s="300"/>
      <c r="C453" s="300"/>
      <c r="D453" s="300"/>
      <c r="E453" s="300"/>
      <c r="F453" s="300"/>
      <c r="G453" s="300"/>
      <c r="H453" s="300"/>
      <c r="I453" s="300"/>
      <c r="J453" s="300"/>
      <c r="K453" s="300"/>
      <c r="L453" s="306">
        <v>349</v>
      </c>
      <c r="M453" s="300"/>
      <c r="N453" s="300"/>
    </row>
    <row r="454" spans="2:14" x14ac:dyDescent="0.25">
      <c r="B454" s="300"/>
      <c r="C454" s="300"/>
      <c r="D454" s="300"/>
      <c r="E454" s="300"/>
      <c r="F454" s="300"/>
      <c r="G454" s="300"/>
      <c r="H454" s="300"/>
      <c r="I454" s="300"/>
      <c r="J454" s="300"/>
      <c r="K454" s="300"/>
      <c r="L454" s="306">
        <v>350</v>
      </c>
      <c r="M454" s="300"/>
      <c r="N454" s="300"/>
    </row>
    <row r="455" spans="2:14" x14ac:dyDescent="0.25">
      <c r="B455" s="300"/>
      <c r="C455" s="300"/>
      <c r="D455" s="300"/>
      <c r="E455" s="300"/>
      <c r="F455" s="300"/>
      <c r="G455" s="300"/>
      <c r="H455" s="300"/>
      <c r="I455" s="300"/>
      <c r="J455" s="300"/>
      <c r="K455" s="300"/>
      <c r="L455" s="306">
        <v>351</v>
      </c>
      <c r="M455" s="300"/>
      <c r="N455" s="300"/>
    </row>
    <row r="456" spans="2:14" x14ac:dyDescent="0.25">
      <c r="B456" s="300"/>
      <c r="C456" s="300"/>
      <c r="D456" s="300"/>
      <c r="E456" s="300"/>
      <c r="F456" s="300"/>
      <c r="G456" s="300"/>
      <c r="H456" s="300"/>
      <c r="I456" s="300"/>
      <c r="J456" s="300"/>
      <c r="K456" s="300"/>
      <c r="L456" s="306">
        <v>352</v>
      </c>
      <c r="M456" s="300"/>
      <c r="N456" s="300"/>
    </row>
    <row r="457" spans="2:14" x14ac:dyDescent="0.25">
      <c r="B457" s="300"/>
      <c r="C457" s="300"/>
      <c r="D457" s="300"/>
      <c r="E457" s="300"/>
      <c r="F457" s="300"/>
      <c r="G457" s="300"/>
      <c r="H457" s="300"/>
      <c r="I457" s="300"/>
      <c r="J457" s="300"/>
      <c r="K457" s="300"/>
      <c r="L457" s="306">
        <v>353</v>
      </c>
      <c r="M457" s="300"/>
      <c r="N457" s="300"/>
    </row>
    <row r="458" spans="2:14" x14ac:dyDescent="0.25">
      <c r="B458" s="300"/>
      <c r="C458" s="300"/>
      <c r="D458" s="300"/>
      <c r="E458" s="300"/>
      <c r="F458" s="300"/>
      <c r="G458" s="300"/>
      <c r="H458" s="300"/>
      <c r="I458" s="300"/>
      <c r="J458" s="300"/>
      <c r="K458" s="300"/>
      <c r="L458" s="306">
        <v>354</v>
      </c>
      <c r="M458" s="300"/>
      <c r="N458" s="300"/>
    </row>
    <row r="459" spans="2:14" x14ac:dyDescent="0.25">
      <c r="B459" s="300"/>
      <c r="C459" s="300"/>
      <c r="D459" s="300"/>
      <c r="E459" s="300"/>
      <c r="F459" s="300"/>
      <c r="G459" s="300"/>
      <c r="H459" s="300"/>
      <c r="I459" s="300"/>
      <c r="J459" s="300"/>
      <c r="K459" s="300"/>
      <c r="L459" s="306">
        <v>355</v>
      </c>
      <c r="M459" s="300"/>
      <c r="N459" s="300"/>
    </row>
    <row r="460" spans="2:14" x14ac:dyDescent="0.25">
      <c r="B460" s="300"/>
      <c r="C460" s="300"/>
      <c r="D460" s="300"/>
      <c r="E460" s="300"/>
      <c r="F460" s="300"/>
      <c r="G460" s="300"/>
      <c r="H460" s="300"/>
      <c r="I460" s="300"/>
      <c r="J460" s="300"/>
      <c r="K460" s="300"/>
      <c r="L460" s="306">
        <v>356</v>
      </c>
      <c r="M460" s="300"/>
      <c r="N460" s="300"/>
    </row>
    <row r="461" spans="2:14" x14ac:dyDescent="0.25">
      <c r="B461" s="300"/>
      <c r="C461" s="300"/>
      <c r="D461" s="300"/>
      <c r="E461" s="300"/>
      <c r="F461" s="300"/>
      <c r="G461" s="300"/>
      <c r="H461" s="300"/>
      <c r="I461" s="300"/>
      <c r="J461" s="300"/>
      <c r="K461" s="300"/>
      <c r="L461" s="306">
        <v>357</v>
      </c>
      <c r="M461" s="300"/>
      <c r="N461" s="300"/>
    </row>
    <row r="462" spans="2:14" x14ac:dyDescent="0.25">
      <c r="B462" s="300"/>
      <c r="C462" s="300"/>
      <c r="D462" s="300"/>
      <c r="E462" s="300"/>
      <c r="F462" s="300"/>
      <c r="G462" s="300"/>
      <c r="H462" s="300"/>
      <c r="I462" s="300"/>
      <c r="J462" s="300"/>
      <c r="K462" s="300"/>
      <c r="L462" s="306">
        <v>358</v>
      </c>
      <c r="M462" s="300"/>
      <c r="N462" s="300"/>
    </row>
    <row r="463" spans="2:14" x14ac:dyDescent="0.25">
      <c r="B463" s="300"/>
      <c r="C463" s="300"/>
      <c r="D463" s="300"/>
      <c r="E463" s="300"/>
      <c r="F463" s="300"/>
      <c r="G463" s="300"/>
      <c r="H463" s="300"/>
      <c r="I463" s="300"/>
      <c r="J463" s="300"/>
      <c r="K463" s="300"/>
      <c r="L463" s="306">
        <v>359</v>
      </c>
      <c r="M463" s="300"/>
      <c r="N463" s="300"/>
    </row>
    <row r="464" spans="2:14" x14ac:dyDescent="0.25">
      <c r="B464" s="300"/>
      <c r="C464" s="300"/>
      <c r="D464" s="300"/>
      <c r="E464" s="300"/>
      <c r="F464" s="300"/>
      <c r="G464" s="300"/>
      <c r="H464" s="300"/>
      <c r="I464" s="300"/>
      <c r="J464" s="300"/>
      <c r="K464" s="300"/>
      <c r="L464" s="306">
        <v>360</v>
      </c>
      <c r="M464" s="300"/>
      <c r="N464" s="300"/>
    </row>
    <row r="465" spans="2:14" x14ac:dyDescent="0.25">
      <c r="B465" s="300"/>
      <c r="C465" s="300"/>
      <c r="D465" s="300"/>
      <c r="E465" s="300"/>
      <c r="F465" s="300"/>
      <c r="G465" s="300"/>
      <c r="H465" s="300"/>
      <c r="I465" s="300"/>
      <c r="J465" s="300"/>
      <c r="K465" s="300"/>
      <c r="L465" s="306">
        <v>361</v>
      </c>
      <c r="M465" s="300"/>
      <c r="N465" s="300"/>
    </row>
    <row r="466" spans="2:14" x14ac:dyDescent="0.25">
      <c r="B466" s="300"/>
      <c r="C466" s="300"/>
      <c r="D466" s="300"/>
      <c r="E466" s="300"/>
      <c r="F466" s="300"/>
      <c r="G466" s="300"/>
      <c r="H466" s="300"/>
      <c r="I466" s="300"/>
      <c r="J466" s="300"/>
      <c r="K466" s="300"/>
      <c r="L466" s="306">
        <v>362</v>
      </c>
      <c r="M466" s="300"/>
      <c r="N466" s="300"/>
    </row>
    <row r="467" spans="2:14" x14ac:dyDescent="0.25">
      <c r="B467" s="300"/>
      <c r="C467" s="300"/>
      <c r="D467" s="300"/>
      <c r="E467" s="300"/>
      <c r="F467" s="300"/>
      <c r="G467" s="300"/>
      <c r="H467" s="300"/>
      <c r="I467" s="300"/>
      <c r="J467" s="300"/>
      <c r="K467" s="300"/>
      <c r="L467" s="306">
        <v>363</v>
      </c>
      <c r="M467" s="300"/>
      <c r="N467" s="300"/>
    </row>
    <row r="468" spans="2:14" x14ac:dyDescent="0.25">
      <c r="B468" s="300"/>
      <c r="C468" s="300"/>
      <c r="D468" s="300"/>
      <c r="E468" s="300"/>
      <c r="F468" s="300"/>
      <c r="G468" s="300"/>
      <c r="H468" s="300"/>
      <c r="I468" s="300"/>
      <c r="J468" s="300"/>
      <c r="K468" s="300"/>
      <c r="L468" s="306">
        <v>364</v>
      </c>
      <c r="M468" s="300"/>
      <c r="N468" s="300"/>
    </row>
    <row r="469" spans="2:14" x14ac:dyDescent="0.25">
      <c r="B469" s="300"/>
      <c r="C469" s="300"/>
      <c r="D469" s="300"/>
      <c r="E469" s="300"/>
      <c r="F469" s="300"/>
      <c r="G469" s="300"/>
      <c r="H469" s="300"/>
      <c r="I469" s="300"/>
      <c r="J469" s="300"/>
      <c r="K469" s="300"/>
      <c r="L469" s="306">
        <v>365</v>
      </c>
      <c r="M469" s="300"/>
      <c r="N469" s="300"/>
    </row>
    <row r="470" spans="2:14" x14ac:dyDescent="0.25">
      <c r="B470" s="300"/>
      <c r="C470" s="300"/>
      <c r="D470" s="300"/>
      <c r="E470" s="300"/>
      <c r="F470" s="300"/>
      <c r="G470" s="300"/>
      <c r="H470" s="300"/>
      <c r="I470" s="300"/>
      <c r="J470" s="300"/>
      <c r="K470" s="300"/>
      <c r="L470" s="306">
        <v>366</v>
      </c>
      <c r="M470" s="300"/>
      <c r="N470" s="300"/>
    </row>
    <row r="471" spans="2:14" x14ac:dyDescent="0.25">
      <c r="B471" s="300"/>
      <c r="C471" s="300"/>
      <c r="D471" s="300"/>
      <c r="E471" s="300"/>
      <c r="F471" s="300"/>
      <c r="G471" s="300"/>
      <c r="H471" s="300"/>
      <c r="I471" s="300"/>
      <c r="J471" s="300"/>
      <c r="K471" s="300"/>
      <c r="L471" s="306">
        <v>367</v>
      </c>
      <c r="M471" s="300"/>
      <c r="N471" s="300"/>
    </row>
    <row r="472" spans="2:14" x14ac:dyDescent="0.25">
      <c r="B472" s="300"/>
      <c r="C472" s="300"/>
      <c r="D472" s="300"/>
      <c r="E472" s="300"/>
      <c r="F472" s="300"/>
      <c r="G472" s="300"/>
      <c r="H472" s="300"/>
      <c r="I472" s="300"/>
      <c r="J472" s="300"/>
      <c r="K472" s="300"/>
      <c r="L472" s="306">
        <v>368</v>
      </c>
      <c r="M472" s="300"/>
      <c r="N472" s="300"/>
    </row>
    <row r="473" spans="2:14" x14ac:dyDescent="0.25">
      <c r="B473" s="300"/>
      <c r="C473" s="300"/>
      <c r="D473" s="300"/>
      <c r="E473" s="300"/>
      <c r="F473" s="300"/>
      <c r="G473" s="300"/>
      <c r="H473" s="300"/>
      <c r="I473" s="300"/>
      <c r="J473" s="300"/>
      <c r="K473" s="300"/>
      <c r="L473" s="306">
        <v>369</v>
      </c>
      <c r="M473" s="300"/>
      <c r="N473" s="300"/>
    </row>
    <row r="474" spans="2:14" x14ac:dyDescent="0.25">
      <c r="B474" s="300"/>
      <c r="C474" s="300"/>
      <c r="D474" s="300"/>
      <c r="E474" s="300"/>
      <c r="F474" s="300"/>
      <c r="G474" s="300"/>
      <c r="H474" s="300"/>
      <c r="I474" s="300"/>
      <c r="J474" s="300"/>
      <c r="K474" s="300"/>
      <c r="L474" s="306">
        <v>370</v>
      </c>
      <c r="M474" s="300"/>
      <c r="N474" s="300"/>
    </row>
    <row r="475" spans="2:14" x14ac:dyDescent="0.25">
      <c r="B475" s="300"/>
      <c r="C475" s="300"/>
      <c r="D475" s="300"/>
      <c r="E475" s="300"/>
      <c r="F475" s="300"/>
      <c r="G475" s="300"/>
      <c r="H475" s="300"/>
      <c r="I475" s="300"/>
      <c r="J475" s="300"/>
      <c r="K475" s="300"/>
      <c r="L475" s="306">
        <v>371</v>
      </c>
      <c r="M475" s="300"/>
      <c r="N475" s="300"/>
    </row>
    <row r="476" spans="2:14" x14ac:dyDescent="0.25">
      <c r="B476" s="300"/>
      <c r="C476" s="300"/>
      <c r="D476" s="300"/>
      <c r="E476" s="300"/>
      <c r="F476" s="300"/>
      <c r="G476" s="300"/>
      <c r="H476" s="300"/>
      <c r="I476" s="300"/>
      <c r="J476" s="300"/>
      <c r="K476" s="300"/>
      <c r="L476" s="306">
        <v>372</v>
      </c>
      <c r="M476" s="300"/>
      <c r="N476" s="300"/>
    </row>
    <row r="477" spans="2:14" x14ac:dyDescent="0.25">
      <c r="B477" s="300"/>
      <c r="C477" s="300"/>
      <c r="D477" s="300"/>
      <c r="E477" s="300"/>
      <c r="F477" s="300"/>
      <c r="G477" s="300"/>
      <c r="H477" s="300"/>
      <c r="I477" s="300"/>
      <c r="J477" s="300"/>
      <c r="K477" s="300"/>
      <c r="L477" s="306">
        <v>373</v>
      </c>
      <c r="M477" s="300"/>
      <c r="N477" s="300"/>
    </row>
    <row r="478" spans="2:14" x14ac:dyDescent="0.25">
      <c r="B478" s="300"/>
      <c r="C478" s="300"/>
      <c r="D478" s="300"/>
      <c r="E478" s="300"/>
      <c r="F478" s="300"/>
      <c r="G478" s="300"/>
      <c r="H478" s="300"/>
      <c r="I478" s="300"/>
      <c r="J478" s="300"/>
      <c r="K478" s="300"/>
      <c r="L478" s="306">
        <v>374</v>
      </c>
      <c r="M478" s="300"/>
      <c r="N478" s="300"/>
    </row>
    <row r="479" spans="2:14" x14ac:dyDescent="0.25">
      <c r="B479" s="300"/>
      <c r="C479" s="300"/>
      <c r="D479" s="300"/>
      <c r="E479" s="300"/>
      <c r="F479" s="300"/>
      <c r="G479" s="300"/>
      <c r="H479" s="300"/>
      <c r="I479" s="300"/>
      <c r="J479" s="300"/>
      <c r="K479" s="300"/>
      <c r="L479" s="306">
        <v>375</v>
      </c>
      <c r="M479" s="300"/>
      <c r="N479" s="300"/>
    </row>
    <row r="480" spans="2:14" x14ac:dyDescent="0.25">
      <c r="B480" s="300"/>
      <c r="C480" s="300"/>
      <c r="D480" s="300"/>
      <c r="E480" s="300"/>
      <c r="F480" s="300"/>
      <c r="G480" s="300"/>
      <c r="H480" s="300"/>
      <c r="I480" s="300"/>
      <c r="J480" s="300"/>
      <c r="K480" s="300"/>
      <c r="L480" s="306">
        <v>376</v>
      </c>
      <c r="M480" s="300"/>
      <c r="N480" s="300"/>
    </row>
    <row r="481" spans="2:14" x14ac:dyDescent="0.25">
      <c r="B481" s="300"/>
      <c r="C481" s="300"/>
      <c r="D481" s="300"/>
      <c r="E481" s="300"/>
      <c r="F481" s="300"/>
      <c r="G481" s="300"/>
      <c r="H481" s="300"/>
      <c r="I481" s="300"/>
      <c r="J481" s="300"/>
      <c r="K481" s="300"/>
      <c r="L481" s="306">
        <v>377</v>
      </c>
      <c r="M481" s="300"/>
      <c r="N481" s="300"/>
    </row>
    <row r="482" spans="2:14" x14ac:dyDescent="0.25">
      <c r="B482" s="300"/>
      <c r="C482" s="300"/>
      <c r="D482" s="300"/>
      <c r="E482" s="300"/>
      <c r="F482" s="300"/>
      <c r="G482" s="300"/>
      <c r="H482" s="300"/>
      <c r="I482" s="300"/>
      <c r="J482" s="300"/>
      <c r="K482" s="300"/>
      <c r="L482" s="306">
        <v>378</v>
      </c>
      <c r="M482" s="300"/>
      <c r="N482" s="300"/>
    </row>
    <row r="483" spans="2:14" x14ac:dyDescent="0.25">
      <c r="B483" s="300"/>
      <c r="C483" s="300"/>
      <c r="D483" s="300"/>
      <c r="E483" s="300"/>
      <c r="F483" s="300"/>
      <c r="G483" s="300"/>
      <c r="H483" s="300"/>
      <c r="I483" s="300"/>
      <c r="J483" s="300"/>
      <c r="K483" s="300"/>
      <c r="L483" s="306">
        <v>379</v>
      </c>
      <c r="M483" s="300"/>
      <c r="N483" s="300"/>
    </row>
    <row r="484" spans="2:14" x14ac:dyDescent="0.25">
      <c r="B484" s="300"/>
      <c r="C484" s="300"/>
      <c r="D484" s="300"/>
      <c r="E484" s="300"/>
      <c r="F484" s="300"/>
      <c r="G484" s="300"/>
      <c r="H484" s="300"/>
      <c r="I484" s="300"/>
      <c r="J484" s="300"/>
      <c r="K484" s="300"/>
      <c r="L484" s="306">
        <v>380</v>
      </c>
      <c r="M484" s="300"/>
      <c r="N484" s="300"/>
    </row>
    <row r="485" spans="2:14" x14ac:dyDescent="0.25">
      <c r="B485" s="300"/>
      <c r="C485" s="300"/>
      <c r="D485" s="300"/>
      <c r="E485" s="300"/>
      <c r="F485" s="300"/>
      <c r="G485" s="300"/>
      <c r="H485" s="300"/>
      <c r="I485" s="300"/>
      <c r="J485" s="300"/>
      <c r="K485" s="300"/>
      <c r="L485" s="306">
        <v>381</v>
      </c>
      <c r="M485" s="300"/>
      <c r="N485" s="300"/>
    </row>
    <row r="486" spans="2:14" x14ac:dyDescent="0.25">
      <c r="B486" s="300"/>
      <c r="C486" s="300"/>
      <c r="D486" s="300"/>
      <c r="E486" s="300"/>
      <c r="F486" s="300"/>
      <c r="G486" s="300"/>
      <c r="H486" s="300"/>
      <c r="I486" s="300"/>
      <c r="J486" s="300"/>
      <c r="K486" s="300"/>
      <c r="L486" s="306">
        <v>382</v>
      </c>
      <c r="M486" s="300"/>
      <c r="N486" s="300"/>
    </row>
    <row r="487" spans="2:14" x14ac:dyDescent="0.25">
      <c r="B487" s="300"/>
      <c r="C487" s="300"/>
      <c r="D487" s="300"/>
      <c r="E487" s="300"/>
      <c r="F487" s="300"/>
      <c r="G487" s="300"/>
      <c r="H487" s="300"/>
      <c r="I487" s="300"/>
      <c r="J487" s="300"/>
      <c r="K487" s="300"/>
      <c r="L487" s="306">
        <v>383</v>
      </c>
      <c r="M487" s="300"/>
      <c r="N487" s="300"/>
    </row>
    <row r="488" spans="2:14" x14ac:dyDescent="0.25">
      <c r="B488" s="300"/>
      <c r="C488" s="300"/>
      <c r="D488" s="300"/>
      <c r="E488" s="300"/>
      <c r="F488" s="300"/>
      <c r="G488" s="300"/>
      <c r="H488" s="300"/>
      <c r="I488" s="300"/>
      <c r="J488" s="300"/>
      <c r="K488" s="300"/>
      <c r="L488" s="306">
        <v>384</v>
      </c>
      <c r="M488" s="300"/>
      <c r="N488" s="300"/>
    </row>
    <row r="489" spans="2:14" x14ac:dyDescent="0.25">
      <c r="B489" s="300"/>
      <c r="C489" s="300"/>
      <c r="D489" s="300"/>
      <c r="E489" s="300"/>
      <c r="F489" s="300"/>
      <c r="G489" s="300"/>
      <c r="H489" s="300"/>
      <c r="I489" s="300"/>
      <c r="J489" s="300"/>
      <c r="K489" s="300"/>
      <c r="L489" s="306">
        <v>385</v>
      </c>
      <c r="M489" s="300"/>
      <c r="N489" s="300"/>
    </row>
    <row r="490" spans="2:14" x14ac:dyDescent="0.25">
      <c r="B490" s="300"/>
      <c r="C490" s="300"/>
      <c r="D490" s="300"/>
      <c r="E490" s="300"/>
      <c r="F490" s="300"/>
      <c r="G490" s="300"/>
      <c r="H490" s="300"/>
      <c r="I490" s="300"/>
      <c r="J490" s="300"/>
      <c r="K490" s="300"/>
      <c r="L490" s="306">
        <v>386</v>
      </c>
      <c r="M490" s="300"/>
      <c r="N490" s="300"/>
    </row>
    <row r="491" spans="2:14" x14ac:dyDescent="0.25">
      <c r="B491" s="300"/>
      <c r="C491" s="300"/>
      <c r="D491" s="300"/>
      <c r="E491" s="300"/>
      <c r="F491" s="300"/>
      <c r="G491" s="300"/>
      <c r="H491" s="300"/>
      <c r="I491" s="300"/>
      <c r="J491" s="300"/>
      <c r="K491" s="300"/>
      <c r="L491" s="306">
        <v>387</v>
      </c>
      <c r="M491" s="300"/>
      <c r="N491" s="300"/>
    </row>
    <row r="492" spans="2:14" x14ac:dyDescent="0.25">
      <c r="B492" s="300"/>
      <c r="C492" s="300"/>
      <c r="D492" s="300"/>
      <c r="E492" s="300"/>
      <c r="F492" s="300"/>
      <c r="G492" s="300"/>
      <c r="H492" s="300"/>
      <c r="I492" s="300"/>
      <c r="J492" s="300"/>
      <c r="K492" s="300"/>
      <c r="L492" s="306">
        <v>388</v>
      </c>
      <c r="M492" s="300"/>
      <c r="N492" s="300"/>
    </row>
    <row r="493" spans="2:14" x14ac:dyDescent="0.25">
      <c r="B493" s="300"/>
      <c r="C493" s="300"/>
      <c r="D493" s="300"/>
      <c r="E493" s="300"/>
      <c r="F493" s="300"/>
      <c r="G493" s="300"/>
      <c r="H493" s="300"/>
      <c r="I493" s="300"/>
      <c r="J493" s="300"/>
      <c r="K493" s="300"/>
      <c r="L493" s="306">
        <v>389</v>
      </c>
      <c r="M493" s="300"/>
      <c r="N493" s="300"/>
    </row>
    <row r="494" spans="2:14" x14ac:dyDescent="0.25">
      <c r="B494" s="300"/>
      <c r="C494" s="300"/>
      <c r="D494" s="300"/>
      <c r="E494" s="300"/>
      <c r="F494" s="300"/>
      <c r="G494" s="300"/>
      <c r="H494" s="300"/>
      <c r="I494" s="300"/>
      <c r="J494" s="300"/>
      <c r="K494" s="300"/>
      <c r="L494" s="306">
        <v>390</v>
      </c>
      <c r="M494" s="300"/>
      <c r="N494" s="300"/>
    </row>
    <row r="495" spans="2:14" x14ac:dyDescent="0.25">
      <c r="B495" s="300"/>
      <c r="C495" s="300"/>
      <c r="D495" s="300"/>
      <c r="E495" s="300"/>
      <c r="F495" s="300"/>
      <c r="G495" s="300"/>
      <c r="H495" s="300"/>
      <c r="I495" s="300"/>
      <c r="J495" s="300"/>
      <c r="K495" s="300"/>
      <c r="L495" s="306">
        <v>391</v>
      </c>
      <c r="M495" s="300"/>
      <c r="N495" s="300"/>
    </row>
    <row r="496" spans="2:14" x14ac:dyDescent="0.25">
      <c r="B496" s="300"/>
      <c r="C496" s="300"/>
      <c r="D496" s="300"/>
      <c r="E496" s="300"/>
      <c r="F496" s="300"/>
      <c r="G496" s="300"/>
      <c r="H496" s="300"/>
      <c r="I496" s="300"/>
      <c r="J496" s="300"/>
      <c r="K496" s="300"/>
      <c r="L496" s="306">
        <v>392</v>
      </c>
      <c r="M496" s="300"/>
      <c r="N496" s="300"/>
    </row>
    <row r="497" spans="2:14" x14ac:dyDescent="0.25">
      <c r="B497" s="300"/>
      <c r="C497" s="300"/>
      <c r="D497" s="300"/>
      <c r="E497" s="300"/>
      <c r="F497" s="300"/>
      <c r="G497" s="300"/>
      <c r="H497" s="300"/>
      <c r="I497" s="300"/>
      <c r="J497" s="300"/>
      <c r="K497" s="300"/>
      <c r="L497" s="306">
        <v>393</v>
      </c>
      <c r="M497" s="300"/>
      <c r="N497" s="300"/>
    </row>
    <row r="498" spans="2:14" x14ac:dyDescent="0.25">
      <c r="B498" s="300"/>
      <c r="C498" s="300"/>
      <c r="D498" s="300"/>
      <c r="E498" s="300"/>
      <c r="F498" s="300"/>
      <c r="G498" s="300"/>
      <c r="H498" s="300"/>
      <c r="I498" s="300"/>
      <c r="J498" s="300"/>
      <c r="K498" s="300"/>
      <c r="L498" s="306">
        <v>394</v>
      </c>
      <c r="M498" s="300"/>
      <c r="N498" s="300"/>
    </row>
    <row r="499" spans="2:14" x14ac:dyDescent="0.25">
      <c r="B499" s="300"/>
      <c r="C499" s="300"/>
      <c r="D499" s="300"/>
      <c r="E499" s="300"/>
      <c r="F499" s="300"/>
      <c r="G499" s="300"/>
      <c r="H499" s="300"/>
      <c r="I499" s="300"/>
      <c r="J499" s="300"/>
      <c r="K499" s="300"/>
      <c r="L499" s="306">
        <v>395</v>
      </c>
      <c r="M499" s="300"/>
      <c r="N499" s="300"/>
    </row>
    <row r="500" spans="2:14" x14ac:dyDescent="0.25">
      <c r="B500" s="300"/>
      <c r="C500" s="300"/>
      <c r="D500" s="300"/>
      <c r="E500" s="300"/>
      <c r="F500" s="300"/>
      <c r="G500" s="300"/>
      <c r="H500" s="300"/>
      <c r="I500" s="300"/>
      <c r="J500" s="300"/>
      <c r="K500" s="300"/>
      <c r="L500" s="306">
        <v>396</v>
      </c>
      <c r="M500" s="300"/>
      <c r="N500" s="300"/>
    </row>
    <row r="501" spans="2:14" x14ac:dyDescent="0.25">
      <c r="B501" s="300"/>
      <c r="C501" s="300"/>
      <c r="D501" s="300"/>
      <c r="E501" s="300"/>
      <c r="F501" s="300"/>
      <c r="G501" s="300"/>
      <c r="H501" s="300"/>
      <c r="I501" s="300"/>
      <c r="J501" s="300"/>
      <c r="K501" s="300"/>
      <c r="L501" s="306">
        <v>397</v>
      </c>
      <c r="M501" s="300"/>
      <c r="N501" s="300"/>
    </row>
    <row r="502" spans="2:14" x14ac:dyDescent="0.25">
      <c r="B502" s="300"/>
      <c r="C502" s="300"/>
      <c r="D502" s="300"/>
      <c r="E502" s="300"/>
      <c r="F502" s="300"/>
      <c r="G502" s="300"/>
      <c r="H502" s="300"/>
      <c r="I502" s="300"/>
      <c r="J502" s="300"/>
      <c r="K502" s="300"/>
      <c r="L502" s="306">
        <v>398</v>
      </c>
      <c r="M502" s="300"/>
      <c r="N502" s="300"/>
    </row>
    <row r="503" spans="2:14" x14ac:dyDescent="0.25">
      <c r="B503" s="300"/>
      <c r="C503" s="300"/>
      <c r="D503" s="300"/>
      <c r="E503" s="300"/>
      <c r="F503" s="300"/>
      <c r="G503" s="300"/>
      <c r="H503" s="300"/>
      <c r="I503" s="300"/>
      <c r="J503" s="300"/>
      <c r="K503" s="300"/>
      <c r="L503" s="306">
        <v>399</v>
      </c>
      <c r="M503" s="300"/>
      <c r="N503" s="300"/>
    </row>
    <row r="504" spans="2:14" x14ac:dyDescent="0.25">
      <c r="B504" s="300"/>
      <c r="C504" s="300"/>
      <c r="D504" s="300"/>
      <c r="E504" s="300"/>
      <c r="F504" s="300"/>
      <c r="G504" s="300"/>
      <c r="H504" s="300"/>
      <c r="I504" s="300"/>
      <c r="J504" s="300"/>
      <c r="K504" s="300"/>
      <c r="L504" s="306">
        <v>400</v>
      </c>
      <c r="M504" s="300"/>
      <c r="N504" s="300"/>
    </row>
    <row r="505" spans="2:14" x14ac:dyDescent="0.25">
      <c r="B505" s="300"/>
      <c r="C505" s="300"/>
      <c r="D505" s="300"/>
      <c r="E505" s="300"/>
      <c r="F505" s="300"/>
      <c r="G505" s="300"/>
      <c r="H505" s="300"/>
      <c r="I505" s="300"/>
      <c r="J505" s="300"/>
      <c r="K505" s="300"/>
      <c r="L505" s="306">
        <v>401</v>
      </c>
      <c r="M505" s="300"/>
      <c r="N505" s="300"/>
    </row>
    <row r="506" spans="2:14" x14ac:dyDescent="0.25">
      <c r="B506" s="300"/>
      <c r="C506" s="300"/>
      <c r="D506" s="300"/>
      <c r="E506" s="300"/>
      <c r="F506" s="300"/>
      <c r="G506" s="300"/>
      <c r="H506" s="300"/>
      <c r="I506" s="300"/>
      <c r="J506" s="300"/>
      <c r="K506" s="300"/>
      <c r="L506" s="306">
        <v>402</v>
      </c>
      <c r="M506" s="300"/>
      <c r="N506" s="300"/>
    </row>
    <row r="507" spans="2:14" x14ac:dyDescent="0.25">
      <c r="B507" s="300"/>
      <c r="C507" s="300"/>
      <c r="D507" s="300"/>
      <c r="E507" s="300"/>
      <c r="F507" s="300"/>
      <c r="G507" s="300"/>
      <c r="H507" s="300"/>
      <c r="I507" s="300"/>
      <c r="J507" s="300"/>
      <c r="K507" s="300"/>
      <c r="L507" s="306">
        <v>403</v>
      </c>
      <c r="M507" s="300"/>
      <c r="N507" s="300"/>
    </row>
    <row r="508" spans="2:14" x14ac:dyDescent="0.25">
      <c r="B508" s="300"/>
      <c r="C508" s="300"/>
      <c r="D508" s="300"/>
      <c r="E508" s="300"/>
      <c r="F508" s="300"/>
      <c r="G508" s="300"/>
      <c r="H508" s="300"/>
      <c r="I508" s="300"/>
      <c r="J508" s="300"/>
      <c r="K508" s="300"/>
      <c r="L508" s="306">
        <v>404</v>
      </c>
      <c r="M508" s="300"/>
      <c r="N508" s="300"/>
    </row>
    <row r="509" spans="2:14" x14ac:dyDescent="0.25">
      <c r="B509" s="300"/>
      <c r="C509" s="300"/>
      <c r="D509" s="300"/>
      <c r="E509" s="300"/>
      <c r="F509" s="300"/>
      <c r="G509" s="300"/>
      <c r="H509" s="300"/>
      <c r="I509" s="300"/>
      <c r="J509" s="300"/>
      <c r="K509" s="300"/>
      <c r="L509" s="306">
        <v>405</v>
      </c>
      <c r="M509" s="300"/>
      <c r="N509" s="300"/>
    </row>
    <row r="510" spans="2:14" x14ac:dyDescent="0.25">
      <c r="B510" s="300"/>
      <c r="C510" s="300"/>
      <c r="D510" s="300"/>
      <c r="E510" s="300"/>
      <c r="F510" s="300"/>
      <c r="G510" s="300"/>
      <c r="H510" s="300"/>
      <c r="I510" s="300"/>
      <c r="J510" s="300"/>
      <c r="K510" s="300"/>
      <c r="L510" s="306">
        <v>406</v>
      </c>
      <c r="M510" s="300"/>
      <c r="N510" s="300"/>
    </row>
    <row r="511" spans="2:14" x14ac:dyDescent="0.25">
      <c r="B511" s="300"/>
      <c r="C511" s="300"/>
      <c r="D511" s="300"/>
      <c r="E511" s="300"/>
      <c r="F511" s="300"/>
      <c r="G511" s="300"/>
      <c r="H511" s="300"/>
      <c r="I511" s="300"/>
      <c r="J511" s="300"/>
      <c r="K511" s="300"/>
      <c r="L511" s="306">
        <v>407</v>
      </c>
      <c r="M511" s="300"/>
      <c r="N511" s="300"/>
    </row>
    <row r="512" spans="2:14" x14ac:dyDescent="0.25">
      <c r="B512" s="300"/>
      <c r="C512" s="300"/>
      <c r="D512" s="300"/>
      <c r="E512" s="300"/>
      <c r="F512" s="300"/>
      <c r="G512" s="300"/>
      <c r="H512" s="300"/>
      <c r="I512" s="300"/>
      <c r="J512" s="300"/>
      <c r="K512" s="300"/>
      <c r="L512" s="306">
        <v>408</v>
      </c>
      <c r="M512" s="300"/>
      <c r="N512" s="300"/>
    </row>
    <row r="513" spans="2:14" x14ac:dyDescent="0.25">
      <c r="B513" s="300"/>
      <c r="C513" s="300"/>
      <c r="D513" s="300"/>
      <c r="E513" s="300"/>
      <c r="F513" s="300"/>
      <c r="G513" s="300"/>
      <c r="H513" s="300"/>
      <c r="I513" s="300"/>
      <c r="J513" s="300"/>
      <c r="K513" s="300"/>
      <c r="L513" s="306">
        <v>409</v>
      </c>
      <c r="M513" s="300"/>
      <c r="N513" s="300"/>
    </row>
    <row r="514" spans="2:14" x14ac:dyDescent="0.25">
      <c r="B514" s="300"/>
      <c r="C514" s="300"/>
      <c r="D514" s="300"/>
      <c r="E514" s="300"/>
      <c r="F514" s="300"/>
      <c r="G514" s="300"/>
      <c r="H514" s="300"/>
      <c r="I514" s="300"/>
      <c r="J514" s="300"/>
      <c r="K514" s="300"/>
      <c r="L514" s="306">
        <v>410</v>
      </c>
      <c r="M514" s="300"/>
      <c r="N514" s="300"/>
    </row>
    <row r="515" spans="2:14" x14ac:dyDescent="0.25">
      <c r="B515" s="300"/>
      <c r="C515" s="300"/>
      <c r="D515" s="300"/>
      <c r="E515" s="300"/>
      <c r="F515" s="300"/>
      <c r="G515" s="300"/>
      <c r="H515" s="300"/>
      <c r="I515" s="300"/>
      <c r="J515" s="300"/>
      <c r="K515" s="300"/>
      <c r="L515" s="306">
        <v>411</v>
      </c>
      <c r="M515" s="300"/>
      <c r="N515" s="300"/>
    </row>
    <row r="516" spans="2:14" x14ac:dyDescent="0.25">
      <c r="B516" s="300"/>
      <c r="C516" s="300"/>
      <c r="D516" s="300"/>
      <c r="E516" s="300"/>
      <c r="F516" s="300"/>
      <c r="G516" s="300"/>
      <c r="H516" s="300"/>
      <c r="I516" s="300"/>
      <c r="J516" s="300"/>
      <c r="K516" s="300"/>
      <c r="L516" s="306">
        <v>412</v>
      </c>
      <c r="M516" s="300"/>
      <c r="N516" s="300"/>
    </row>
    <row r="517" spans="2:14" x14ac:dyDescent="0.25">
      <c r="B517" s="300"/>
      <c r="C517" s="300"/>
      <c r="D517" s="300"/>
      <c r="E517" s="300"/>
      <c r="F517" s="300"/>
      <c r="G517" s="300"/>
      <c r="H517" s="300"/>
      <c r="I517" s="300"/>
      <c r="J517" s="300"/>
      <c r="K517" s="300"/>
      <c r="L517" s="306">
        <v>413</v>
      </c>
      <c r="M517" s="300"/>
      <c r="N517" s="300"/>
    </row>
    <row r="518" spans="2:14" x14ac:dyDescent="0.25">
      <c r="B518" s="300"/>
      <c r="C518" s="300"/>
      <c r="D518" s="300"/>
      <c r="E518" s="300"/>
      <c r="F518" s="300"/>
      <c r="G518" s="300"/>
      <c r="H518" s="300"/>
      <c r="I518" s="300"/>
      <c r="J518" s="300"/>
      <c r="K518" s="300"/>
      <c r="L518" s="306">
        <v>414</v>
      </c>
      <c r="M518" s="300"/>
      <c r="N518" s="300"/>
    </row>
    <row r="519" spans="2:14" x14ac:dyDescent="0.25">
      <c r="B519" s="300"/>
      <c r="C519" s="300"/>
      <c r="D519" s="300"/>
      <c r="E519" s="300"/>
      <c r="F519" s="300"/>
      <c r="G519" s="300"/>
      <c r="H519" s="300"/>
      <c r="I519" s="300"/>
      <c r="J519" s="300"/>
      <c r="K519" s="300"/>
      <c r="L519" s="306">
        <v>415</v>
      </c>
      <c r="M519" s="300"/>
      <c r="N519" s="300"/>
    </row>
    <row r="520" spans="2:14" x14ac:dyDescent="0.25">
      <c r="B520" s="300"/>
      <c r="C520" s="300"/>
      <c r="D520" s="300"/>
      <c r="E520" s="300"/>
      <c r="F520" s="300"/>
      <c r="G520" s="300"/>
      <c r="H520" s="300"/>
      <c r="I520" s="300"/>
      <c r="J520" s="300"/>
      <c r="K520" s="300"/>
      <c r="L520" s="306">
        <v>416</v>
      </c>
      <c r="M520" s="300"/>
      <c r="N520" s="300"/>
    </row>
    <row r="521" spans="2:14" x14ac:dyDescent="0.25">
      <c r="B521" s="300"/>
      <c r="C521" s="300"/>
      <c r="D521" s="300"/>
      <c r="E521" s="300"/>
      <c r="F521" s="300"/>
      <c r="G521" s="300"/>
      <c r="H521" s="300"/>
      <c r="I521" s="300"/>
      <c r="J521" s="300"/>
      <c r="K521" s="300"/>
      <c r="L521" s="306">
        <v>417</v>
      </c>
      <c r="M521" s="300"/>
      <c r="N521" s="300"/>
    </row>
    <row r="522" spans="2:14" x14ac:dyDescent="0.25">
      <c r="B522" s="300"/>
      <c r="C522" s="300"/>
      <c r="D522" s="300"/>
      <c r="E522" s="300"/>
      <c r="F522" s="300"/>
      <c r="G522" s="300"/>
      <c r="H522" s="300"/>
      <c r="I522" s="300"/>
      <c r="J522" s="300"/>
      <c r="K522" s="300"/>
      <c r="L522" s="306">
        <v>418</v>
      </c>
      <c r="M522" s="300"/>
      <c r="N522" s="300"/>
    </row>
    <row r="523" spans="2:14" x14ac:dyDescent="0.25">
      <c r="B523" s="300"/>
      <c r="C523" s="300"/>
      <c r="D523" s="300"/>
      <c r="E523" s="300"/>
      <c r="F523" s="300"/>
      <c r="G523" s="300"/>
      <c r="H523" s="300"/>
      <c r="I523" s="300"/>
      <c r="J523" s="300"/>
      <c r="K523" s="300"/>
      <c r="L523" s="306">
        <v>419</v>
      </c>
      <c r="M523" s="300"/>
      <c r="N523" s="300"/>
    </row>
    <row r="524" spans="2:14" x14ac:dyDescent="0.25">
      <c r="B524" s="300"/>
      <c r="C524" s="300"/>
      <c r="D524" s="300"/>
      <c r="E524" s="300"/>
      <c r="F524" s="300"/>
      <c r="G524" s="300"/>
      <c r="H524" s="300"/>
      <c r="I524" s="300"/>
      <c r="J524" s="300"/>
      <c r="K524" s="300"/>
      <c r="L524" s="306">
        <v>420</v>
      </c>
      <c r="M524" s="300"/>
      <c r="N524" s="300"/>
    </row>
    <row r="525" spans="2:14" x14ac:dyDescent="0.25">
      <c r="B525" s="300"/>
      <c r="C525" s="300"/>
      <c r="D525" s="300"/>
      <c r="E525" s="300"/>
      <c r="F525" s="300"/>
      <c r="G525" s="300"/>
      <c r="H525" s="300"/>
      <c r="I525" s="300"/>
      <c r="J525" s="300"/>
      <c r="K525" s="300"/>
      <c r="L525" s="306">
        <v>421</v>
      </c>
      <c r="M525" s="300"/>
      <c r="N525" s="300"/>
    </row>
    <row r="526" spans="2:14" x14ac:dyDescent="0.25">
      <c r="B526" s="300"/>
      <c r="C526" s="300"/>
      <c r="D526" s="300"/>
      <c r="E526" s="300"/>
      <c r="F526" s="300"/>
      <c r="G526" s="300"/>
      <c r="H526" s="300"/>
      <c r="I526" s="300"/>
      <c r="J526" s="300"/>
      <c r="K526" s="300"/>
      <c r="L526" s="306">
        <v>422</v>
      </c>
      <c r="M526" s="300"/>
      <c r="N526" s="300"/>
    </row>
    <row r="527" spans="2:14" x14ac:dyDescent="0.25">
      <c r="B527" s="300"/>
      <c r="C527" s="300"/>
      <c r="D527" s="300"/>
      <c r="E527" s="300"/>
      <c r="F527" s="300"/>
      <c r="G527" s="300"/>
      <c r="H527" s="300"/>
      <c r="I527" s="300"/>
      <c r="J527" s="300"/>
      <c r="K527" s="300"/>
      <c r="L527" s="306">
        <v>423</v>
      </c>
      <c r="M527" s="300"/>
      <c r="N527" s="300"/>
    </row>
    <row r="528" spans="2:14" x14ac:dyDescent="0.25">
      <c r="B528" s="300"/>
      <c r="C528" s="300"/>
      <c r="D528" s="300"/>
      <c r="E528" s="300"/>
      <c r="F528" s="300"/>
      <c r="G528" s="300"/>
      <c r="H528" s="300"/>
      <c r="I528" s="300"/>
      <c r="J528" s="300"/>
      <c r="K528" s="300"/>
      <c r="L528" s="306">
        <v>424</v>
      </c>
      <c r="M528" s="300"/>
      <c r="N528" s="300"/>
    </row>
    <row r="529" spans="2:14" x14ac:dyDescent="0.25">
      <c r="B529" s="300"/>
      <c r="C529" s="300"/>
      <c r="D529" s="300"/>
      <c r="E529" s="300"/>
      <c r="F529" s="300"/>
      <c r="G529" s="300"/>
      <c r="H529" s="300"/>
      <c r="I529" s="300"/>
      <c r="J529" s="300"/>
      <c r="K529" s="300"/>
      <c r="L529" s="306">
        <v>425</v>
      </c>
      <c r="M529" s="300"/>
      <c r="N529" s="300"/>
    </row>
    <row r="530" spans="2:14" x14ac:dyDescent="0.25">
      <c r="B530" s="300"/>
      <c r="C530" s="300"/>
      <c r="D530" s="300"/>
      <c r="E530" s="300"/>
      <c r="F530" s="300"/>
      <c r="G530" s="300"/>
      <c r="H530" s="300"/>
      <c r="I530" s="300"/>
      <c r="J530" s="300"/>
      <c r="K530" s="300"/>
      <c r="L530" s="306">
        <v>426</v>
      </c>
      <c r="M530" s="300"/>
      <c r="N530" s="300"/>
    </row>
    <row r="531" spans="2:14" x14ac:dyDescent="0.25">
      <c r="B531" s="300"/>
      <c r="C531" s="300"/>
      <c r="D531" s="300"/>
      <c r="E531" s="300"/>
      <c r="F531" s="300"/>
      <c r="G531" s="300"/>
      <c r="H531" s="300"/>
      <c r="I531" s="300"/>
      <c r="J531" s="300"/>
      <c r="K531" s="300"/>
      <c r="L531" s="306">
        <v>427</v>
      </c>
      <c r="M531" s="300"/>
      <c r="N531" s="300"/>
    </row>
    <row r="532" spans="2:14" x14ac:dyDescent="0.25">
      <c r="B532" s="300"/>
      <c r="C532" s="300"/>
      <c r="D532" s="300"/>
      <c r="E532" s="300"/>
      <c r="F532" s="300"/>
      <c r="G532" s="300"/>
      <c r="H532" s="300"/>
      <c r="I532" s="300"/>
      <c r="J532" s="300"/>
      <c r="K532" s="300"/>
      <c r="L532" s="306">
        <v>428</v>
      </c>
      <c r="M532" s="300"/>
      <c r="N532" s="300"/>
    </row>
    <row r="533" spans="2:14" x14ac:dyDescent="0.25">
      <c r="B533" s="300"/>
      <c r="C533" s="300"/>
      <c r="D533" s="300"/>
      <c r="E533" s="300"/>
      <c r="F533" s="300"/>
      <c r="G533" s="300"/>
      <c r="H533" s="300"/>
      <c r="I533" s="300"/>
      <c r="J533" s="300"/>
      <c r="K533" s="300"/>
      <c r="L533" s="306">
        <v>429</v>
      </c>
      <c r="M533" s="300"/>
      <c r="N533" s="300"/>
    </row>
    <row r="534" spans="2:14" x14ac:dyDescent="0.25">
      <c r="B534" s="300"/>
      <c r="C534" s="300"/>
      <c r="D534" s="300"/>
      <c r="E534" s="300"/>
      <c r="F534" s="300"/>
      <c r="G534" s="300"/>
      <c r="H534" s="300"/>
      <c r="I534" s="300"/>
      <c r="J534" s="300"/>
      <c r="K534" s="300"/>
      <c r="L534" s="306">
        <v>430</v>
      </c>
      <c r="M534" s="300"/>
      <c r="N534" s="300"/>
    </row>
    <row r="535" spans="2:14" x14ac:dyDescent="0.25">
      <c r="B535" s="300"/>
      <c r="C535" s="300"/>
      <c r="D535" s="300"/>
      <c r="E535" s="300"/>
      <c r="F535" s="300"/>
      <c r="G535" s="300"/>
      <c r="H535" s="300"/>
      <c r="I535" s="300"/>
      <c r="J535" s="300"/>
      <c r="K535" s="300"/>
      <c r="L535" s="306">
        <v>431</v>
      </c>
      <c r="M535" s="300"/>
      <c r="N535" s="300"/>
    </row>
    <row r="536" spans="2:14" x14ac:dyDescent="0.25">
      <c r="B536" s="300"/>
      <c r="C536" s="300"/>
      <c r="D536" s="300"/>
      <c r="E536" s="300"/>
      <c r="F536" s="300"/>
      <c r="G536" s="300"/>
      <c r="H536" s="300"/>
      <c r="I536" s="300"/>
      <c r="J536" s="300"/>
      <c r="K536" s="300"/>
      <c r="L536" s="306">
        <v>432</v>
      </c>
      <c r="M536" s="300"/>
      <c r="N536" s="300"/>
    </row>
    <row r="537" spans="2:14" x14ac:dyDescent="0.25">
      <c r="B537" s="300"/>
      <c r="C537" s="300"/>
      <c r="D537" s="300"/>
      <c r="E537" s="300"/>
      <c r="F537" s="300"/>
      <c r="G537" s="300"/>
      <c r="H537" s="300"/>
      <c r="I537" s="300"/>
      <c r="J537" s="300"/>
      <c r="K537" s="300"/>
      <c r="L537" s="306">
        <v>433</v>
      </c>
      <c r="M537" s="300"/>
      <c r="N537" s="300"/>
    </row>
    <row r="538" spans="2:14" x14ac:dyDescent="0.25">
      <c r="B538" s="300"/>
      <c r="C538" s="300"/>
      <c r="D538" s="300"/>
      <c r="E538" s="300"/>
      <c r="F538" s="300"/>
      <c r="G538" s="300"/>
      <c r="H538" s="300"/>
      <c r="I538" s="300"/>
      <c r="J538" s="300"/>
      <c r="K538" s="300"/>
      <c r="L538" s="306">
        <v>434</v>
      </c>
      <c r="M538" s="300"/>
      <c r="N538" s="300"/>
    </row>
    <row r="539" spans="2:14" x14ac:dyDescent="0.25">
      <c r="B539" s="300"/>
      <c r="C539" s="300"/>
      <c r="D539" s="300"/>
      <c r="E539" s="300"/>
      <c r="F539" s="300"/>
      <c r="G539" s="300"/>
      <c r="H539" s="300"/>
      <c r="I539" s="300"/>
      <c r="J539" s="300"/>
      <c r="K539" s="300"/>
      <c r="L539" s="306">
        <v>435</v>
      </c>
      <c r="M539" s="300"/>
      <c r="N539" s="300"/>
    </row>
    <row r="540" spans="2:14" x14ac:dyDescent="0.25">
      <c r="B540" s="300"/>
      <c r="C540" s="300"/>
      <c r="D540" s="300"/>
      <c r="E540" s="300"/>
      <c r="F540" s="300"/>
      <c r="G540" s="300"/>
      <c r="H540" s="300"/>
      <c r="I540" s="300"/>
      <c r="J540" s="300"/>
      <c r="K540" s="300"/>
      <c r="L540" s="306">
        <v>436</v>
      </c>
      <c r="M540" s="300"/>
      <c r="N540" s="300"/>
    </row>
    <row r="541" spans="2:14" x14ac:dyDescent="0.25">
      <c r="B541" s="300"/>
      <c r="C541" s="300"/>
      <c r="D541" s="300"/>
      <c r="E541" s="300"/>
      <c r="F541" s="300"/>
      <c r="G541" s="300"/>
      <c r="H541" s="300"/>
      <c r="I541" s="300"/>
      <c r="J541" s="300"/>
      <c r="K541" s="300"/>
      <c r="L541" s="306">
        <v>437</v>
      </c>
      <c r="M541" s="300"/>
      <c r="N541" s="300"/>
    </row>
    <row r="542" spans="2:14" x14ac:dyDescent="0.25">
      <c r="B542" s="300"/>
      <c r="C542" s="300"/>
      <c r="D542" s="300"/>
      <c r="E542" s="300"/>
      <c r="F542" s="300"/>
      <c r="G542" s="300"/>
      <c r="H542" s="300"/>
      <c r="I542" s="300"/>
      <c r="J542" s="300"/>
      <c r="K542" s="300"/>
      <c r="L542" s="306">
        <v>438</v>
      </c>
      <c r="M542" s="300"/>
      <c r="N542" s="300"/>
    </row>
    <row r="543" spans="2:14" x14ac:dyDescent="0.25">
      <c r="B543" s="300"/>
      <c r="C543" s="300"/>
      <c r="D543" s="300"/>
      <c r="E543" s="300"/>
      <c r="F543" s="300"/>
      <c r="G543" s="300"/>
      <c r="H543" s="300"/>
      <c r="I543" s="300"/>
      <c r="J543" s="300"/>
      <c r="K543" s="300"/>
      <c r="L543" s="306">
        <v>439</v>
      </c>
      <c r="M543" s="300"/>
      <c r="N543" s="300"/>
    </row>
    <row r="544" spans="2:14" x14ac:dyDescent="0.25">
      <c r="B544" s="300"/>
      <c r="C544" s="300"/>
      <c r="D544" s="300"/>
      <c r="E544" s="300"/>
      <c r="F544" s="300"/>
      <c r="G544" s="300"/>
      <c r="H544" s="300"/>
      <c r="I544" s="300"/>
      <c r="J544" s="300"/>
      <c r="K544" s="300"/>
      <c r="L544" s="306">
        <v>440</v>
      </c>
      <c r="M544" s="300"/>
      <c r="N544" s="300"/>
    </row>
    <row r="545" spans="2:14" x14ac:dyDescent="0.25">
      <c r="B545" s="300"/>
      <c r="C545" s="300"/>
      <c r="D545" s="300"/>
      <c r="E545" s="300"/>
      <c r="F545" s="300"/>
      <c r="G545" s="300"/>
      <c r="H545" s="300"/>
      <c r="I545" s="300"/>
      <c r="J545" s="300"/>
      <c r="K545" s="300"/>
      <c r="L545" s="306">
        <v>441</v>
      </c>
      <c r="M545" s="300"/>
      <c r="N545" s="300"/>
    </row>
    <row r="546" spans="2:14" x14ac:dyDescent="0.25">
      <c r="B546" s="300"/>
      <c r="C546" s="300"/>
      <c r="D546" s="300"/>
      <c r="E546" s="300"/>
      <c r="F546" s="300"/>
      <c r="G546" s="300"/>
      <c r="H546" s="300"/>
      <c r="I546" s="300"/>
      <c r="J546" s="300"/>
      <c r="K546" s="300"/>
      <c r="L546" s="306">
        <v>442</v>
      </c>
      <c r="M546" s="300"/>
      <c r="N546" s="300"/>
    </row>
    <row r="547" spans="2:14" x14ac:dyDescent="0.25">
      <c r="B547" s="300"/>
      <c r="C547" s="300"/>
      <c r="D547" s="300"/>
      <c r="E547" s="300"/>
      <c r="F547" s="300"/>
      <c r="G547" s="300"/>
      <c r="H547" s="300"/>
      <c r="I547" s="300"/>
      <c r="J547" s="300"/>
      <c r="K547" s="300"/>
      <c r="L547" s="306">
        <v>443</v>
      </c>
      <c r="M547" s="300"/>
      <c r="N547" s="300"/>
    </row>
    <row r="548" spans="2:14" x14ac:dyDescent="0.25">
      <c r="B548" s="300"/>
      <c r="C548" s="300"/>
      <c r="D548" s="300"/>
      <c r="E548" s="300"/>
      <c r="F548" s="300"/>
      <c r="G548" s="300"/>
      <c r="H548" s="300"/>
      <c r="I548" s="300"/>
      <c r="J548" s="300"/>
      <c r="K548" s="300"/>
      <c r="L548" s="306">
        <v>444</v>
      </c>
      <c r="M548" s="300"/>
      <c r="N548" s="300"/>
    </row>
    <row r="549" spans="2:14" x14ac:dyDescent="0.25">
      <c r="B549" s="300"/>
      <c r="C549" s="300"/>
      <c r="D549" s="300"/>
      <c r="E549" s="300"/>
      <c r="F549" s="300"/>
      <c r="G549" s="300"/>
      <c r="H549" s="300"/>
      <c r="I549" s="300"/>
      <c r="J549" s="300"/>
      <c r="K549" s="300"/>
      <c r="L549" s="306">
        <v>445</v>
      </c>
      <c r="M549" s="300"/>
      <c r="N549" s="300"/>
    </row>
    <row r="550" spans="2:14" x14ac:dyDescent="0.25">
      <c r="B550" s="300"/>
      <c r="C550" s="300"/>
      <c r="D550" s="300"/>
      <c r="E550" s="300"/>
      <c r="F550" s="300"/>
      <c r="G550" s="300"/>
      <c r="H550" s="300"/>
      <c r="I550" s="300"/>
      <c r="J550" s="300"/>
      <c r="K550" s="300"/>
      <c r="L550" s="306">
        <v>446</v>
      </c>
      <c r="M550" s="300"/>
      <c r="N550" s="300"/>
    </row>
    <row r="551" spans="2:14" x14ac:dyDescent="0.25">
      <c r="B551" s="300"/>
      <c r="C551" s="300"/>
      <c r="D551" s="300"/>
      <c r="E551" s="300"/>
      <c r="F551" s="300"/>
      <c r="G551" s="300"/>
      <c r="H551" s="300"/>
      <c r="I551" s="300"/>
      <c r="J551" s="300"/>
      <c r="K551" s="300"/>
      <c r="L551" s="306">
        <v>447</v>
      </c>
      <c r="M551" s="300"/>
      <c r="N551" s="300"/>
    </row>
    <row r="552" spans="2:14" x14ac:dyDescent="0.25">
      <c r="B552" s="300"/>
      <c r="C552" s="300"/>
      <c r="D552" s="300"/>
      <c r="E552" s="300"/>
      <c r="F552" s="300"/>
      <c r="G552" s="300"/>
      <c r="H552" s="300"/>
      <c r="I552" s="300"/>
      <c r="J552" s="300"/>
      <c r="K552" s="300"/>
      <c r="L552" s="306">
        <v>448</v>
      </c>
      <c r="M552" s="300"/>
      <c r="N552" s="300"/>
    </row>
    <row r="553" spans="2:14" x14ac:dyDescent="0.25">
      <c r="B553" s="300"/>
      <c r="C553" s="300"/>
      <c r="D553" s="300"/>
      <c r="E553" s="300"/>
      <c r="F553" s="300"/>
      <c r="G553" s="300"/>
      <c r="H553" s="300"/>
      <c r="I553" s="300"/>
      <c r="J553" s="300"/>
      <c r="K553" s="300"/>
      <c r="L553" s="306">
        <v>449</v>
      </c>
      <c r="M553" s="300"/>
      <c r="N553" s="300"/>
    </row>
    <row r="554" spans="2:14" x14ac:dyDescent="0.25">
      <c r="B554" s="300"/>
      <c r="C554" s="300"/>
      <c r="D554" s="300"/>
      <c r="E554" s="300"/>
      <c r="F554" s="300"/>
      <c r="G554" s="300"/>
      <c r="H554" s="300"/>
      <c r="I554" s="300"/>
      <c r="J554" s="300"/>
      <c r="K554" s="300"/>
      <c r="L554" s="306">
        <v>450</v>
      </c>
      <c r="M554" s="300"/>
      <c r="N554" s="300"/>
    </row>
    <row r="555" spans="2:14" x14ac:dyDescent="0.25">
      <c r="B555" s="300"/>
      <c r="C555" s="300"/>
      <c r="D555" s="300"/>
      <c r="E555" s="300"/>
      <c r="F555" s="300"/>
      <c r="G555" s="300"/>
      <c r="H555" s="300"/>
      <c r="I555" s="300"/>
      <c r="J555" s="300"/>
      <c r="K555" s="300"/>
      <c r="L555" s="306">
        <v>451</v>
      </c>
      <c r="M555" s="300"/>
      <c r="N555" s="300"/>
    </row>
    <row r="556" spans="2:14" x14ac:dyDescent="0.25">
      <c r="B556" s="300"/>
      <c r="C556" s="300"/>
      <c r="D556" s="300"/>
      <c r="E556" s="300"/>
      <c r="F556" s="300"/>
      <c r="G556" s="300"/>
      <c r="H556" s="300"/>
      <c r="I556" s="300"/>
      <c r="J556" s="300"/>
      <c r="K556" s="300"/>
      <c r="L556" s="306">
        <v>452</v>
      </c>
      <c r="M556" s="300"/>
      <c r="N556" s="300"/>
    </row>
    <row r="557" spans="2:14" x14ac:dyDescent="0.25">
      <c r="B557" s="300"/>
      <c r="C557" s="300"/>
      <c r="D557" s="300"/>
      <c r="E557" s="300"/>
      <c r="F557" s="300"/>
      <c r="G557" s="300"/>
      <c r="H557" s="300"/>
      <c r="I557" s="300"/>
      <c r="J557" s="300"/>
      <c r="K557" s="300"/>
      <c r="L557" s="306">
        <v>453</v>
      </c>
      <c r="M557" s="300"/>
      <c r="N557" s="300"/>
    </row>
    <row r="558" spans="2:14" x14ac:dyDescent="0.25">
      <c r="B558" s="300"/>
      <c r="C558" s="300"/>
      <c r="D558" s="300"/>
      <c r="E558" s="300"/>
      <c r="F558" s="300"/>
      <c r="G558" s="300"/>
      <c r="H558" s="300"/>
      <c r="I558" s="300"/>
      <c r="J558" s="300"/>
      <c r="K558" s="300"/>
      <c r="L558" s="306">
        <v>454</v>
      </c>
      <c r="M558" s="300"/>
      <c r="N558" s="300"/>
    </row>
    <row r="559" spans="2:14" x14ac:dyDescent="0.25">
      <c r="B559" s="300"/>
      <c r="C559" s="300"/>
      <c r="D559" s="300"/>
      <c r="E559" s="300"/>
      <c r="F559" s="300"/>
      <c r="G559" s="300"/>
      <c r="H559" s="300"/>
      <c r="I559" s="300"/>
      <c r="J559" s="300"/>
      <c r="K559" s="300"/>
      <c r="L559" s="306">
        <v>455</v>
      </c>
      <c r="M559" s="300"/>
      <c r="N559" s="300"/>
    </row>
    <row r="560" spans="2:14" x14ac:dyDescent="0.25">
      <c r="B560" s="300"/>
      <c r="C560" s="300"/>
      <c r="D560" s="300"/>
      <c r="E560" s="300"/>
      <c r="F560" s="300"/>
      <c r="G560" s="300"/>
      <c r="H560" s="300"/>
      <c r="I560" s="300"/>
      <c r="J560" s="300"/>
      <c r="K560" s="300"/>
      <c r="L560" s="306">
        <v>456</v>
      </c>
      <c r="M560" s="300"/>
      <c r="N560" s="300"/>
    </row>
    <row r="561" spans="2:14" x14ac:dyDescent="0.25">
      <c r="B561" s="300"/>
      <c r="C561" s="300"/>
      <c r="D561" s="300"/>
      <c r="E561" s="300"/>
      <c r="F561" s="300"/>
      <c r="G561" s="300"/>
      <c r="H561" s="300"/>
      <c r="I561" s="300"/>
      <c r="J561" s="300"/>
      <c r="K561" s="300"/>
      <c r="L561" s="306">
        <v>457</v>
      </c>
      <c r="M561" s="300"/>
      <c r="N561" s="300"/>
    </row>
    <row r="562" spans="2:14" x14ac:dyDescent="0.25">
      <c r="B562" s="300"/>
      <c r="C562" s="300"/>
      <c r="D562" s="300"/>
      <c r="E562" s="300"/>
      <c r="F562" s="300"/>
      <c r="G562" s="300"/>
      <c r="H562" s="300"/>
      <c r="I562" s="300"/>
      <c r="J562" s="300"/>
      <c r="K562" s="300"/>
      <c r="L562" s="306">
        <v>458</v>
      </c>
      <c r="M562" s="300"/>
      <c r="N562" s="300"/>
    </row>
    <row r="563" spans="2:14" x14ac:dyDescent="0.25">
      <c r="B563" s="300"/>
      <c r="C563" s="300"/>
      <c r="D563" s="300"/>
      <c r="E563" s="300"/>
      <c r="F563" s="300"/>
      <c r="G563" s="300"/>
      <c r="H563" s="300"/>
      <c r="I563" s="300"/>
      <c r="J563" s="300"/>
      <c r="K563" s="300"/>
      <c r="L563" s="306">
        <v>459</v>
      </c>
      <c r="M563" s="300"/>
      <c r="N563" s="300"/>
    </row>
    <row r="564" spans="2:14" x14ac:dyDescent="0.25">
      <c r="B564" s="300"/>
      <c r="C564" s="300"/>
      <c r="D564" s="300"/>
      <c r="E564" s="300"/>
      <c r="F564" s="300"/>
      <c r="G564" s="300"/>
      <c r="H564" s="300"/>
      <c r="I564" s="300"/>
      <c r="J564" s="300"/>
      <c r="K564" s="300"/>
      <c r="L564" s="306">
        <v>460</v>
      </c>
      <c r="M564" s="300"/>
      <c r="N564" s="300"/>
    </row>
    <row r="565" spans="2:14" x14ac:dyDescent="0.25">
      <c r="B565" s="300"/>
      <c r="C565" s="300"/>
      <c r="D565" s="300"/>
      <c r="E565" s="300"/>
      <c r="F565" s="300"/>
      <c r="G565" s="300"/>
      <c r="H565" s="300"/>
      <c r="I565" s="300"/>
      <c r="J565" s="300"/>
      <c r="K565" s="300"/>
      <c r="L565" s="306">
        <v>461</v>
      </c>
      <c r="M565" s="300"/>
      <c r="N565" s="300"/>
    </row>
    <row r="566" spans="2:14" x14ac:dyDescent="0.25">
      <c r="B566" s="300"/>
      <c r="C566" s="300"/>
      <c r="D566" s="300"/>
      <c r="E566" s="300"/>
      <c r="F566" s="300"/>
      <c r="G566" s="300"/>
      <c r="H566" s="300"/>
      <c r="I566" s="300"/>
      <c r="J566" s="300"/>
      <c r="K566" s="300"/>
      <c r="L566" s="306">
        <v>462</v>
      </c>
      <c r="M566" s="300"/>
      <c r="N566" s="300"/>
    </row>
    <row r="567" spans="2:14" x14ac:dyDescent="0.25">
      <c r="B567" s="300"/>
      <c r="C567" s="300"/>
      <c r="D567" s="300"/>
      <c r="E567" s="300"/>
      <c r="F567" s="300"/>
      <c r="G567" s="300"/>
      <c r="H567" s="300"/>
      <c r="I567" s="300"/>
      <c r="J567" s="300"/>
      <c r="K567" s="300"/>
      <c r="L567" s="306">
        <v>463</v>
      </c>
      <c r="M567" s="300"/>
      <c r="N567" s="300"/>
    </row>
    <row r="568" spans="2:14" x14ac:dyDescent="0.25">
      <c r="B568" s="300"/>
      <c r="C568" s="300"/>
      <c r="D568" s="300"/>
      <c r="E568" s="300"/>
      <c r="F568" s="300"/>
      <c r="G568" s="300"/>
      <c r="H568" s="300"/>
      <c r="I568" s="300"/>
      <c r="J568" s="300"/>
      <c r="K568" s="300"/>
      <c r="L568" s="306">
        <v>464</v>
      </c>
      <c r="M568" s="300"/>
      <c r="N568" s="300"/>
    </row>
    <row r="569" spans="2:14" x14ac:dyDescent="0.25">
      <c r="B569" s="300"/>
      <c r="C569" s="300"/>
      <c r="D569" s="300"/>
      <c r="E569" s="300"/>
      <c r="F569" s="300"/>
      <c r="G569" s="300"/>
      <c r="H569" s="300"/>
      <c r="I569" s="300"/>
      <c r="J569" s="300"/>
      <c r="K569" s="300"/>
      <c r="L569" s="306">
        <v>465</v>
      </c>
      <c r="M569" s="300"/>
      <c r="N569" s="300"/>
    </row>
    <row r="570" spans="2:14" x14ac:dyDescent="0.25">
      <c r="B570" s="300"/>
      <c r="C570" s="300"/>
      <c r="D570" s="300"/>
      <c r="E570" s="300"/>
      <c r="F570" s="300"/>
      <c r="G570" s="300"/>
      <c r="H570" s="300"/>
      <c r="I570" s="300"/>
      <c r="J570" s="300"/>
      <c r="K570" s="300"/>
      <c r="L570" s="306">
        <v>466</v>
      </c>
      <c r="M570" s="300"/>
      <c r="N570" s="300"/>
    </row>
    <row r="571" spans="2:14" x14ac:dyDescent="0.25">
      <c r="B571" s="300"/>
      <c r="C571" s="300"/>
      <c r="D571" s="300"/>
      <c r="E571" s="300"/>
      <c r="F571" s="300"/>
      <c r="G571" s="300"/>
      <c r="H571" s="300"/>
      <c r="I571" s="300"/>
      <c r="J571" s="300"/>
      <c r="K571" s="300"/>
      <c r="L571" s="306">
        <v>467</v>
      </c>
      <c r="M571" s="300"/>
      <c r="N571" s="300"/>
    </row>
    <row r="572" spans="2:14" x14ac:dyDescent="0.25">
      <c r="B572" s="300"/>
      <c r="C572" s="300"/>
      <c r="D572" s="300"/>
      <c r="E572" s="300"/>
      <c r="F572" s="300"/>
      <c r="G572" s="300"/>
      <c r="H572" s="300"/>
      <c r="I572" s="300"/>
      <c r="J572" s="300"/>
      <c r="K572" s="300"/>
      <c r="L572" s="306">
        <v>468</v>
      </c>
      <c r="M572" s="300"/>
      <c r="N572" s="300"/>
    </row>
    <row r="573" spans="2:14" x14ac:dyDescent="0.25">
      <c r="B573" s="300"/>
      <c r="C573" s="300"/>
      <c r="D573" s="300"/>
      <c r="E573" s="300"/>
      <c r="F573" s="300"/>
      <c r="G573" s="300"/>
      <c r="H573" s="300"/>
      <c r="I573" s="300"/>
      <c r="J573" s="300"/>
      <c r="K573" s="300"/>
      <c r="L573" s="306">
        <v>469</v>
      </c>
      <c r="M573" s="300"/>
      <c r="N573" s="300"/>
    </row>
    <row r="574" spans="2:14" x14ac:dyDescent="0.25">
      <c r="B574" s="300"/>
      <c r="C574" s="300"/>
      <c r="D574" s="300"/>
      <c r="E574" s="300"/>
      <c r="F574" s="300"/>
      <c r="G574" s="300"/>
      <c r="H574" s="300"/>
      <c r="I574" s="300"/>
      <c r="J574" s="300"/>
      <c r="K574" s="300"/>
      <c r="L574" s="306">
        <v>470</v>
      </c>
      <c r="M574" s="300"/>
      <c r="N574" s="300"/>
    </row>
    <row r="575" spans="2:14" x14ac:dyDescent="0.25">
      <c r="B575" s="300"/>
      <c r="C575" s="300"/>
      <c r="D575" s="300"/>
      <c r="E575" s="300"/>
      <c r="F575" s="300"/>
      <c r="G575" s="300"/>
      <c r="H575" s="300"/>
      <c r="I575" s="300"/>
      <c r="J575" s="300"/>
      <c r="K575" s="300"/>
      <c r="L575" s="306">
        <v>471</v>
      </c>
      <c r="M575" s="300"/>
      <c r="N575" s="300"/>
    </row>
    <row r="576" spans="2:14" x14ac:dyDescent="0.25">
      <c r="B576" s="300"/>
      <c r="C576" s="300"/>
      <c r="D576" s="300"/>
      <c r="E576" s="300"/>
      <c r="F576" s="300"/>
      <c r="G576" s="300"/>
      <c r="H576" s="300"/>
      <c r="I576" s="300"/>
      <c r="J576" s="300"/>
      <c r="K576" s="300"/>
      <c r="L576" s="306">
        <v>472</v>
      </c>
      <c r="M576" s="300"/>
      <c r="N576" s="300"/>
    </row>
    <row r="577" spans="2:14" x14ac:dyDescent="0.25">
      <c r="B577" s="300"/>
      <c r="C577" s="300"/>
      <c r="D577" s="300"/>
      <c r="E577" s="300"/>
      <c r="F577" s="300"/>
      <c r="G577" s="300"/>
      <c r="H577" s="300"/>
      <c r="I577" s="300"/>
      <c r="J577" s="300"/>
      <c r="K577" s="300"/>
      <c r="L577" s="306">
        <v>473</v>
      </c>
      <c r="M577" s="300"/>
      <c r="N577" s="300"/>
    </row>
    <row r="578" spans="2:14" x14ac:dyDescent="0.25">
      <c r="B578" s="300"/>
      <c r="C578" s="300"/>
      <c r="D578" s="300"/>
      <c r="E578" s="300"/>
      <c r="F578" s="300"/>
      <c r="G578" s="300"/>
      <c r="H578" s="300"/>
      <c r="I578" s="300"/>
      <c r="J578" s="300"/>
      <c r="K578" s="300"/>
      <c r="L578" s="306">
        <v>474</v>
      </c>
      <c r="M578" s="300"/>
      <c r="N578" s="300"/>
    </row>
    <row r="579" spans="2:14" x14ac:dyDescent="0.25">
      <c r="B579" s="300"/>
      <c r="C579" s="300"/>
      <c r="D579" s="300"/>
      <c r="E579" s="300"/>
      <c r="F579" s="300"/>
      <c r="G579" s="300"/>
      <c r="H579" s="300"/>
      <c r="I579" s="300"/>
      <c r="J579" s="300"/>
      <c r="K579" s="300"/>
      <c r="L579" s="306">
        <v>475</v>
      </c>
      <c r="M579" s="300"/>
      <c r="N579" s="300"/>
    </row>
    <row r="580" spans="2:14" x14ac:dyDescent="0.25">
      <c r="B580" s="300"/>
      <c r="C580" s="300"/>
      <c r="D580" s="300"/>
      <c r="E580" s="300"/>
      <c r="F580" s="300"/>
      <c r="G580" s="300"/>
      <c r="H580" s="300"/>
      <c r="I580" s="300"/>
      <c r="J580" s="300"/>
      <c r="K580" s="300"/>
      <c r="L580" s="306">
        <v>476</v>
      </c>
      <c r="M580" s="300"/>
      <c r="N580" s="300"/>
    </row>
    <row r="581" spans="2:14" x14ac:dyDescent="0.25">
      <c r="B581" s="300"/>
      <c r="C581" s="300"/>
      <c r="D581" s="300"/>
      <c r="E581" s="300"/>
      <c r="F581" s="300"/>
      <c r="G581" s="300"/>
      <c r="H581" s="300"/>
      <c r="I581" s="300"/>
      <c r="J581" s="300"/>
      <c r="K581" s="300"/>
      <c r="L581" s="306">
        <v>477</v>
      </c>
      <c r="M581" s="300"/>
      <c r="N581" s="300"/>
    </row>
    <row r="582" spans="2:14" x14ac:dyDescent="0.25">
      <c r="B582" s="300"/>
      <c r="C582" s="300"/>
      <c r="D582" s="300"/>
      <c r="E582" s="300"/>
      <c r="F582" s="300"/>
      <c r="G582" s="300"/>
      <c r="H582" s="300"/>
      <c r="I582" s="300"/>
      <c r="J582" s="300"/>
      <c r="K582" s="300"/>
      <c r="L582" s="306">
        <v>478</v>
      </c>
      <c r="M582" s="300"/>
      <c r="N582" s="300"/>
    </row>
    <row r="583" spans="2:14" x14ac:dyDescent="0.25">
      <c r="B583" s="300"/>
      <c r="C583" s="300"/>
      <c r="D583" s="300"/>
      <c r="E583" s="300"/>
      <c r="F583" s="300"/>
      <c r="G583" s="300"/>
      <c r="H583" s="300"/>
      <c r="I583" s="300"/>
      <c r="J583" s="300"/>
      <c r="K583" s="300"/>
      <c r="L583" s="306">
        <v>479</v>
      </c>
      <c r="M583" s="300"/>
      <c r="N583" s="300"/>
    </row>
    <row r="584" spans="2:14" x14ac:dyDescent="0.25">
      <c r="B584" s="300"/>
      <c r="C584" s="300"/>
      <c r="D584" s="300"/>
      <c r="E584" s="300"/>
      <c r="F584" s="300"/>
      <c r="G584" s="300"/>
      <c r="H584" s="300"/>
      <c r="I584" s="300"/>
      <c r="J584" s="300"/>
      <c r="K584" s="300"/>
      <c r="L584" s="306">
        <v>480</v>
      </c>
      <c r="M584" s="300"/>
      <c r="N584" s="300"/>
    </row>
    <row r="585" spans="2:14" x14ac:dyDescent="0.25">
      <c r="B585" s="300"/>
      <c r="C585" s="300"/>
      <c r="D585" s="300"/>
      <c r="E585" s="300"/>
      <c r="F585" s="300"/>
      <c r="G585" s="300"/>
      <c r="H585" s="300"/>
      <c r="I585" s="300"/>
      <c r="J585" s="300"/>
      <c r="K585" s="300"/>
      <c r="L585" s="306">
        <v>481</v>
      </c>
      <c r="M585" s="300"/>
      <c r="N585" s="300"/>
    </row>
    <row r="586" spans="2:14" x14ac:dyDescent="0.25">
      <c r="B586" s="300"/>
      <c r="C586" s="300"/>
      <c r="D586" s="300"/>
      <c r="E586" s="300"/>
      <c r="F586" s="300"/>
      <c r="G586" s="300"/>
      <c r="H586" s="300"/>
      <c r="I586" s="300"/>
      <c r="J586" s="300"/>
      <c r="K586" s="300"/>
      <c r="L586" s="306">
        <v>482</v>
      </c>
      <c r="M586" s="300"/>
      <c r="N586" s="300"/>
    </row>
    <row r="587" spans="2:14" x14ac:dyDescent="0.25">
      <c r="B587" s="300"/>
      <c r="C587" s="300"/>
      <c r="D587" s="300"/>
      <c r="E587" s="300"/>
      <c r="F587" s="300"/>
      <c r="G587" s="300"/>
      <c r="H587" s="300"/>
      <c r="I587" s="300"/>
      <c r="J587" s="300"/>
      <c r="K587" s="300"/>
      <c r="L587" s="306">
        <v>483</v>
      </c>
      <c r="M587" s="300"/>
      <c r="N587" s="300"/>
    </row>
    <row r="588" spans="2:14" x14ac:dyDescent="0.25">
      <c r="B588" s="300"/>
      <c r="C588" s="300"/>
      <c r="D588" s="300"/>
      <c r="E588" s="300"/>
      <c r="F588" s="300"/>
      <c r="G588" s="300"/>
      <c r="H588" s="300"/>
      <c r="I588" s="300"/>
      <c r="J588" s="300"/>
      <c r="K588" s="300"/>
      <c r="L588" s="306">
        <v>484</v>
      </c>
      <c r="M588" s="300"/>
      <c r="N588" s="300"/>
    </row>
    <row r="589" spans="2:14" x14ac:dyDescent="0.25">
      <c r="B589" s="300"/>
      <c r="C589" s="300"/>
      <c r="D589" s="300"/>
      <c r="E589" s="300"/>
      <c r="F589" s="300"/>
      <c r="G589" s="300"/>
      <c r="H589" s="300"/>
      <c r="I589" s="300"/>
      <c r="J589" s="300"/>
      <c r="K589" s="300"/>
      <c r="L589" s="306">
        <v>485</v>
      </c>
      <c r="M589" s="300"/>
      <c r="N589" s="300"/>
    </row>
    <row r="590" spans="2:14" x14ac:dyDescent="0.25">
      <c r="B590" s="300"/>
      <c r="C590" s="300"/>
      <c r="D590" s="300"/>
      <c r="E590" s="300"/>
      <c r="F590" s="300"/>
      <c r="G590" s="300"/>
      <c r="H590" s="300"/>
      <c r="I590" s="300"/>
      <c r="J590" s="300"/>
      <c r="K590" s="300"/>
      <c r="L590" s="306">
        <v>486</v>
      </c>
      <c r="M590" s="300"/>
      <c r="N590" s="300"/>
    </row>
    <row r="591" spans="2:14" x14ac:dyDescent="0.25">
      <c r="B591" s="300"/>
      <c r="C591" s="300"/>
      <c r="D591" s="300"/>
      <c r="E591" s="300"/>
      <c r="F591" s="300"/>
      <c r="G591" s="300"/>
      <c r="H591" s="300"/>
      <c r="I591" s="300"/>
      <c r="J591" s="300"/>
      <c r="K591" s="300"/>
      <c r="L591" s="306">
        <v>487</v>
      </c>
      <c r="M591" s="300"/>
      <c r="N591" s="300"/>
    </row>
    <row r="592" spans="2:14" x14ac:dyDescent="0.25">
      <c r="B592" s="300"/>
      <c r="C592" s="300"/>
      <c r="D592" s="300"/>
      <c r="E592" s="300"/>
      <c r="F592" s="300"/>
      <c r="G592" s="300"/>
      <c r="H592" s="300"/>
      <c r="I592" s="300"/>
      <c r="J592" s="300"/>
      <c r="K592" s="300"/>
      <c r="L592" s="306">
        <v>488</v>
      </c>
      <c r="M592" s="300"/>
      <c r="N592" s="300"/>
    </row>
    <row r="593" spans="2:14" x14ac:dyDescent="0.25">
      <c r="B593" s="300"/>
      <c r="C593" s="300"/>
      <c r="D593" s="300"/>
      <c r="E593" s="300"/>
      <c r="F593" s="300"/>
      <c r="G593" s="300"/>
      <c r="H593" s="300"/>
      <c r="I593" s="300"/>
      <c r="J593" s="300"/>
      <c r="K593" s="300"/>
      <c r="L593" s="306">
        <v>489</v>
      </c>
      <c r="M593" s="300"/>
      <c r="N593" s="300"/>
    </row>
    <row r="594" spans="2:14" x14ac:dyDescent="0.25">
      <c r="B594" s="300"/>
      <c r="C594" s="300"/>
      <c r="D594" s="300"/>
      <c r="E594" s="300"/>
      <c r="F594" s="300"/>
      <c r="G594" s="300"/>
      <c r="H594" s="300"/>
      <c r="I594" s="300"/>
      <c r="J594" s="300"/>
      <c r="K594" s="300"/>
      <c r="L594" s="306">
        <v>490</v>
      </c>
      <c r="M594" s="300"/>
      <c r="N594" s="300"/>
    </row>
    <row r="595" spans="2:14" x14ac:dyDescent="0.25">
      <c r="B595" s="300"/>
      <c r="C595" s="300"/>
      <c r="D595" s="300"/>
      <c r="E595" s="300"/>
      <c r="F595" s="300"/>
      <c r="G595" s="300"/>
      <c r="H595" s="300"/>
      <c r="I595" s="300"/>
      <c r="J595" s="300"/>
      <c r="K595" s="300"/>
      <c r="L595" s="306">
        <v>491</v>
      </c>
      <c r="M595" s="300"/>
      <c r="N595" s="300"/>
    </row>
    <row r="596" spans="2:14" x14ac:dyDescent="0.25">
      <c r="B596" s="300"/>
      <c r="C596" s="300"/>
      <c r="D596" s="300"/>
      <c r="E596" s="300"/>
      <c r="F596" s="300"/>
      <c r="G596" s="300"/>
      <c r="H596" s="300"/>
      <c r="I596" s="300"/>
      <c r="J596" s="300"/>
      <c r="K596" s="300"/>
      <c r="L596" s="306">
        <v>492</v>
      </c>
      <c r="M596" s="300"/>
      <c r="N596" s="300"/>
    </row>
    <row r="597" spans="2:14" x14ac:dyDescent="0.25">
      <c r="B597" s="300"/>
      <c r="C597" s="300"/>
      <c r="D597" s="300"/>
      <c r="E597" s="300"/>
      <c r="F597" s="300"/>
      <c r="G597" s="300"/>
      <c r="H597" s="300"/>
      <c r="I597" s="300"/>
      <c r="J597" s="300"/>
      <c r="K597" s="300"/>
      <c r="L597" s="306">
        <v>493</v>
      </c>
      <c r="M597" s="300"/>
      <c r="N597" s="300"/>
    </row>
    <row r="598" spans="2:14" x14ac:dyDescent="0.25">
      <c r="B598" s="300"/>
      <c r="C598" s="300"/>
      <c r="D598" s="300"/>
      <c r="E598" s="300"/>
      <c r="F598" s="300"/>
      <c r="G598" s="300"/>
      <c r="H598" s="300"/>
      <c r="I598" s="300"/>
      <c r="J598" s="300"/>
      <c r="K598" s="300"/>
      <c r="L598" s="306">
        <v>494</v>
      </c>
      <c r="M598" s="300"/>
      <c r="N598" s="300"/>
    </row>
    <row r="599" spans="2:14" x14ac:dyDescent="0.25">
      <c r="B599" s="300"/>
      <c r="C599" s="300"/>
      <c r="D599" s="300"/>
      <c r="E599" s="300"/>
      <c r="F599" s="300"/>
      <c r="G599" s="300"/>
      <c r="H599" s="300"/>
      <c r="I599" s="300"/>
      <c r="J599" s="300"/>
      <c r="K599" s="300"/>
      <c r="L599" s="306">
        <v>495</v>
      </c>
      <c r="M599" s="300"/>
      <c r="N599" s="300"/>
    </row>
    <row r="600" spans="2:14" x14ac:dyDescent="0.25">
      <c r="B600" s="300"/>
      <c r="C600" s="300"/>
      <c r="D600" s="300"/>
      <c r="E600" s="300"/>
      <c r="F600" s="300"/>
      <c r="G600" s="300"/>
      <c r="H600" s="300"/>
      <c r="I600" s="300"/>
      <c r="J600" s="300"/>
      <c r="K600" s="300"/>
      <c r="L600" s="306">
        <v>496</v>
      </c>
      <c r="M600" s="300"/>
      <c r="N600" s="300"/>
    </row>
    <row r="601" spans="2:14" x14ac:dyDescent="0.25">
      <c r="B601" s="300"/>
      <c r="C601" s="300"/>
      <c r="D601" s="300"/>
      <c r="E601" s="300"/>
      <c r="F601" s="300"/>
      <c r="G601" s="300"/>
      <c r="H601" s="300"/>
      <c r="I601" s="300"/>
      <c r="J601" s="300"/>
      <c r="K601" s="300"/>
      <c r="L601" s="306">
        <v>497</v>
      </c>
      <c r="M601" s="300"/>
      <c r="N601" s="300"/>
    </row>
    <row r="602" spans="2:14" x14ac:dyDescent="0.25">
      <c r="B602" s="300"/>
      <c r="C602" s="300"/>
      <c r="D602" s="300"/>
      <c r="E602" s="300"/>
      <c r="F602" s="300"/>
      <c r="G602" s="300"/>
      <c r="H602" s="300"/>
      <c r="I602" s="300"/>
      <c r="J602" s="300"/>
      <c r="K602" s="300"/>
      <c r="L602" s="306">
        <v>498</v>
      </c>
      <c r="M602" s="300"/>
      <c r="N602" s="300"/>
    </row>
    <row r="603" spans="2:14" x14ac:dyDescent="0.25">
      <c r="B603" s="300"/>
      <c r="C603" s="300"/>
      <c r="D603" s="300"/>
      <c r="E603" s="300"/>
      <c r="F603" s="300"/>
      <c r="G603" s="300"/>
      <c r="H603" s="300"/>
      <c r="I603" s="300"/>
      <c r="J603" s="300"/>
      <c r="K603" s="300"/>
      <c r="L603" s="306">
        <v>499</v>
      </c>
      <c r="M603" s="300"/>
      <c r="N603" s="300"/>
    </row>
    <row r="604" spans="2:14" x14ac:dyDescent="0.25">
      <c r="B604" s="300"/>
      <c r="C604" s="300"/>
      <c r="D604" s="300"/>
      <c r="E604" s="300"/>
      <c r="F604" s="300"/>
      <c r="G604" s="300"/>
      <c r="H604" s="300"/>
      <c r="I604" s="300"/>
      <c r="J604" s="300"/>
      <c r="K604" s="300"/>
      <c r="L604" s="306">
        <v>500</v>
      </c>
      <c r="M604" s="300"/>
      <c r="N604" s="300"/>
    </row>
  </sheetData>
  <sheetProtection algorithmName="SHA-512" hashValue="tbACLZayr4thnRIGGxVgLWfsbiQHw1hKqYfSt7BfwTN8HC2VmNpMGGtHSd2jjfXBK02nAxN8XIKYULmxzxQ9iQ==" saltValue="F/ZknsrF4VvkbdO0cBabcQ==" spinCount="100000" sheet="1" objects="1" scenarios="1" selectLockedCells="1" selectUnlockedCells="1"/>
  <mergeCells count="26">
    <mergeCell ref="E61:F61"/>
    <mergeCell ref="E62:F62"/>
    <mergeCell ref="E63:F63"/>
    <mergeCell ref="Q36:Q37"/>
    <mergeCell ref="R36:R37"/>
    <mergeCell ref="S36:S37"/>
    <mergeCell ref="T36:T37"/>
    <mergeCell ref="E57:F57"/>
    <mergeCell ref="E59:F59"/>
    <mergeCell ref="D34:F34"/>
    <mergeCell ref="I34:J34"/>
    <mergeCell ref="M35:Q35"/>
    <mergeCell ref="R35:T35"/>
    <mergeCell ref="A36:I36"/>
    <mergeCell ref="L36:L37"/>
    <mergeCell ref="M36:M37"/>
    <mergeCell ref="N36:N37"/>
    <mergeCell ref="O36:O37"/>
    <mergeCell ref="P36:P37"/>
    <mergeCell ref="A1:F3"/>
    <mergeCell ref="H1:J2"/>
    <mergeCell ref="K4:M4"/>
    <mergeCell ref="B10:C10"/>
    <mergeCell ref="D31:G33"/>
    <mergeCell ref="I31:L32"/>
    <mergeCell ref="I33:J33"/>
  </mergeCells>
  <conditionalFormatting sqref="D31:G33">
    <cfRule type="containsText" dxfId="11" priority="12" operator="containsText" text="NOT">
      <formula>NOT(ISERROR(SEARCH("NOT",D31)))</formula>
    </cfRule>
    <cfRule type="colorScale" priority="13">
      <colorScale>
        <cfvo type="formula" val="&quot;b21&lt;0&quot;"/>
        <cfvo type="formula" val="&quot;b21&gt;0&quot;"/>
        <color rgb="FFFF7128"/>
        <color theme="9" tint="0.59999389629810485"/>
      </colorScale>
    </cfRule>
  </conditionalFormatting>
  <conditionalFormatting sqref="G34">
    <cfRule type="cellIs" dxfId="10" priority="3" operator="greaterThan">
      <formula>7</formula>
    </cfRule>
    <cfRule type="cellIs" dxfId="9" priority="11" operator="greaterThan">
      <formula>8</formula>
    </cfRule>
  </conditionalFormatting>
  <conditionalFormatting sqref="L34">
    <cfRule type="cellIs" dxfId="8" priority="10" operator="greaterThan">
      <formula>"b11+7"</formula>
    </cfRule>
  </conditionalFormatting>
  <conditionalFormatting sqref="L34">
    <cfRule type="cellIs" dxfId="7" priority="7" operator="greaterThan">
      <formula>B11+7</formula>
    </cfRule>
    <cfRule type="cellIs" dxfId="6" priority="8" operator="greaterThan">
      <formula>"b11+7"</formula>
    </cfRule>
    <cfRule type="cellIs" dxfId="5" priority="9" operator="greaterThan">
      <formula>"b11+7"</formula>
    </cfRule>
  </conditionalFormatting>
  <conditionalFormatting sqref="B31">
    <cfRule type="cellIs" dxfId="4" priority="6" operator="lessThan">
      <formula>0</formula>
    </cfRule>
  </conditionalFormatting>
  <conditionalFormatting sqref="B32">
    <cfRule type="cellIs" dxfId="3" priority="5" operator="lessThan">
      <formula>0</formula>
    </cfRule>
  </conditionalFormatting>
  <conditionalFormatting sqref="B34">
    <cfRule type="cellIs" dxfId="2" priority="4" operator="greaterThan">
      <formula>8</formula>
    </cfRule>
  </conditionalFormatting>
  <conditionalFormatting sqref="B30">
    <cfRule type="cellIs" dxfId="1" priority="2" operator="lessThan">
      <formula>0</formula>
    </cfRule>
  </conditionalFormatting>
  <conditionalFormatting sqref="B33">
    <cfRule type="cellIs" dxfId="0" priority="1" operator="lessThan">
      <formula>0</formula>
    </cfRule>
  </conditionalFormatting>
  <dataValidations disablePrompts="1" count="13">
    <dataValidation type="list" allowBlank="1" showInputMessage="1" showErrorMessage="1" sqref="G63" xr:uid="{00000000-0002-0000-0700-000000000000}">
      <formula1>$K$108:$K$128</formula1>
    </dataValidation>
    <dataValidation type="list" allowBlank="1" showInputMessage="1" showErrorMessage="1" sqref="H60" xr:uid="{00000000-0002-0000-0700-000001000000}">
      <formula1>$K$109:$K$208</formula1>
    </dataValidation>
    <dataValidation type="list" allowBlank="1" showInputMessage="1" showErrorMessage="1" sqref="H51" xr:uid="{00000000-0002-0000-0700-000002000000}">
      <formula1>$N$108:$N$144</formula1>
    </dataValidation>
    <dataValidation type="list" allowBlank="1" showInputMessage="1" showErrorMessage="1" sqref="B54 B70 B67 B64 B61 B58" xr:uid="{00000000-0002-0000-0700-000003000000}">
      <formula1>$L$108:$L$604</formula1>
    </dataValidation>
    <dataValidation type="list" allowBlank="1" showInputMessage="1" showErrorMessage="1" sqref="H44" xr:uid="{00000000-0002-0000-0700-000004000000}">
      <formula1>$I$108:$I$188</formula1>
    </dataValidation>
    <dataValidation type="list" allowBlank="1" showInputMessage="1" showErrorMessage="1" sqref="B77" xr:uid="{00000000-0002-0000-0700-000005000000}">
      <formula1>$C$108:$C$209</formula1>
    </dataValidation>
    <dataValidation type="list" allowBlank="1" showInputMessage="1" showErrorMessage="1" sqref="H42" xr:uid="{00000000-0002-0000-0700-000006000000}">
      <formula1>$D$108:$D$134</formula1>
    </dataValidation>
    <dataValidation type="list" allowBlank="1" showInputMessage="1" showErrorMessage="1" sqref="G49" xr:uid="{00000000-0002-0000-0700-000007000000}">
      <formula1>$E$108:$E$127</formula1>
    </dataValidation>
    <dataValidation type="list" allowBlank="1" showInputMessage="1" showErrorMessage="1" sqref="B50" xr:uid="{00000000-0002-0000-0700-000008000000}">
      <formula1>$F$108:$F$199</formula1>
    </dataValidation>
    <dataValidation type="list" allowBlank="1" showInputMessage="1" showErrorMessage="1" sqref="B46" xr:uid="{00000000-0002-0000-0700-000009000000}">
      <formula1>$J$108:$J$239</formula1>
    </dataValidation>
    <dataValidation type="list" allowBlank="1" showInputMessage="1" showErrorMessage="1" sqref="B41" xr:uid="{00000000-0002-0000-0700-00000A000000}">
      <formula1>$G$108:$G$149</formula1>
    </dataValidation>
    <dataValidation type="list" allowBlank="1" showInputMessage="1" showErrorMessage="1" sqref="H58" xr:uid="{00000000-0002-0000-0700-00000B000000}">
      <formula1>$H$108:$H$118</formula1>
    </dataValidation>
    <dataValidation type="list" allowBlank="1" showInputMessage="1" showErrorMessage="1" sqref="G57" xr:uid="{00000000-0002-0000-0700-00000C000000}">
      <formula1>$K$108:$K$308</formula1>
    </dataValidation>
  </dataValidations>
  <pageMargins left="0.70866141732283472" right="0.70866141732283472" top="0.74803149606299213" bottom="0.74803149606299213" header="0.31496062992125984" footer="0.31496062992125984"/>
  <pageSetup paperSize="9" scale="35" fitToWidth="0" fitToHeight="0" orientation="portrait" r:id="rId1"/>
  <ignoredErrors>
    <ignoredError sqref="H62 H41 H49" unlockedFormula="1"/>
    <ignoredError sqref="C19:V19" formula="1"/>
  </ignoredError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Cover</vt:lpstr>
      <vt:lpstr>Substrates inputs</vt:lpstr>
      <vt:lpstr>Tonnes and Hectares of HTG</vt:lpstr>
      <vt:lpstr>2017 &amp; 2030 Energy flows</vt:lpstr>
      <vt:lpstr> HTG silage strategic reserve</vt:lpstr>
      <vt:lpstr>CAPEX Perspectives</vt:lpstr>
      <vt:lpstr>CAPEX </vt:lpstr>
      <vt:lpstr>Economic Model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Sanita</dc:creator>
  <cp:lastModifiedBy>User</cp:lastModifiedBy>
  <cp:lastPrinted>2019-11-26T23:42:06Z</cp:lastPrinted>
  <dcterms:created xsi:type="dcterms:W3CDTF">2019-10-07T23:09:35Z</dcterms:created>
  <dcterms:modified xsi:type="dcterms:W3CDTF">2021-07-19T13:22:44Z</dcterms:modified>
</cp:coreProperties>
</file>