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esambadig979\Documents\1. Projects\UNIDO Solomon Islands - 2019\0. Deliverables\4. Final report\"/>
    </mc:Choice>
  </mc:AlternateContent>
  <xr:revisionPtr revIDLastSave="0" documentId="13_ncr:1_{E793F53F-9773-48A2-9D27-4F6FFBB8842E}" xr6:coauthVersionLast="44" xr6:coauthVersionMax="44" xr10:uidLastSave="{00000000-0000-0000-0000-000000000000}"/>
  <bookViews>
    <workbookView xWindow="-120" yWindow="-120" windowWidth="20730" windowHeight="11160" tabRatio="729" firstSheet="1" activeTab="2" xr2:uid="{00000000-000D-0000-FFFF-FFFF00000000}"/>
  </bookViews>
  <sheets>
    <sheet name="Instructions" sheetId="2" r:id="rId1"/>
    <sheet name="Summary Sheet" sheetId="3" r:id="rId2"/>
    <sheet name="Borderline PS" sheetId="4" r:id="rId3"/>
    <sheet name="Skyline PS" sheetId="5" r:id="rId4"/>
    <sheet name="Tasahe PS" sheetId="6" r:id="rId5"/>
    <sheet name="Titinge PS" sheetId="7" r:id="rId6"/>
    <sheet name="Tuvaruhu JICA PS" sheetId="8" r:id="rId7"/>
    <sheet name="Tuvaruhu SIWA PS" sheetId="9" r:id="rId8"/>
    <sheet name="Kwaibala PS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3" l="1"/>
  <c r="J27" i="3"/>
  <c r="G19" i="10"/>
  <c r="C19" i="10"/>
  <c r="J26" i="3"/>
  <c r="J25" i="3"/>
  <c r="J24" i="3"/>
  <c r="O19" i="9"/>
  <c r="K19" i="9"/>
  <c r="G20" i="9"/>
  <c r="C20" i="9"/>
  <c r="K19" i="8"/>
  <c r="J23" i="3"/>
  <c r="J22" i="3"/>
  <c r="J21" i="3"/>
  <c r="J20" i="3"/>
  <c r="O19" i="8"/>
  <c r="G19" i="8"/>
  <c r="C20" i="8"/>
  <c r="J19" i="3"/>
  <c r="J18" i="3"/>
  <c r="J17" i="3"/>
  <c r="J16" i="3"/>
  <c r="O19" i="7"/>
  <c r="K19" i="7"/>
  <c r="G19" i="7"/>
  <c r="C20" i="7"/>
  <c r="J15" i="3"/>
  <c r="J14" i="3"/>
  <c r="J13" i="3"/>
  <c r="K19" i="6"/>
  <c r="G19" i="6"/>
  <c r="C19" i="6"/>
  <c r="J12" i="3"/>
  <c r="J11" i="3"/>
  <c r="O19" i="5"/>
  <c r="K19" i="5"/>
  <c r="J8" i="3"/>
  <c r="J7" i="3"/>
  <c r="J6" i="3"/>
  <c r="K19" i="4"/>
  <c r="G19" i="4"/>
  <c r="C19" i="4"/>
  <c r="I8" i="3"/>
  <c r="I28" i="3" l="1"/>
  <c r="I27" i="3"/>
  <c r="H28" i="3"/>
  <c r="H27" i="3"/>
  <c r="G27" i="3"/>
  <c r="F28" i="3"/>
  <c r="F27" i="3"/>
  <c r="E27" i="3"/>
  <c r="D28" i="3"/>
  <c r="D27" i="3"/>
  <c r="I26" i="3"/>
  <c r="I25" i="3"/>
  <c r="H26" i="3"/>
  <c r="H25" i="3"/>
  <c r="H24" i="3"/>
  <c r="G25" i="3"/>
  <c r="G24" i="3"/>
  <c r="F26" i="3"/>
  <c r="F25" i="3"/>
  <c r="F24" i="3"/>
  <c r="E25" i="3"/>
  <c r="E24" i="3"/>
  <c r="I24" i="3" s="1"/>
  <c r="D26" i="3"/>
  <c r="D25" i="3"/>
  <c r="D24" i="3"/>
  <c r="I23" i="3"/>
  <c r="I22" i="3"/>
  <c r="I21" i="3"/>
  <c r="I20" i="3"/>
  <c r="H23" i="3"/>
  <c r="H22" i="3"/>
  <c r="H21" i="3"/>
  <c r="H20" i="3"/>
  <c r="G22" i="3"/>
  <c r="G21" i="3"/>
  <c r="G20" i="3"/>
  <c r="F23" i="3"/>
  <c r="F22" i="3"/>
  <c r="F21" i="3"/>
  <c r="F20" i="3"/>
  <c r="E22" i="3"/>
  <c r="E21" i="3"/>
  <c r="E20" i="3"/>
  <c r="D23" i="3"/>
  <c r="D22" i="3"/>
  <c r="D21" i="3"/>
  <c r="D20" i="3"/>
  <c r="I19" i="3"/>
  <c r="I18" i="3"/>
  <c r="I17" i="3"/>
  <c r="I16" i="3"/>
  <c r="H19" i="3"/>
  <c r="H18" i="3"/>
  <c r="H17" i="3"/>
  <c r="H16" i="3"/>
  <c r="G18" i="3"/>
  <c r="G17" i="3"/>
  <c r="G16" i="3"/>
  <c r="F19" i="3"/>
  <c r="F18" i="3"/>
  <c r="F17" i="3"/>
  <c r="F16" i="3"/>
  <c r="E18" i="3"/>
  <c r="E17" i="3"/>
  <c r="E16" i="3"/>
  <c r="D19" i="3"/>
  <c r="D18" i="3"/>
  <c r="D17" i="3"/>
  <c r="D16" i="3"/>
  <c r="I15" i="3"/>
  <c r="I14" i="3"/>
  <c r="I13" i="3"/>
  <c r="H15" i="3"/>
  <c r="H14" i="3"/>
  <c r="H13" i="3"/>
  <c r="G14" i="3"/>
  <c r="G13" i="3"/>
  <c r="F15" i="3"/>
  <c r="F14" i="3"/>
  <c r="F13" i="3"/>
  <c r="E14" i="3"/>
  <c r="E13" i="3"/>
  <c r="D15" i="3"/>
  <c r="D14" i="3"/>
  <c r="D13" i="3"/>
  <c r="I12" i="3"/>
  <c r="I11" i="3"/>
  <c r="H12" i="3"/>
  <c r="H11" i="3"/>
  <c r="G11" i="3"/>
  <c r="F12" i="3"/>
  <c r="F11" i="3"/>
  <c r="E11" i="3"/>
  <c r="E10" i="3"/>
  <c r="E9" i="3"/>
  <c r="D12" i="3"/>
  <c r="D11" i="3"/>
  <c r="D10" i="3"/>
  <c r="D9" i="3"/>
  <c r="I7" i="3"/>
  <c r="H8" i="3"/>
  <c r="H7" i="3"/>
  <c r="G7" i="3"/>
  <c r="F8" i="3"/>
  <c r="F7" i="3"/>
  <c r="E7" i="3"/>
  <c r="E6" i="3"/>
  <c r="D8" i="3"/>
  <c r="D7" i="3"/>
  <c r="D6" i="3"/>
  <c r="G16" i="10" l="1"/>
  <c r="G18" i="10" s="1"/>
  <c r="C16" i="10"/>
  <c r="C17" i="10" s="1"/>
  <c r="C15" i="10"/>
  <c r="C10" i="10"/>
  <c r="C18" i="10" s="1"/>
  <c r="G17" i="10" l="1"/>
  <c r="C15" i="9" l="1"/>
  <c r="G15" i="9"/>
  <c r="G14" i="9"/>
  <c r="C14" i="9"/>
  <c r="G10" i="9"/>
  <c r="O16" i="9"/>
  <c r="O18" i="9" s="1"/>
  <c r="K16" i="9"/>
  <c r="K17" i="9" s="1"/>
  <c r="K15" i="9"/>
  <c r="K10" i="9"/>
  <c r="K18" i="9" s="1"/>
  <c r="C10" i="9"/>
  <c r="G17" i="9" l="1"/>
  <c r="G18" i="9" s="1"/>
  <c r="G16" i="9"/>
  <c r="G19" i="9" s="1"/>
  <c r="C17" i="9"/>
  <c r="C18" i="9" s="1"/>
  <c r="C16" i="9"/>
  <c r="C19" i="9" s="1"/>
  <c r="O17" i="9"/>
  <c r="C15" i="8" l="1"/>
  <c r="C14" i="8"/>
  <c r="C10" i="8"/>
  <c r="O16" i="8"/>
  <c r="O18" i="8" s="1"/>
  <c r="K16" i="8"/>
  <c r="K17" i="8" s="1"/>
  <c r="G16" i="8"/>
  <c r="G17" i="8" s="1"/>
  <c r="K15" i="8"/>
  <c r="G15" i="8"/>
  <c r="K10" i="8"/>
  <c r="G10" i="8"/>
  <c r="O17" i="8" l="1"/>
  <c r="K18" i="8"/>
  <c r="G18" i="8"/>
  <c r="C17" i="8"/>
  <c r="C18" i="8" s="1"/>
  <c r="C16" i="8"/>
  <c r="C19" i="8" s="1"/>
  <c r="C15" i="7" l="1"/>
  <c r="C14" i="7"/>
  <c r="C10" i="7"/>
  <c r="G17" i="7"/>
  <c r="O16" i="7"/>
  <c r="O18" i="7" s="1"/>
  <c r="K16" i="7"/>
  <c r="K17" i="7" s="1"/>
  <c r="G16" i="7"/>
  <c r="K15" i="7"/>
  <c r="G15" i="7"/>
  <c r="K10" i="7"/>
  <c r="G10" i="7"/>
  <c r="G18" i="7" s="1"/>
  <c r="K18" i="7" l="1"/>
  <c r="C17" i="7"/>
  <c r="C18" i="7" s="1"/>
  <c r="C16" i="7"/>
  <c r="C19" i="7" s="1"/>
  <c r="O17" i="7"/>
  <c r="G16" i="6" l="1"/>
  <c r="G17" i="6" s="1"/>
  <c r="G15" i="6"/>
  <c r="K16" i="6"/>
  <c r="K17" i="6" s="1"/>
  <c r="C16" i="6"/>
  <c r="C17" i="6" s="1"/>
  <c r="C15" i="6"/>
  <c r="G10" i="6"/>
  <c r="G18" i="6" s="1"/>
  <c r="C10" i="6"/>
  <c r="C18" i="6" l="1"/>
  <c r="K18" i="6"/>
  <c r="C14" i="5" l="1"/>
  <c r="C15" i="5"/>
  <c r="K16" i="5"/>
  <c r="K17" i="5" s="1"/>
  <c r="K15" i="5"/>
  <c r="K10" i="5"/>
  <c r="K18" i="5" s="1"/>
  <c r="O16" i="5" l="1"/>
  <c r="O18" i="5" s="1"/>
  <c r="G16" i="5"/>
  <c r="C17" i="5"/>
  <c r="G15" i="5"/>
  <c r="C16" i="5"/>
  <c r="G9" i="3" s="1"/>
  <c r="G10" i="5"/>
  <c r="C10" i="5"/>
  <c r="K18" i="4"/>
  <c r="K17" i="4"/>
  <c r="K16" i="4"/>
  <c r="G18" i="4"/>
  <c r="G10" i="3" l="1"/>
  <c r="G18" i="5"/>
  <c r="I10" i="3" s="1"/>
  <c r="F10" i="3"/>
  <c r="G17" i="5"/>
  <c r="C18" i="5"/>
  <c r="F9" i="3"/>
  <c r="C19" i="5"/>
  <c r="I9" i="3" s="1"/>
  <c r="O17" i="5"/>
  <c r="G19" i="5" l="1"/>
  <c r="J10" i="3" s="1"/>
  <c r="H10" i="3"/>
  <c r="H9" i="3"/>
  <c r="C20" i="5"/>
  <c r="J9" i="3" s="1"/>
  <c r="G16" i="4"/>
  <c r="G17" i="4" s="1"/>
  <c r="C16" i="4"/>
  <c r="G15" i="4"/>
  <c r="C15" i="4"/>
  <c r="G10" i="4"/>
  <c r="C10" i="4"/>
  <c r="G6" i="3" l="1"/>
  <c r="C18" i="4"/>
  <c r="I6" i="3" s="1"/>
  <c r="C17" i="4"/>
  <c r="H6" i="3" s="1"/>
  <c r="F6" i="3"/>
</calcChain>
</file>

<file path=xl/sharedStrings.xml><?xml version="1.0" encoding="utf-8"?>
<sst xmlns="http://schemas.openxmlformats.org/spreadsheetml/2006/main" count="857" uniqueCount="90">
  <si>
    <t>Particular</t>
  </si>
  <si>
    <t>Unit</t>
  </si>
  <si>
    <t>Value</t>
  </si>
  <si>
    <t>Operating flow</t>
  </si>
  <si>
    <t>m</t>
  </si>
  <si>
    <t>Discharge head</t>
  </si>
  <si>
    <t>kW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</si>
  <si>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/h</t>
    </r>
  </si>
  <si>
    <t>ECM-1: Replacement of transfer pump</t>
  </si>
  <si>
    <t>Baseline</t>
  </si>
  <si>
    <t>Net daily water duty</t>
  </si>
  <si>
    <r>
      <t>m</t>
    </r>
    <r>
      <rPr>
        <vertAlign val="superscript"/>
        <sz val="10"/>
        <color theme="1"/>
        <rFont val="Arial"/>
        <family val="2"/>
      </rPr>
      <t>3</t>
    </r>
  </si>
  <si>
    <t>Annual energy consumption</t>
  </si>
  <si>
    <t>kWh/year</t>
  </si>
  <si>
    <t>Power input</t>
  </si>
  <si>
    <t>Implementation case</t>
  </si>
  <si>
    <t>Specific energy consumption</t>
  </si>
  <si>
    <t>Water flow rate</t>
  </si>
  <si>
    <t>Energy saving</t>
  </si>
  <si>
    <t>Instructions and guidelines for use of M&amp;E sheet</t>
  </si>
  <si>
    <t>The monitoring and evaluation (M&amp;E) excel consists of one sheet per pump station</t>
  </si>
  <si>
    <t>Each pump station sheet consists of all proposed recommendations</t>
  </si>
  <si>
    <t xml:space="preserve">Firstly, the base case detailed and key performance indicator (KPI) along with annual energy consumption is presented </t>
  </si>
  <si>
    <t>A post implementation case is presented, which calculated the KPI and annual energy consumption</t>
  </si>
  <si>
    <t>Other cells are locked and can't be accessed by the user</t>
  </si>
  <si>
    <t>ECM-2: Replacement of borepump-4 with efficient pump</t>
  </si>
  <si>
    <t>Overall head</t>
  </si>
  <si>
    <t>The user is recommended to fill data in only the light green highlighted cells</t>
  </si>
  <si>
    <t>ECM-3: Replacement of FTL with LED tube lights</t>
  </si>
  <si>
    <t xml:space="preserve">FTL light rating </t>
  </si>
  <si>
    <t>W</t>
  </si>
  <si>
    <t>Ballast rating</t>
  </si>
  <si>
    <r>
      <t>kWh/m</t>
    </r>
    <r>
      <rPr>
        <vertAlign val="superscript"/>
        <sz val="10"/>
        <color theme="1"/>
        <rFont val="Arial"/>
        <family val="2"/>
      </rPr>
      <t>3</t>
    </r>
  </si>
  <si>
    <t>%</t>
  </si>
  <si>
    <t>KPI improvement</t>
  </si>
  <si>
    <t>Number of lights</t>
  </si>
  <si>
    <t>no's.</t>
  </si>
  <si>
    <t>Total rating</t>
  </si>
  <si>
    <t>Operating hours</t>
  </si>
  <si>
    <t>hour/year</t>
  </si>
  <si>
    <t>LED tube light rating</t>
  </si>
  <si>
    <t>No. of lights</t>
  </si>
  <si>
    <t>ECM-1: Installation of VFD on transfer pumps</t>
  </si>
  <si>
    <t>Borderline Pump Station</t>
  </si>
  <si>
    <t>Skyline Pump Station</t>
  </si>
  <si>
    <t>ECM-3: Replacement of borepump-4 with efficient pump</t>
  </si>
  <si>
    <t>ECM-4: Replacement of FTL with LED tube lights</t>
  </si>
  <si>
    <t>ECM-2: Replacement of borepump-1 with efficient pump</t>
  </si>
  <si>
    <t>ECM-3: Replacement of borepump-3 with efficient pump</t>
  </si>
  <si>
    <t>VFD frequency set</t>
  </si>
  <si>
    <t>Hz</t>
  </si>
  <si>
    <t>Tasahe Pump Station</t>
  </si>
  <si>
    <t>ECM-1: Replacement of borepump-2 with efficient pump</t>
  </si>
  <si>
    <t>Titinge Pump Station</t>
  </si>
  <si>
    <t>ECM-2: Replacement of borepump-2 with efficient pump</t>
  </si>
  <si>
    <t>Tuvaruhu JICA Pump Station</t>
  </si>
  <si>
    <t>ECM-1: Replacement of transfer pump with IE4 motor &amp; VFD</t>
  </si>
  <si>
    <t>ECM-1: Replacement of transfer pump-1 with IE4 motor &amp; VFD</t>
  </si>
  <si>
    <t>ECM-1: Replacement of transfer pump-2 with IE4 motor &amp; VFD</t>
  </si>
  <si>
    <t>ECM-2: Replacement of FTL with LED tube lights</t>
  </si>
  <si>
    <t>Kwaibala Pump Station</t>
  </si>
  <si>
    <t>Tuvaruhu SIWA Pump Station</t>
  </si>
  <si>
    <t>Consolidated summary</t>
  </si>
  <si>
    <t>S.No.</t>
  </si>
  <si>
    <t>KPI</t>
  </si>
  <si>
    <t>Savings</t>
  </si>
  <si>
    <t>Energy consumption</t>
  </si>
  <si>
    <t>Borderline</t>
  </si>
  <si>
    <t>Replacement of transfer pump</t>
  </si>
  <si>
    <t>Replacement of borepump-4 with efficient pump</t>
  </si>
  <si>
    <t>Replacement of FTL with LED tube lights</t>
  </si>
  <si>
    <r>
      <t>kWh/m</t>
    </r>
    <r>
      <rPr>
        <b/>
        <vertAlign val="superscript"/>
        <sz val="11"/>
        <color theme="0"/>
        <rFont val="Arial"/>
        <family val="2"/>
      </rPr>
      <t>3</t>
    </r>
  </si>
  <si>
    <t>NA</t>
  </si>
  <si>
    <t>Installation of VFD on transfer pumps</t>
  </si>
  <si>
    <t>Replacement of borepump-1 with efficient pump</t>
  </si>
  <si>
    <t>Replacement of borepump-3 with efficient pump</t>
  </si>
  <si>
    <t>Skyline</t>
  </si>
  <si>
    <t>Name of Pump Station</t>
  </si>
  <si>
    <t>Energy Conservation Measure</t>
  </si>
  <si>
    <t>Tasahe</t>
  </si>
  <si>
    <t>Replacement of borepump-2 with efficient pump</t>
  </si>
  <si>
    <t>Titinge</t>
  </si>
  <si>
    <t>Tuvaruhu JICA</t>
  </si>
  <si>
    <t>Replacement of transfer pump with IE4 &amp; VFD</t>
  </si>
  <si>
    <t>Tuvaruhu SIWA</t>
  </si>
  <si>
    <t>Kwaibala</t>
  </si>
  <si>
    <t>GHG reduction</t>
  </si>
  <si>
    <r>
      <t>kgCO</t>
    </r>
    <r>
      <rPr>
        <b/>
        <vertAlign val="subscript"/>
        <sz val="11"/>
        <color theme="0"/>
        <rFont val="Arial"/>
        <family val="2"/>
      </rPr>
      <t>2-e</t>
    </r>
  </si>
  <si>
    <t>GHG emission reduction</t>
  </si>
  <si>
    <r>
      <t>tCO</t>
    </r>
    <r>
      <rPr>
        <vertAlign val="subscript"/>
        <sz val="10"/>
        <color theme="1"/>
        <rFont val="Arial"/>
        <family val="2"/>
      </rPr>
      <t>2-e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</si>
</sst>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0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vertAlign val="subscript"/>
      <sz val="11"/>
      <color theme="0"/>
      <name val="Arial"/>
      <family val="2"/>
    </font>
    <font>
      <vertAlign val="subscript"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4" fillId="10" borderId="1" xfId="0" applyFont="1" applyFill="1" applyBorder="1" applyAlignment="1" applyProtection="1">
      <alignment horizontal="center" vertical="center"/>
      <protection hidden="1"/>
    </xf>
    <xf numFmtId="0" fontId="4" fillId="10" borderId="1" xfId="0" applyFont="1" applyFill="1" applyBorder="1" applyAlignment="1" applyProtection="1">
      <alignment vertical="center"/>
      <protection hidden="1"/>
    </xf>
    <xf numFmtId="1" fontId="4" fillId="11" borderId="1" xfId="0" applyNumberFormat="1" applyFont="1" applyFill="1" applyBorder="1" applyAlignment="1" applyProtection="1">
      <alignment horizontal="center" vertical="center"/>
      <protection hidden="1"/>
    </xf>
    <xf numFmtId="165" fontId="4" fillId="11" borderId="1" xfId="0" applyNumberFormat="1" applyFont="1" applyFill="1" applyBorder="1" applyAlignment="1" applyProtection="1">
      <alignment horizontal="center" vertical="center"/>
      <protection hidden="1"/>
    </xf>
    <xf numFmtId="1" fontId="4" fillId="12" borderId="1" xfId="0" applyNumberFormat="1" applyFont="1" applyFill="1" applyBorder="1" applyAlignment="1" applyProtection="1">
      <alignment horizontal="center" vertical="center"/>
      <protection hidden="1"/>
    </xf>
    <xf numFmtId="165" fontId="4" fillId="12" borderId="1" xfId="0" applyNumberFormat="1" applyFont="1" applyFill="1" applyBorder="1" applyAlignment="1" applyProtection="1">
      <alignment horizontal="center" vertical="center"/>
      <protection hidden="1"/>
    </xf>
    <xf numFmtId="1" fontId="4" fillId="13" borderId="1" xfId="0" applyNumberFormat="1" applyFont="1" applyFill="1" applyBorder="1" applyAlignment="1" applyProtection="1">
      <alignment horizontal="center" vertical="center"/>
      <protection hidden="1"/>
    </xf>
    <xf numFmtId="164" fontId="4" fillId="13" borderId="1" xfId="0" applyNumberFormat="1" applyFont="1" applyFill="1" applyBorder="1" applyAlignment="1" applyProtection="1">
      <alignment horizontal="center" vertical="center"/>
      <protection hidden="1"/>
    </xf>
    <xf numFmtId="2" fontId="1" fillId="3" borderId="1" xfId="0" applyNumberFormat="1" applyFont="1" applyFill="1" applyBorder="1" applyAlignment="1" applyProtection="1">
      <alignment horizontal="right" vertical="center"/>
      <protection locked="0" hidden="1"/>
    </xf>
    <xf numFmtId="164" fontId="1" fillId="3" borderId="1" xfId="0" applyNumberFormat="1" applyFont="1" applyFill="1" applyBorder="1" applyAlignment="1" applyProtection="1">
      <alignment horizontal="right" vertical="center"/>
      <protection locked="0" hidden="1"/>
    </xf>
    <xf numFmtId="0" fontId="9" fillId="7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5" fillId="5" borderId="0" xfId="0" applyFont="1" applyFill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2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5" fontId="1" fillId="0" borderId="1" xfId="0" applyNumberFormat="1" applyFont="1" applyBorder="1" applyAlignment="1" applyProtection="1">
      <alignment horizontal="right" vertical="center"/>
      <protection hidden="1"/>
    </xf>
    <xf numFmtId="1" fontId="1" fillId="0" borderId="1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1" fontId="7" fillId="0" borderId="1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right" vertical="center"/>
      <protection hidden="1"/>
    </xf>
    <xf numFmtId="2" fontId="1" fillId="3" borderId="1" xfId="0" applyNumberFormat="1" applyFont="1" applyFill="1" applyBorder="1" applyAlignment="1" applyProtection="1">
      <alignment horizontal="right" vertical="center"/>
      <protection locked="0"/>
    </xf>
    <xf numFmtId="164" fontId="1" fillId="3" borderId="1" xfId="0" applyNumberFormat="1" applyFont="1" applyFill="1" applyBorder="1" applyAlignment="1" applyProtection="1">
      <alignment horizontal="right" vertical="center"/>
      <protection locked="0"/>
    </xf>
    <xf numFmtId="2" fontId="1" fillId="8" borderId="1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>
      <alignment horizontal="center" vertical="center"/>
    </xf>
    <xf numFmtId="0" fontId="4" fillId="10" borderId="3" xfId="0" applyFont="1" applyFill="1" applyBorder="1" applyAlignment="1" applyProtection="1">
      <alignment horizontal="left" vertical="center"/>
      <protection hidden="1"/>
    </xf>
    <xf numFmtId="0" fontId="4" fillId="10" borderId="4" xfId="0" applyFont="1" applyFill="1" applyBorder="1" applyAlignment="1" applyProtection="1">
      <alignment horizontal="left" vertical="center"/>
      <protection hidden="1"/>
    </xf>
    <xf numFmtId="0" fontId="4" fillId="10" borderId="5" xfId="0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left"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left" vertical="center" wrapText="1"/>
      <protection hidden="1"/>
    </xf>
    <xf numFmtId="0" fontId="12" fillId="5" borderId="1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Alignment="1" applyProtection="1">
      <alignment horizontal="left" vertical="center"/>
      <protection hidden="1"/>
    </xf>
    <xf numFmtId="164" fontId="7" fillId="0" borderId="1" xfId="0" applyNumberFormat="1" applyFont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5" fillId="6" borderId="2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/>
    </xf>
    <xf numFmtId="165" fontId="1" fillId="0" borderId="1" xfId="0" applyNumberFormat="1" applyFont="1" applyBorder="1" applyAlignment="1" applyProtection="1">
      <alignment horizontal="right" vertical="center"/>
    </xf>
    <xf numFmtId="1" fontId="1" fillId="0" borderId="1" xfId="0" applyNumberFormat="1" applyFont="1" applyBorder="1" applyAlignment="1" applyProtection="1">
      <alignment horizontal="right" vertical="center"/>
    </xf>
    <xf numFmtId="0" fontId="5" fillId="4" borderId="2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2" fontId="4" fillId="13" borderId="1" xfId="0" applyNumberFormat="1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6F01-3CB8-4407-ACB8-CAEDBF9B585E}">
  <dimension ref="A1:B7"/>
  <sheetViews>
    <sheetView workbookViewId="0">
      <selection activeCell="B12" sqref="B12"/>
    </sheetView>
  </sheetViews>
  <sheetFormatPr defaultRowHeight="23.25" customHeight="1" x14ac:dyDescent="0.25"/>
  <cols>
    <col min="1" max="1" width="6.5703125" style="2" customWidth="1"/>
    <col min="2" max="2" width="114.5703125" style="1" bestFit="1" customWidth="1"/>
    <col min="3" max="16384" width="9.140625" style="1"/>
  </cols>
  <sheetData>
    <row r="1" spans="1:2" ht="23.25" customHeight="1" x14ac:dyDescent="0.25">
      <c r="A1" s="35" t="s">
        <v>19</v>
      </c>
      <c r="B1" s="35"/>
    </row>
    <row r="2" spans="1:2" ht="23.25" customHeight="1" x14ac:dyDescent="0.25">
      <c r="A2" s="2">
        <v>1</v>
      </c>
      <c r="B2" s="1" t="s">
        <v>20</v>
      </c>
    </row>
    <row r="3" spans="1:2" ht="23.25" customHeight="1" x14ac:dyDescent="0.25">
      <c r="A3" s="2">
        <v>2</v>
      </c>
      <c r="B3" s="1" t="s">
        <v>21</v>
      </c>
    </row>
    <row r="4" spans="1:2" ht="23.25" customHeight="1" x14ac:dyDescent="0.25">
      <c r="A4" s="2">
        <v>3</v>
      </c>
      <c r="B4" s="1" t="s">
        <v>22</v>
      </c>
    </row>
    <row r="5" spans="1:2" ht="23.25" customHeight="1" x14ac:dyDescent="0.25">
      <c r="A5" s="2">
        <v>4</v>
      </c>
      <c r="B5" s="1" t="s">
        <v>23</v>
      </c>
    </row>
    <row r="6" spans="1:2" ht="23.25" customHeight="1" x14ac:dyDescent="0.25">
      <c r="A6" s="2">
        <v>5</v>
      </c>
      <c r="B6" s="1" t="s">
        <v>27</v>
      </c>
    </row>
    <row r="7" spans="1:2" ht="23.25" customHeight="1" x14ac:dyDescent="0.25">
      <c r="A7" s="2">
        <v>6</v>
      </c>
      <c r="B7" s="1" t="s">
        <v>24</v>
      </c>
    </row>
  </sheetData>
  <sheetProtection algorithmName="SHA-1" hashValue="FMoUIaX3C/KtMBSRDsFZ8jrNLd0=" saltValue="UwAD+azDG5wfFMtUfC/yfg==" spinCount="100000" sheet="1" objects="1" scenarios="1"/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10FE-86BA-4CD6-B775-A4C800FA1FB7}">
  <dimension ref="A1:J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7.25" customHeight="1" x14ac:dyDescent="0.25"/>
  <cols>
    <col min="1" max="1" width="9.140625" style="4"/>
    <col min="2" max="2" width="16.28515625" style="4" customWidth="1"/>
    <col min="3" max="3" width="46.7109375" style="4" bestFit="1" customWidth="1"/>
    <col min="4" max="4" width="22.140625" style="3" bestFit="1" customWidth="1"/>
    <col min="5" max="5" width="13.7109375" style="3" bestFit="1" customWidth="1"/>
    <col min="6" max="6" width="22.140625" style="3" bestFit="1" customWidth="1"/>
    <col min="7" max="7" width="11.85546875" style="3" customWidth="1"/>
    <col min="8" max="8" width="15.5703125" style="3" bestFit="1" customWidth="1"/>
    <col min="9" max="9" width="18.7109375" style="3" bestFit="1" customWidth="1"/>
    <col min="10" max="10" width="18.7109375" style="3" customWidth="1"/>
    <col min="11" max="16384" width="9.140625" style="4"/>
  </cols>
  <sheetData>
    <row r="1" spans="1:10" ht="17.25" customHeight="1" x14ac:dyDescent="0.25">
      <c r="A1" s="40" t="s">
        <v>62</v>
      </c>
      <c r="B1" s="40"/>
      <c r="C1" s="40"/>
    </row>
    <row r="3" spans="1:10" ht="17.25" customHeight="1" x14ac:dyDescent="0.25">
      <c r="A3" s="43" t="s">
        <v>63</v>
      </c>
      <c r="B3" s="44" t="s">
        <v>77</v>
      </c>
      <c r="C3" s="45" t="s">
        <v>78</v>
      </c>
      <c r="D3" s="41" t="s">
        <v>9</v>
      </c>
      <c r="E3" s="41"/>
      <c r="F3" s="42" t="s">
        <v>15</v>
      </c>
      <c r="G3" s="42"/>
      <c r="H3" s="39" t="s">
        <v>65</v>
      </c>
      <c r="I3" s="39"/>
      <c r="J3" s="39"/>
    </row>
    <row r="4" spans="1:10" ht="17.25" customHeight="1" x14ac:dyDescent="0.25">
      <c r="A4" s="43"/>
      <c r="B4" s="44"/>
      <c r="C4" s="45"/>
      <c r="D4" s="5" t="s">
        <v>66</v>
      </c>
      <c r="E4" s="5" t="s">
        <v>64</v>
      </c>
      <c r="F4" s="6" t="s">
        <v>66</v>
      </c>
      <c r="G4" s="6" t="s">
        <v>64</v>
      </c>
      <c r="H4" s="7" t="s">
        <v>18</v>
      </c>
      <c r="I4" s="7" t="s">
        <v>34</v>
      </c>
      <c r="J4" s="7" t="s">
        <v>86</v>
      </c>
    </row>
    <row r="5" spans="1:10" ht="17.25" customHeight="1" x14ac:dyDescent="0.25">
      <c r="A5" s="43"/>
      <c r="B5" s="44"/>
      <c r="C5" s="45"/>
      <c r="D5" s="5" t="s">
        <v>13</v>
      </c>
      <c r="E5" s="5" t="s">
        <v>71</v>
      </c>
      <c r="F5" s="6" t="s">
        <v>13</v>
      </c>
      <c r="G5" s="6" t="s">
        <v>71</v>
      </c>
      <c r="H5" s="7" t="s">
        <v>13</v>
      </c>
      <c r="I5" s="7" t="s">
        <v>33</v>
      </c>
      <c r="J5" s="7" t="s">
        <v>87</v>
      </c>
    </row>
    <row r="6" spans="1:10" ht="17.25" customHeight="1" x14ac:dyDescent="0.25">
      <c r="A6" s="8">
        <v>1</v>
      </c>
      <c r="B6" s="36" t="s">
        <v>67</v>
      </c>
      <c r="C6" s="9" t="s">
        <v>68</v>
      </c>
      <c r="D6" s="10">
        <f>'Borderline PS'!C11</f>
        <v>25881</v>
      </c>
      <c r="E6" s="11">
        <f>'Borderline PS'!C10</f>
        <v>0.20437317784256562</v>
      </c>
      <c r="F6" s="12">
        <f>'Borderline PS'!C16</f>
        <v>18184.575706171876</v>
      </c>
      <c r="G6" s="13">
        <f>'Borderline PS'!C15</f>
        <v>0.141984375</v>
      </c>
      <c r="H6" s="14">
        <f>'Borderline PS'!C17</f>
        <v>7696.4242938281241</v>
      </c>
      <c r="I6" s="15">
        <f>'Borderline PS'!C18</f>
        <v>30.526903530670481</v>
      </c>
      <c r="J6" s="15">
        <f>'Borderline PS'!C19</f>
        <v>5.0796400339265624</v>
      </c>
    </row>
    <row r="7" spans="1:10" ht="17.25" customHeight="1" x14ac:dyDescent="0.25">
      <c r="A7" s="8">
        <v>2</v>
      </c>
      <c r="B7" s="37"/>
      <c r="C7" s="9" t="s">
        <v>69</v>
      </c>
      <c r="D7" s="10">
        <f>'Borderline PS'!G11</f>
        <v>104257</v>
      </c>
      <c r="E7" s="11">
        <f>'Borderline PS'!G10</f>
        <v>0.36454293628808865</v>
      </c>
      <c r="F7" s="12">
        <f>'Borderline PS'!G16</f>
        <v>78825.11940625</v>
      </c>
      <c r="G7" s="13">
        <f>'Borderline PS'!G15</f>
        <v>0.28083124999999998</v>
      </c>
      <c r="H7" s="14">
        <f>'Borderline PS'!G17</f>
        <v>25431.88059375</v>
      </c>
      <c r="I7" s="15">
        <f>'Borderline PS'!G18</f>
        <v>22.963464095744687</v>
      </c>
      <c r="J7" s="15">
        <f>'Borderline PS'!G19</f>
        <v>16.785041191874999</v>
      </c>
    </row>
    <row r="8" spans="1:10" ht="17.25" customHeight="1" x14ac:dyDescent="0.25">
      <c r="A8" s="8">
        <v>3</v>
      </c>
      <c r="B8" s="38"/>
      <c r="C8" s="9" t="s">
        <v>70</v>
      </c>
      <c r="D8" s="10">
        <f>'Borderline PS'!K11</f>
        <v>264</v>
      </c>
      <c r="E8" s="11" t="s">
        <v>72</v>
      </c>
      <c r="F8" s="12">
        <f>'Borderline PS'!K16</f>
        <v>63</v>
      </c>
      <c r="G8" s="13" t="s">
        <v>72</v>
      </c>
      <c r="H8" s="14">
        <f>'Borderline PS'!K17</f>
        <v>201</v>
      </c>
      <c r="I8" s="15">
        <f>'Borderline PS'!K18</f>
        <v>76.13636363636364</v>
      </c>
      <c r="J8" s="15">
        <f>'Borderline PS'!K19</f>
        <v>0.13266</v>
      </c>
    </row>
    <row r="9" spans="1:10" ht="17.25" customHeight="1" x14ac:dyDescent="0.25">
      <c r="A9" s="8">
        <v>4</v>
      </c>
      <c r="B9" s="36" t="s">
        <v>76</v>
      </c>
      <c r="C9" s="9" t="s">
        <v>73</v>
      </c>
      <c r="D9" s="10">
        <f>'Skyline PS'!C11</f>
        <v>109396</v>
      </c>
      <c r="E9" s="11">
        <f>'Skyline PS'!C10</f>
        <v>0.26827411167512694</v>
      </c>
      <c r="F9" s="12">
        <f>'Skyline PS'!C17</f>
        <v>104835.20722619139</v>
      </c>
      <c r="G9" s="13">
        <f>'Skyline PS'!C16</f>
        <v>0.25372769065828787</v>
      </c>
      <c r="H9" s="14">
        <f>'Skyline PS'!C18</f>
        <v>4560.7927738086146</v>
      </c>
      <c r="I9" s="15">
        <f>'Skyline PS'!C19</f>
        <v>5.4222231604868396</v>
      </c>
      <c r="J9" s="15">
        <f>'Skyline PS'!C20</f>
        <v>3.0101232307136856</v>
      </c>
    </row>
    <row r="10" spans="1:10" ht="17.25" customHeight="1" x14ac:dyDescent="0.25">
      <c r="A10" s="8">
        <v>5</v>
      </c>
      <c r="B10" s="37"/>
      <c r="C10" s="9" t="s">
        <v>74</v>
      </c>
      <c r="D10" s="10">
        <f>'Skyline PS'!G11</f>
        <v>139534.29999999999</v>
      </c>
      <c r="E10" s="11">
        <f>'Skyline PS'!G10</f>
        <v>0.53301886792452824</v>
      </c>
      <c r="F10" s="12">
        <f>'Skyline PS'!G16</f>
        <v>107307.80267558529</v>
      </c>
      <c r="G10" s="13">
        <f>'Skyline PS'!G15</f>
        <v>0.41003344481605353</v>
      </c>
      <c r="H10" s="14">
        <f>'Skyline PS'!G17</f>
        <v>30180.274699770271</v>
      </c>
      <c r="I10" s="15">
        <f>'Skyline PS'!G18</f>
        <v>23.073371415041276</v>
      </c>
      <c r="J10" s="15">
        <f>'Skyline PS'!G19</f>
        <v>19.91898130184838</v>
      </c>
    </row>
    <row r="11" spans="1:10" ht="17.25" customHeight="1" x14ac:dyDescent="0.25">
      <c r="A11" s="8">
        <v>6</v>
      </c>
      <c r="B11" s="37"/>
      <c r="C11" s="9" t="s">
        <v>75</v>
      </c>
      <c r="D11" s="10">
        <f>'Skyline PS'!K11</f>
        <v>166639</v>
      </c>
      <c r="E11" s="11">
        <f>'Skyline PS'!K10</f>
        <v>0.87588235294117656</v>
      </c>
      <c r="F11" s="12">
        <f>'Skyline PS'!K16</f>
        <v>120355.72095435685</v>
      </c>
      <c r="G11" s="13">
        <f>'Skyline PS'!K15</f>
        <v>0.56950207468879666</v>
      </c>
      <c r="H11" s="14">
        <f>'Skyline PS'!K17</f>
        <v>46283.279045643154</v>
      </c>
      <c r="I11" s="15">
        <f>'Skyline PS'!K18</f>
        <v>34.979615381399988</v>
      </c>
      <c r="J11" s="15">
        <f>'Skyline PS'!K19</f>
        <v>30.546964170124483</v>
      </c>
    </row>
    <row r="12" spans="1:10" ht="17.25" customHeight="1" x14ac:dyDescent="0.25">
      <c r="A12" s="8">
        <v>7</v>
      </c>
      <c r="B12" s="38"/>
      <c r="C12" s="9" t="s">
        <v>70</v>
      </c>
      <c r="D12" s="10">
        <f>'Skyline PS'!O11</f>
        <v>264</v>
      </c>
      <c r="E12" s="11" t="s">
        <v>72</v>
      </c>
      <c r="F12" s="12">
        <f>'Skyline PS'!O16</f>
        <v>63</v>
      </c>
      <c r="G12" s="13" t="s">
        <v>72</v>
      </c>
      <c r="H12" s="14">
        <f>'Skyline PS'!O17</f>
        <v>201</v>
      </c>
      <c r="I12" s="15">
        <f>'Skyline PS'!O18</f>
        <v>76.13636363636364</v>
      </c>
      <c r="J12" s="15">
        <f>'Skyline PS'!O19</f>
        <v>0.13266</v>
      </c>
    </row>
    <row r="13" spans="1:10" ht="17.25" customHeight="1" x14ac:dyDescent="0.25">
      <c r="A13" s="8">
        <v>8</v>
      </c>
      <c r="B13" s="36" t="s">
        <v>79</v>
      </c>
      <c r="C13" s="9" t="s">
        <v>80</v>
      </c>
      <c r="D13" s="10">
        <f>'Tasahe PS'!C11</f>
        <v>104992</v>
      </c>
      <c r="E13" s="11">
        <f>'Tasahe PS'!C10</f>
        <v>0.42799999999999999</v>
      </c>
      <c r="F13" s="12">
        <f>'Tasahe PS'!C16</f>
        <v>68265.641238670694</v>
      </c>
      <c r="G13" s="13">
        <f>'Tasahe PS'!C15</f>
        <v>0.23525679758308154</v>
      </c>
      <c r="H13" s="14">
        <f>'Tasahe PS'!C17</f>
        <v>34394.417270396429</v>
      </c>
      <c r="I13" s="15">
        <f>'Tasahe PS'!C18</f>
        <v>45.033458508625813</v>
      </c>
      <c r="J13" s="15">
        <f>'Tasahe PS'!C19</f>
        <v>22.700315398461644</v>
      </c>
    </row>
    <row r="14" spans="1:10" ht="17.25" customHeight="1" x14ac:dyDescent="0.25">
      <c r="A14" s="8">
        <v>9</v>
      </c>
      <c r="B14" s="37"/>
      <c r="C14" s="9" t="s">
        <v>69</v>
      </c>
      <c r="D14" s="10">
        <f>'Tasahe PS'!G11</f>
        <v>78653</v>
      </c>
      <c r="E14" s="11">
        <f>'Tasahe PS'!G10</f>
        <v>0.7496402877697842</v>
      </c>
      <c r="F14" s="12">
        <f>'Tasahe PS'!G16</f>
        <v>55309.539930555547</v>
      </c>
      <c r="G14" s="13">
        <f>'Tasahe PS'!G15</f>
        <v>0.4680555555555555</v>
      </c>
      <c r="H14" s="14">
        <f>'Tasahe PS'!G17</f>
        <v>23343.460069444453</v>
      </c>
      <c r="I14" s="15">
        <f>'Tasahe PS'!G18</f>
        <v>37.562646619748357</v>
      </c>
      <c r="J14" s="15">
        <f>'Tasahe PS'!G19</f>
        <v>15.40668364583334</v>
      </c>
    </row>
    <row r="15" spans="1:10" ht="17.25" customHeight="1" x14ac:dyDescent="0.25">
      <c r="A15" s="8">
        <v>10</v>
      </c>
      <c r="B15" s="38"/>
      <c r="C15" s="9" t="s">
        <v>70</v>
      </c>
      <c r="D15" s="10">
        <f>'Tasahe PS'!K11</f>
        <v>264</v>
      </c>
      <c r="E15" s="11" t="s">
        <v>72</v>
      </c>
      <c r="F15" s="12">
        <f>'Tasahe PS'!K16</f>
        <v>63</v>
      </c>
      <c r="G15" s="13" t="s">
        <v>72</v>
      </c>
      <c r="H15" s="14">
        <f>'Tasahe PS'!K17</f>
        <v>201</v>
      </c>
      <c r="I15" s="15">
        <f>'Tasahe PS'!K18</f>
        <v>76.13636363636364</v>
      </c>
      <c r="J15" s="15">
        <f>'Tasahe PS'!K19</f>
        <v>0.13266</v>
      </c>
    </row>
    <row r="16" spans="1:10" ht="17.25" customHeight="1" x14ac:dyDescent="0.25">
      <c r="A16" s="8">
        <v>11</v>
      </c>
      <c r="B16" s="36" t="s">
        <v>81</v>
      </c>
      <c r="C16" s="9" t="s">
        <v>73</v>
      </c>
      <c r="D16" s="10">
        <f>'Titinge PS'!C11</f>
        <v>158038</v>
      </c>
      <c r="E16" s="11">
        <f>'Titinge PS'!C10</f>
        <v>0.32969151670951158</v>
      </c>
      <c r="F16" s="12">
        <f>'Titinge PS'!C17</f>
        <v>151669.4060835329</v>
      </c>
      <c r="G16" s="13">
        <f>'Titinge PS'!C16</f>
        <v>0.3215450123090145</v>
      </c>
      <c r="H16" s="14">
        <f>'Titinge PS'!C18</f>
        <v>6368.5939164670999</v>
      </c>
      <c r="I16" s="15">
        <f>'Titinge PS'!C19</f>
        <v>2.470947533562077</v>
      </c>
      <c r="J16" s="15">
        <f>'Titinge PS'!C20</f>
        <v>4.2032719848682865</v>
      </c>
    </row>
    <row r="17" spans="1:10" ht="17.25" customHeight="1" x14ac:dyDescent="0.25">
      <c r="A17" s="8">
        <v>12</v>
      </c>
      <c r="B17" s="37"/>
      <c r="C17" s="9" t="s">
        <v>80</v>
      </c>
      <c r="D17" s="10">
        <f>'Titinge PS'!G11</f>
        <v>107486</v>
      </c>
      <c r="E17" s="11">
        <f>'Titinge PS'!G10</f>
        <v>0.45948905109489052</v>
      </c>
      <c r="F17" s="12">
        <f>'Titinge PS'!G16</f>
        <v>78341.50462962962</v>
      </c>
      <c r="G17" s="13">
        <f>'Titinge PS'!G15</f>
        <v>0.4143518518518518</v>
      </c>
      <c r="H17" s="14">
        <f>'Titinge PS'!G17</f>
        <v>27293.964572364093</v>
      </c>
      <c r="I17" s="15">
        <f>'Titinge PS'!G18</f>
        <v>9.8233459829965124</v>
      </c>
      <c r="J17" s="15">
        <f>'Titinge PS'!G19</f>
        <v>18.014016617760301</v>
      </c>
    </row>
    <row r="18" spans="1:10" ht="17.25" customHeight="1" x14ac:dyDescent="0.25">
      <c r="A18" s="8">
        <v>13</v>
      </c>
      <c r="B18" s="37"/>
      <c r="C18" s="9" t="s">
        <v>69</v>
      </c>
      <c r="D18" s="10">
        <f>'Titinge PS'!K11</f>
        <v>68700</v>
      </c>
      <c r="E18" s="11">
        <f>'Titinge PS'!K10</f>
        <v>0.4975</v>
      </c>
      <c r="F18" s="12">
        <f>'Titinge PS'!K16</f>
        <v>64448.726821192045</v>
      </c>
      <c r="G18" s="13">
        <f>'Titinge PS'!K15</f>
        <v>0.48642384105960262</v>
      </c>
      <c r="H18" s="14">
        <f>'Titinge PS'!K17</f>
        <v>4251.2731788079545</v>
      </c>
      <c r="I18" s="15">
        <f>'Titinge PS'!K18</f>
        <v>2.2263636061100249</v>
      </c>
      <c r="J18" s="15">
        <f>'Titinge PS'!K19</f>
        <v>2.80584029801325</v>
      </c>
    </row>
    <row r="19" spans="1:10" ht="17.25" customHeight="1" x14ac:dyDescent="0.25">
      <c r="A19" s="8">
        <v>14</v>
      </c>
      <c r="B19" s="38"/>
      <c r="C19" s="9" t="s">
        <v>70</v>
      </c>
      <c r="D19" s="10">
        <f>'Titinge PS'!O11</f>
        <v>264</v>
      </c>
      <c r="E19" s="11" t="s">
        <v>72</v>
      </c>
      <c r="F19" s="12">
        <f>'Titinge PS'!O16</f>
        <v>63</v>
      </c>
      <c r="G19" s="13" t="s">
        <v>72</v>
      </c>
      <c r="H19" s="14">
        <f>'Titinge PS'!O17</f>
        <v>201</v>
      </c>
      <c r="I19" s="15">
        <f>'Titinge PS'!O18</f>
        <v>76.13636363636364</v>
      </c>
      <c r="J19" s="15">
        <f>'Titinge PS'!O19</f>
        <v>0.13266</v>
      </c>
    </row>
    <row r="20" spans="1:10" ht="17.25" customHeight="1" x14ac:dyDescent="0.25">
      <c r="A20" s="8">
        <v>15</v>
      </c>
      <c r="B20" s="36" t="s">
        <v>82</v>
      </c>
      <c r="C20" s="9" t="s">
        <v>83</v>
      </c>
      <c r="D20" s="10">
        <f>'Tuvaruhu JICA PS'!C11</f>
        <v>323788</v>
      </c>
      <c r="E20" s="11">
        <f>'Tuvaruhu JICA PS'!C10</f>
        <v>0.61787439613526562</v>
      </c>
      <c r="F20" s="12">
        <f>'Tuvaruhu JICA PS'!C17</f>
        <v>218235.57844020039</v>
      </c>
      <c r="G20" s="13">
        <f>'Tuvaruhu JICA PS'!C16</f>
        <v>0.4011712925098721</v>
      </c>
      <c r="H20" s="14">
        <f>'Tuvaruhu JICA PS'!C18</f>
        <v>105552.42155979961</v>
      </c>
      <c r="I20" s="15">
        <f>'Tuvaruhu JICA PS'!C19</f>
        <v>35.072355317010533</v>
      </c>
      <c r="J20" s="15">
        <f>'Tuvaruhu JICA PS'!C20</f>
        <v>69.664598229467742</v>
      </c>
    </row>
    <row r="21" spans="1:10" ht="17.25" customHeight="1" x14ac:dyDescent="0.25">
      <c r="A21" s="8">
        <v>16</v>
      </c>
      <c r="B21" s="37"/>
      <c r="C21" s="9" t="s">
        <v>74</v>
      </c>
      <c r="D21" s="10">
        <f>'Tuvaruhu JICA PS'!G11</f>
        <v>64841</v>
      </c>
      <c r="E21" s="11">
        <f>'Tuvaruhu JICA PS'!G10</f>
        <v>0.31330645161290321</v>
      </c>
      <c r="F21" s="12">
        <f>'Tuvaruhu JICA PS'!G16</f>
        <v>53506.250000000007</v>
      </c>
      <c r="G21" s="13">
        <f>'Tuvaruhu JICA PS'!G15</f>
        <v>0.2094178082191781</v>
      </c>
      <c r="H21" s="14">
        <f>'Tuvaruhu JICA PS'!G17</f>
        <v>10615.049634763056</v>
      </c>
      <c r="I21" s="15">
        <f>'Tuvaruhu JICA PS'!G18</f>
        <v>33.15879480263041</v>
      </c>
      <c r="J21" s="15">
        <f>'Tuvaruhu JICA PS'!G19</f>
        <v>7.0059327589436169</v>
      </c>
    </row>
    <row r="22" spans="1:10" ht="17.25" customHeight="1" x14ac:dyDescent="0.25">
      <c r="A22" s="8">
        <v>17</v>
      </c>
      <c r="B22" s="37"/>
      <c r="C22" s="9" t="s">
        <v>75</v>
      </c>
      <c r="D22" s="10">
        <f>'Tuvaruhu JICA PS'!K11</f>
        <v>92248</v>
      </c>
      <c r="E22" s="11">
        <f>'Tuvaruhu JICA PS'!K10</f>
        <v>0.2781491002570694</v>
      </c>
      <c r="F22" s="12">
        <f>'Tuvaruhu JICA PS'!K16</f>
        <v>57316.68</v>
      </c>
      <c r="G22" s="13">
        <f>'Tuvaruhu JICA PS'!K15</f>
        <v>0.1539529411764706</v>
      </c>
      <c r="H22" s="14">
        <f>'Tuvaruhu JICA PS'!K17</f>
        <v>34931.32</v>
      </c>
      <c r="I22" s="15">
        <f>'Tuvaruhu JICA PS'!K18</f>
        <v>44.65092965097314</v>
      </c>
      <c r="J22" s="15">
        <f>'Tuvaruhu JICA PS'!K19</f>
        <v>23.054671200000001</v>
      </c>
    </row>
    <row r="23" spans="1:10" ht="17.25" customHeight="1" x14ac:dyDescent="0.25">
      <c r="A23" s="8">
        <v>18</v>
      </c>
      <c r="B23" s="38"/>
      <c r="C23" s="9" t="s">
        <v>70</v>
      </c>
      <c r="D23" s="10">
        <f>'Tuvaruhu JICA PS'!O11</f>
        <v>44</v>
      </c>
      <c r="E23" s="11" t="s">
        <v>72</v>
      </c>
      <c r="F23" s="12">
        <f>'Tuvaruhu JICA PS'!O16</f>
        <v>15.75</v>
      </c>
      <c r="G23" s="13" t="s">
        <v>72</v>
      </c>
      <c r="H23" s="14">
        <f>'Tuvaruhu JICA PS'!O17</f>
        <v>28.25</v>
      </c>
      <c r="I23" s="15">
        <f>'Tuvaruhu JICA PS'!O18</f>
        <v>64.204545454545453</v>
      </c>
      <c r="J23" s="66">
        <f>'Tuvaruhu JICA PS'!O19</f>
        <v>1.8644999999999998E-2</v>
      </c>
    </row>
    <row r="24" spans="1:10" ht="17.25" customHeight="1" x14ac:dyDescent="0.25">
      <c r="A24" s="8">
        <v>19</v>
      </c>
      <c r="B24" s="36" t="s">
        <v>84</v>
      </c>
      <c r="C24" s="9" t="s">
        <v>83</v>
      </c>
      <c r="D24" s="10">
        <f>'Tuvaruhu SIWA PS'!C11+'Tuvaruhu SIWA PS'!G11</f>
        <v>132548</v>
      </c>
      <c r="E24" s="11">
        <f>('Tuvaruhu SIWA PS'!C8+'Tuvaruhu SIWA PS'!G8)/('Tuvaruhu SIWA PS'!C6+'Tuvaruhu SIWA PS'!G6)</f>
        <v>0.26015686274509803</v>
      </c>
      <c r="F24" s="12">
        <f>'Tuvaruhu SIWA PS'!C17+'Tuvaruhu SIWA PS'!G17</f>
        <v>97588.231112520065</v>
      </c>
      <c r="G24" s="13">
        <f>('Tuvaruhu SIWA PS'!C15+'Tuvaruhu SIWA PS'!G15)/('Tuvaruhu SIWA PS'!C14+'Tuvaruhu SIWA PS'!G14)</f>
        <v>0.18887045545820169</v>
      </c>
      <c r="H24" s="14">
        <f>'Tuvaruhu SIWA PS'!C18+'Tuvaruhu SIWA PS'!G18</f>
        <v>34959.768887479935</v>
      </c>
      <c r="I24" s="15">
        <f>(E24-G24)*100/E24</f>
        <v>27.401317241722289</v>
      </c>
      <c r="J24" s="15">
        <f>'Tuvaruhu SIWA PS'!C20+'Tuvaruhu SIWA PS'!G20</f>
        <v>23.073447465736759</v>
      </c>
    </row>
    <row r="25" spans="1:10" ht="17.25" customHeight="1" x14ac:dyDescent="0.25">
      <c r="A25" s="8">
        <v>20</v>
      </c>
      <c r="B25" s="37"/>
      <c r="C25" s="9" t="s">
        <v>69</v>
      </c>
      <c r="D25" s="10">
        <f>'Tuvaruhu SIWA PS'!K11</f>
        <v>99911</v>
      </c>
      <c r="E25" s="11">
        <f>'Tuvaruhu SIWA PS'!K10</f>
        <v>0.27890995260663504</v>
      </c>
      <c r="F25" s="12">
        <f>'Tuvaruhu SIWA PS'!K16</f>
        <v>67555.580684104629</v>
      </c>
      <c r="G25" s="13">
        <f>'Tuvaruhu SIWA PS'!K15</f>
        <v>0.15527162977867201</v>
      </c>
      <c r="H25" s="14">
        <f>'Tuvaruhu SIWA PS'!K17</f>
        <v>32355.419315895371</v>
      </c>
      <c r="I25" s="15">
        <f>'Tuvaruhu SIWA PS'!K18</f>
        <v>44.329118295157521</v>
      </c>
      <c r="J25" s="15">
        <f>'Tuvaruhu SIWA PS'!K19</f>
        <v>21.354576748490945</v>
      </c>
    </row>
    <row r="26" spans="1:10" ht="17.25" customHeight="1" x14ac:dyDescent="0.25">
      <c r="A26" s="8">
        <v>21</v>
      </c>
      <c r="B26" s="38"/>
      <c r="C26" s="9" t="s">
        <v>70</v>
      </c>
      <c r="D26" s="10">
        <f>'Tuvaruhu SIWA PS'!O11</f>
        <v>55</v>
      </c>
      <c r="E26" s="11" t="s">
        <v>72</v>
      </c>
      <c r="F26" s="12">
        <f>'Tuvaruhu SIWA PS'!O16</f>
        <v>21</v>
      </c>
      <c r="G26" s="13" t="s">
        <v>72</v>
      </c>
      <c r="H26" s="14">
        <f>'Tuvaruhu SIWA PS'!O17</f>
        <v>34</v>
      </c>
      <c r="I26" s="15">
        <f>'Tuvaruhu SIWA PS'!O18</f>
        <v>61.81818181818182</v>
      </c>
      <c r="J26" s="66">
        <f>'Tuvaruhu SIWA PS'!O19</f>
        <v>2.2440000000000002E-2</v>
      </c>
    </row>
    <row r="27" spans="1:10" ht="17.25" customHeight="1" x14ac:dyDescent="0.25">
      <c r="A27" s="8">
        <v>22</v>
      </c>
      <c r="B27" s="36" t="s">
        <v>85</v>
      </c>
      <c r="C27" s="9" t="s">
        <v>68</v>
      </c>
      <c r="D27" s="10">
        <f>'Kwaibala PS'!C11</f>
        <v>70873</v>
      </c>
      <c r="E27" s="11">
        <f>'Kwaibala PS'!C10</f>
        <v>0.33991596638655458</v>
      </c>
      <c r="F27" s="12">
        <f>'Kwaibala PS'!C16</f>
        <v>44991.710400000004</v>
      </c>
      <c r="G27" s="13">
        <f>'Kwaibala PS'!C15</f>
        <v>0.21579999999999999</v>
      </c>
      <c r="H27" s="14">
        <f>'Kwaibala PS'!C17</f>
        <v>25881.289599999996</v>
      </c>
      <c r="I27" s="15">
        <f>'Kwaibala PS'!C18</f>
        <v>36.513720642768845</v>
      </c>
      <c r="J27" s="15">
        <f>'Kwaibala PS'!C19</f>
        <v>17.081651135999998</v>
      </c>
    </row>
    <row r="28" spans="1:10" ht="17.25" customHeight="1" x14ac:dyDescent="0.25">
      <c r="A28" s="8">
        <v>23</v>
      </c>
      <c r="B28" s="38"/>
      <c r="C28" s="9" t="s">
        <v>70</v>
      </c>
      <c r="D28" s="10">
        <f>'Kwaibala PS'!G11</f>
        <v>66</v>
      </c>
      <c r="E28" s="11" t="s">
        <v>72</v>
      </c>
      <c r="F28" s="12">
        <f>'Kwaibala PS'!G16</f>
        <v>21</v>
      </c>
      <c r="G28" s="13" t="s">
        <v>72</v>
      </c>
      <c r="H28" s="14">
        <f>'Kwaibala PS'!G17</f>
        <v>45</v>
      </c>
      <c r="I28" s="15">
        <f>'Kwaibala PS'!G18</f>
        <v>68.181818181818187</v>
      </c>
      <c r="J28" s="66">
        <f>'Kwaibala PS'!G19</f>
        <v>2.9700000000000004E-2</v>
      </c>
    </row>
    <row r="29" spans="1:10" ht="17.25" customHeight="1" x14ac:dyDescent="0.25">
      <c r="J29" s="67"/>
    </row>
  </sheetData>
  <sheetProtection algorithmName="SHA-1" hashValue="7/m0ncqf1eJieRNzjoCjNTQNymo=" saltValue="KBQnWepV2zq0oct6jJW7/g==" spinCount="100000" sheet="1" objects="1" scenarios="1"/>
  <mergeCells count="14">
    <mergeCell ref="A1:C1"/>
    <mergeCell ref="D3:E3"/>
    <mergeCell ref="F3:G3"/>
    <mergeCell ref="A3:A5"/>
    <mergeCell ref="B3:B5"/>
    <mergeCell ref="C3:C5"/>
    <mergeCell ref="H3:J3"/>
    <mergeCell ref="B24:B26"/>
    <mergeCell ref="B27:B28"/>
    <mergeCell ref="B6:B8"/>
    <mergeCell ref="B9:B12"/>
    <mergeCell ref="B13:B15"/>
    <mergeCell ref="B16:B19"/>
    <mergeCell ref="B20:B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2D57-8EE6-464B-9CBD-E29504CCC2E8}">
  <dimension ref="A1:K19"/>
  <sheetViews>
    <sheetView tabSelected="1" workbookViewId="0">
      <selection activeCell="A19" sqref="A19:C19"/>
    </sheetView>
  </sheetViews>
  <sheetFormatPr defaultRowHeight="17.25" customHeight="1" x14ac:dyDescent="0.25"/>
  <cols>
    <col min="1" max="1" width="28.140625" style="52" customWidth="1"/>
    <col min="2" max="3" width="11.85546875" style="52" customWidth="1"/>
    <col min="4" max="4" width="4.5703125" style="52" customWidth="1"/>
    <col min="5" max="5" width="28.140625" style="52" customWidth="1"/>
    <col min="6" max="6" width="11.85546875" style="52" customWidth="1"/>
    <col min="7" max="7" width="12.85546875" style="52" customWidth="1"/>
    <col min="8" max="8" width="4.5703125" style="52" customWidth="1"/>
    <col min="9" max="9" width="28.140625" style="52" customWidth="1"/>
    <col min="10" max="10" width="11.85546875" style="52" customWidth="1"/>
    <col min="11" max="11" width="12.42578125" style="52" customWidth="1"/>
    <col min="12" max="16384" width="9.140625" style="52"/>
  </cols>
  <sheetData>
    <row r="1" spans="1:11" ht="17.25" customHeight="1" x14ac:dyDescent="0.25">
      <c r="A1" s="51" t="s">
        <v>43</v>
      </c>
    </row>
    <row r="3" spans="1:11" ht="17.25" customHeight="1" x14ac:dyDescent="0.25">
      <c r="A3" s="53" t="s">
        <v>8</v>
      </c>
      <c r="B3" s="53"/>
      <c r="C3" s="53"/>
      <c r="E3" s="53" t="s">
        <v>25</v>
      </c>
      <c r="F3" s="53"/>
      <c r="G3" s="53"/>
      <c r="I3" s="53" t="s">
        <v>28</v>
      </c>
      <c r="J3" s="53"/>
      <c r="K3" s="53"/>
    </row>
    <row r="4" spans="1:11" s="56" customFormat="1" ht="17.25" customHeight="1" x14ac:dyDescent="0.25">
      <c r="A4" s="54" t="s">
        <v>0</v>
      </c>
      <c r="B4" s="54" t="s">
        <v>1</v>
      </c>
      <c r="C4" s="55" t="s">
        <v>2</v>
      </c>
      <c r="E4" s="54" t="s">
        <v>0</v>
      </c>
      <c r="F4" s="54" t="s">
        <v>1</v>
      </c>
      <c r="G4" s="55" t="s">
        <v>2</v>
      </c>
      <c r="I4" s="54" t="s">
        <v>0</v>
      </c>
      <c r="J4" s="54" t="s">
        <v>1</v>
      </c>
      <c r="K4" s="55" t="s">
        <v>2</v>
      </c>
    </row>
    <row r="5" spans="1:11" s="56" customFormat="1" ht="17.25" customHeight="1" x14ac:dyDescent="0.25">
      <c r="A5" s="57" t="s">
        <v>9</v>
      </c>
      <c r="B5" s="57"/>
      <c r="C5" s="57"/>
      <c r="E5" s="57" t="s">
        <v>9</v>
      </c>
      <c r="F5" s="57"/>
      <c r="G5" s="57"/>
      <c r="I5" s="57" t="s">
        <v>9</v>
      </c>
      <c r="J5" s="57"/>
      <c r="K5" s="57"/>
    </row>
    <row r="6" spans="1:11" ht="17.25" customHeight="1" x14ac:dyDescent="0.25">
      <c r="A6" s="58" t="s">
        <v>3</v>
      </c>
      <c r="B6" s="58" t="s">
        <v>7</v>
      </c>
      <c r="C6" s="59">
        <v>34.299999999999997</v>
      </c>
      <c r="E6" s="58" t="s">
        <v>3</v>
      </c>
      <c r="F6" s="58" t="s">
        <v>7</v>
      </c>
      <c r="G6" s="59">
        <v>36.1</v>
      </c>
      <c r="I6" s="58" t="s">
        <v>29</v>
      </c>
      <c r="J6" s="58" t="s">
        <v>30</v>
      </c>
      <c r="K6" s="59">
        <v>36</v>
      </c>
    </row>
    <row r="7" spans="1:11" ht="17.25" customHeight="1" x14ac:dyDescent="0.25">
      <c r="A7" s="58" t="s">
        <v>5</v>
      </c>
      <c r="B7" s="58" t="s">
        <v>4</v>
      </c>
      <c r="C7" s="59">
        <v>33</v>
      </c>
      <c r="E7" s="58" t="s">
        <v>26</v>
      </c>
      <c r="F7" s="58" t="s">
        <v>4</v>
      </c>
      <c r="G7" s="59">
        <v>59.7</v>
      </c>
      <c r="I7" s="58" t="s">
        <v>31</v>
      </c>
      <c r="J7" s="58" t="s">
        <v>30</v>
      </c>
      <c r="K7" s="59">
        <v>8</v>
      </c>
    </row>
    <row r="8" spans="1:11" ht="17.25" customHeight="1" x14ac:dyDescent="0.25">
      <c r="A8" s="58" t="s">
        <v>14</v>
      </c>
      <c r="B8" s="58" t="s">
        <v>6</v>
      </c>
      <c r="C8" s="59">
        <v>7.01</v>
      </c>
      <c r="E8" s="58" t="s">
        <v>14</v>
      </c>
      <c r="F8" s="58" t="s">
        <v>6</v>
      </c>
      <c r="G8" s="59">
        <v>13.16</v>
      </c>
      <c r="I8" s="58" t="s">
        <v>35</v>
      </c>
      <c r="J8" s="58" t="s">
        <v>36</v>
      </c>
      <c r="K8" s="59">
        <v>24</v>
      </c>
    </row>
    <row r="9" spans="1:11" ht="17.25" customHeight="1" x14ac:dyDescent="0.25">
      <c r="A9" s="58" t="s">
        <v>10</v>
      </c>
      <c r="B9" s="58" t="s">
        <v>11</v>
      </c>
      <c r="C9" s="60">
        <v>350.88900000000001</v>
      </c>
      <c r="E9" s="58" t="s">
        <v>10</v>
      </c>
      <c r="F9" s="58" t="s">
        <v>11</v>
      </c>
      <c r="G9" s="60">
        <v>769</v>
      </c>
      <c r="I9" s="58" t="s">
        <v>37</v>
      </c>
      <c r="J9" s="58" t="s">
        <v>6</v>
      </c>
      <c r="K9" s="61">
        <v>1.056</v>
      </c>
    </row>
    <row r="10" spans="1:11" ht="17.25" customHeight="1" x14ac:dyDescent="0.25">
      <c r="A10" s="58" t="s">
        <v>16</v>
      </c>
      <c r="B10" s="58" t="s">
        <v>32</v>
      </c>
      <c r="C10" s="26">
        <f>C8/C6</f>
        <v>0.20437317784256562</v>
      </c>
      <c r="E10" s="58" t="s">
        <v>16</v>
      </c>
      <c r="F10" s="58" t="s">
        <v>32</v>
      </c>
      <c r="G10" s="26">
        <f>G8/G6</f>
        <v>0.36454293628808865</v>
      </c>
      <c r="I10" s="58" t="s">
        <v>38</v>
      </c>
      <c r="J10" s="58" t="s">
        <v>39</v>
      </c>
      <c r="K10" s="62">
        <v>250</v>
      </c>
    </row>
    <row r="11" spans="1:11" ht="17.25" customHeight="1" x14ac:dyDescent="0.25">
      <c r="A11" s="58" t="s">
        <v>12</v>
      </c>
      <c r="B11" s="58" t="s">
        <v>13</v>
      </c>
      <c r="C11" s="62">
        <v>25881</v>
      </c>
      <c r="E11" s="58" t="s">
        <v>12</v>
      </c>
      <c r="F11" s="58" t="s">
        <v>13</v>
      </c>
      <c r="G11" s="62">
        <v>104257</v>
      </c>
      <c r="I11" s="58" t="s">
        <v>12</v>
      </c>
      <c r="J11" s="58" t="s">
        <v>13</v>
      </c>
      <c r="K11" s="62">
        <v>264</v>
      </c>
    </row>
    <row r="12" spans="1:11" ht="17.25" customHeight="1" x14ac:dyDescent="0.25">
      <c r="A12" s="63" t="s">
        <v>15</v>
      </c>
      <c r="B12" s="63"/>
      <c r="C12" s="63"/>
      <c r="E12" s="63" t="s">
        <v>15</v>
      </c>
      <c r="F12" s="63"/>
      <c r="G12" s="63"/>
      <c r="I12" s="63" t="s">
        <v>15</v>
      </c>
      <c r="J12" s="63"/>
      <c r="K12" s="63"/>
    </row>
    <row r="13" spans="1:11" ht="17.25" customHeight="1" x14ac:dyDescent="0.25">
      <c r="A13" s="58" t="s">
        <v>17</v>
      </c>
      <c r="B13" s="58" t="s">
        <v>7</v>
      </c>
      <c r="C13" s="32">
        <v>64</v>
      </c>
      <c r="E13" s="58" t="s">
        <v>17</v>
      </c>
      <c r="F13" s="58" t="s">
        <v>7</v>
      </c>
      <c r="G13" s="32">
        <v>32</v>
      </c>
      <c r="I13" s="58" t="s">
        <v>40</v>
      </c>
      <c r="J13" s="58" t="s">
        <v>30</v>
      </c>
      <c r="K13" s="33">
        <v>21</v>
      </c>
    </row>
    <row r="14" spans="1:11" ht="17.25" customHeight="1" x14ac:dyDescent="0.25">
      <c r="A14" s="58" t="s">
        <v>14</v>
      </c>
      <c r="B14" s="58" t="s">
        <v>6</v>
      </c>
      <c r="C14" s="32">
        <v>9.0869999999999997</v>
      </c>
      <c r="E14" s="58" t="s">
        <v>14</v>
      </c>
      <c r="F14" s="58" t="s">
        <v>6</v>
      </c>
      <c r="G14" s="32">
        <v>8.9865999999999993</v>
      </c>
      <c r="I14" s="58" t="s">
        <v>41</v>
      </c>
      <c r="J14" s="58" t="s">
        <v>36</v>
      </c>
      <c r="K14" s="33">
        <v>12</v>
      </c>
    </row>
    <row r="15" spans="1:11" ht="17.25" customHeight="1" x14ac:dyDescent="0.25">
      <c r="A15" s="58" t="s">
        <v>16</v>
      </c>
      <c r="B15" s="58" t="s">
        <v>32</v>
      </c>
      <c r="C15" s="26">
        <f>C14/C13</f>
        <v>0.141984375</v>
      </c>
      <c r="E15" s="58" t="s">
        <v>16</v>
      </c>
      <c r="F15" s="58" t="s">
        <v>32</v>
      </c>
      <c r="G15" s="26">
        <f>G14/G13</f>
        <v>0.28083124999999998</v>
      </c>
      <c r="I15" s="58" t="s">
        <v>38</v>
      </c>
      <c r="J15" s="58" t="s">
        <v>39</v>
      </c>
      <c r="K15" s="62">
        <v>250</v>
      </c>
    </row>
    <row r="16" spans="1:11" ht="17.25" customHeight="1" x14ac:dyDescent="0.25">
      <c r="A16" s="58" t="s">
        <v>12</v>
      </c>
      <c r="B16" s="58" t="s">
        <v>13</v>
      </c>
      <c r="C16" s="27">
        <f>(C9/C13)*C14*365</f>
        <v>18184.575706171876</v>
      </c>
      <c r="E16" s="58" t="s">
        <v>12</v>
      </c>
      <c r="F16" s="58" t="s">
        <v>13</v>
      </c>
      <c r="G16" s="27">
        <f>(G9/G13)*G14*365</f>
        <v>78825.11940625</v>
      </c>
      <c r="I16" s="58" t="s">
        <v>12</v>
      </c>
      <c r="J16" s="58" t="s">
        <v>13</v>
      </c>
      <c r="K16" s="62">
        <f>K13*K14*K15/1000</f>
        <v>63</v>
      </c>
    </row>
    <row r="17" spans="1:11" s="65" customFormat="1" ht="17.25" customHeight="1" x14ac:dyDescent="0.25">
      <c r="A17" s="64" t="s">
        <v>18</v>
      </c>
      <c r="B17" s="64" t="s">
        <v>13</v>
      </c>
      <c r="C17" s="29">
        <f>C11-C16</f>
        <v>7696.4242938281241</v>
      </c>
      <c r="E17" s="64" t="s">
        <v>18</v>
      </c>
      <c r="F17" s="64" t="s">
        <v>13</v>
      </c>
      <c r="G17" s="29">
        <f>G11-G16</f>
        <v>25431.88059375</v>
      </c>
      <c r="I17" s="64" t="s">
        <v>18</v>
      </c>
      <c r="J17" s="64" t="s">
        <v>13</v>
      </c>
      <c r="K17" s="29">
        <f>K11-K16</f>
        <v>201</v>
      </c>
    </row>
    <row r="18" spans="1:11" s="65" customFormat="1" ht="17.25" customHeight="1" x14ac:dyDescent="0.25">
      <c r="A18" s="64" t="s">
        <v>34</v>
      </c>
      <c r="B18" s="64" t="s">
        <v>33</v>
      </c>
      <c r="C18" s="31">
        <f>(C10-C15)*100/C10</f>
        <v>30.526903530670481</v>
      </c>
      <c r="E18" s="64" t="s">
        <v>34</v>
      </c>
      <c r="F18" s="64" t="s">
        <v>33</v>
      </c>
      <c r="G18" s="31">
        <f>(G10-G15)*100/G10</f>
        <v>22.963464095744687</v>
      </c>
      <c r="I18" s="64" t="s">
        <v>34</v>
      </c>
      <c r="J18" s="64" t="s">
        <v>33</v>
      </c>
      <c r="K18" s="31">
        <f>(K11-K16)*100/K11</f>
        <v>76.13636363636364</v>
      </c>
    </row>
    <row r="19" spans="1:11" ht="17.25" customHeight="1" x14ac:dyDescent="0.25">
      <c r="A19" s="64" t="s">
        <v>88</v>
      </c>
      <c r="B19" s="64" t="s">
        <v>89</v>
      </c>
      <c r="C19" s="50">
        <f>C17*0.66/1000</f>
        <v>5.0796400339265624</v>
      </c>
      <c r="E19" s="64" t="s">
        <v>88</v>
      </c>
      <c r="F19" s="64" t="s">
        <v>89</v>
      </c>
      <c r="G19" s="50">
        <f>G17*0.66/1000</f>
        <v>16.785041191874999</v>
      </c>
      <c r="I19" s="64" t="s">
        <v>88</v>
      </c>
      <c r="J19" s="64" t="s">
        <v>89</v>
      </c>
      <c r="K19" s="50">
        <f>K17*0.66/1000</f>
        <v>0.13266</v>
      </c>
    </row>
  </sheetData>
  <sheetProtection algorithmName="SHA-1" hashValue="rRSDr/XFU+3DuvYCBwcskaiWJmU=" saltValue="KgctqjekPP5DwGTN8m3rHA==" spinCount="100000" sheet="1" objects="1" scenarios="1"/>
  <mergeCells count="9">
    <mergeCell ref="I3:K3"/>
    <mergeCell ref="I5:K5"/>
    <mergeCell ref="I12:K12"/>
    <mergeCell ref="A3:C3"/>
    <mergeCell ref="E3:G3"/>
    <mergeCell ref="A5:C5"/>
    <mergeCell ref="E5:G5"/>
    <mergeCell ref="A12:C12"/>
    <mergeCell ref="E12:G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AD7A-5D35-425B-8C55-D2096E3D07C8}">
  <dimension ref="A1:O20"/>
  <sheetViews>
    <sheetView workbookViewId="0">
      <selection activeCell="E19" sqref="E19:G19"/>
    </sheetView>
  </sheetViews>
  <sheetFormatPr defaultRowHeight="17.25" customHeight="1" x14ac:dyDescent="0.25"/>
  <cols>
    <col min="1" max="1" width="28.140625" style="19" customWidth="1"/>
    <col min="2" max="3" width="11.85546875" style="19" customWidth="1"/>
    <col min="4" max="4" width="4.5703125" style="19" customWidth="1"/>
    <col min="5" max="5" width="28.140625" style="19" customWidth="1"/>
    <col min="6" max="6" width="11.85546875" style="19" customWidth="1"/>
    <col min="7" max="7" width="12.85546875" style="19" customWidth="1"/>
    <col min="8" max="8" width="4.5703125" style="19" customWidth="1"/>
    <col min="9" max="9" width="28.140625" style="19" customWidth="1"/>
    <col min="10" max="10" width="11.85546875" style="19" customWidth="1"/>
    <col min="11" max="11" width="12.85546875" style="19" customWidth="1"/>
    <col min="12" max="12" width="4.5703125" style="19" customWidth="1"/>
    <col min="13" max="13" width="28.140625" style="19" customWidth="1"/>
    <col min="14" max="14" width="11.85546875" style="19" customWidth="1"/>
    <col min="15" max="15" width="12.42578125" style="19" customWidth="1"/>
    <col min="16" max="16384" width="9.140625" style="19"/>
  </cols>
  <sheetData>
    <row r="1" spans="1:15" ht="17.25" customHeight="1" x14ac:dyDescent="0.25">
      <c r="A1" s="18" t="s">
        <v>44</v>
      </c>
    </row>
    <row r="3" spans="1:15" ht="17.25" customHeight="1" x14ac:dyDescent="0.25">
      <c r="A3" s="46" t="s">
        <v>42</v>
      </c>
      <c r="B3" s="46"/>
      <c r="C3" s="46"/>
      <c r="E3" s="46" t="s">
        <v>47</v>
      </c>
      <c r="F3" s="46"/>
      <c r="G3" s="46"/>
      <c r="I3" s="46" t="s">
        <v>48</v>
      </c>
      <c r="J3" s="46"/>
      <c r="K3" s="46"/>
      <c r="M3" s="46" t="s">
        <v>46</v>
      </c>
      <c r="N3" s="46"/>
      <c r="O3" s="46"/>
    </row>
    <row r="4" spans="1:15" s="22" customFormat="1" ht="17.25" customHeight="1" x14ac:dyDescent="0.25">
      <c r="A4" s="20" t="s">
        <v>0</v>
      </c>
      <c r="B4" s="20" t="s">
        <v>1</v>
      </c>
      <c r="C4" s="21" t="s">
        <v>2</v>
      </c>
      <c r="E4" s="20" t="s">
        <v>0</v>
      </c>
      <c r="F4" s="20" t="s">
        <v>1</v>
      </c>
      <c r="G4" s="21" t="s">
        <v>2</v>
      </c>
      <c r="I4" s="20" t="s">
        <v>0</v>
      </c>
      <c r="J4" s="20" t="s">
        <v>1</v>
      </c>
      <c r="K4" s="21" t="s">
        <v>2</v>
      </c>
      <c r="M4" s="20" t="s">
        <v>0</v>
      </c>
      <c r="N4" s="20" t="s">
        <v>1</v>
      </c>
      <c r="O4" s="21" t="s">
        <v>2</v>
      </c>
    </row>
    <row r="5" spans="1:15" s="22" customFormat="1" ht="17.25" customHeight="1" x14ac:dyDescent="0.25">
      <c r="A5" s="47" t="s">
        <v>9</v>
      </c>
      <c r="B5" s="47"/>
      <c r="C5" s="47"/>
      <c r="E5" s="47" t="s">
        <v>9</v>
      </c>
      <c r="F5" s="47"/>
      <c r="G5" s="47"/>
      <c r="I5" s="47" t="s">
        <v>9</v>
      </c>
      <c r="J5" s="47"/>
      <c r="K5" s="47"/>
      <c r="M5" s="47" t="s">
        <v>9</v>
      </c>
      <c r="N5" s="47"/>
      <c r="O5" s="47"/>
    </row>
    <row r="6" spans="1:15" ht="17.25" customHeight="1" x14ac:dyDescent="0.25">
      <c r="A6" s="23" t="s">
        <v>3</v>
      </c>
      <c r="B6" s="23" t="s">
        <v>7</v>
      </c>
      <c r="C6" s="24">
        <v>78.8</v>
      </c>
      <c r="E6" s="23" t="s">
        <v>3</v>
      </c>
      <c r="F6" s="23" t="s">
        <v>7</v>
      </c>
      <c r="G6" s="24">
        <v>31.8</v>
      </c>
      <c r="I6" s="23" t="s">
        <v>3</v>
      </c>
      <c r="J6" s="23" t="s">
        <v>7</v>
      </c>
      <c r="K6" s="24">
        <v>17</v>
      </c>
      <c r="M6" s="23" t="s">
        <v>29</v>
      </c>
      <c r="N6" s="23" t="s">
        <v>30</v>
      </c>
      <c r="O6" s="24">
        <v>36</v>
      </c>
    </row>
    <row r="7" spans="1:15" ht="17.25" customHeight="1" x14ac:dyDescent="0.25">
      <c r="A7" s="23" t="s">
        <v>5</v>
      </c>
      <c r="B7" s="23" t="s">
        <v>4</v>
      </c>
      <c r="C7" s="24">
        <v>62</v>
      </c>
      <c r="E7" s="23" t="s">
        <v>26</v>
      </c>
      <c r="F7" s="23" t="s">
        <v>4</v>
      </c>
      <c r="G7" s="24">
        <v>96.9</v>
      </c>
      <c r="I7" s="23" t="s">
        <v>26</v>
      </c>
      <c r="J7" s="23" t="s">
        <v>4</v>
      </c>
      <c r="K7" s="24">
        <v>129.69999999999999</v>
      </c>
      <c r="M7" s="23" t="s">
        <v>31</v>
      </c>
      <c r="N7" s="23" t="s">
        <v>30</v>
      </c>
      <c r="O7" s="24">
        <v>8</v>
      </c>
    </row>
    <row r="8" spans="1:15" ht="17.25" customHeight="1" x14ac:dyDescent="0.25">
      <c r="A8" s="23" t="s">
        <v>14</v>
      </c>
      <c r="B8" s="23" t="s">
        <v>6</v>
      </c>
      <c r="C8" s="24">
        <v>21.14</v>
      </c>
      <c r="E8" s="23" t="s">
        <v>14</v>
      </c>
      <c r="F8" s="23" t="s">
        <v>6</v>
      </c>
      <c r="G8" s="24">
        <v>16.95</v>
      </c>
      <c r="I8" s="23" t="s">
        <v>14</v>
      </c>
      <c r="J8" s="23" t="s">
        <v>6</v>
      </c>
      <c r="K8" s="24">
        <v>14.89</v>
      </c>
      <c r="M8" s="23" t="s">
        <v>35</v>
      </c>
      <c r="N8" s="23" t="s">
        <v>36</v>
      </c>
      <c r="O8" s="24">
        <v>24</v>
      </c>
    </row>
    <row r="9" spans="1:15" ht="17.25" customHeight="1" x14ac:dyDescent="0.25">
      <c r="A9" s="23" t="s">
        <v>10</v>
      </c>
      <c r="B9" s="23" t="s">
        <v>11</v>
      </c>
      <c r="C9" s="25">
        <v>1132</v>
      </c>
      <c r="E9" s="23" t="s">
        <v>10</v>
      </c>
      <c r="F9" s="23" t="s">
        <v>11</v>
      </c>
      <c r="G9" s="25">
        <v>717</v>
      </c>
      <c r="I9" s="23" t="s">
        <v>10</v>
      </c>
      <c r="J9" s="23" t="s">
        <v>11</v>
      </c>
      <c r="K9" s="25">
        <v>579</v>
      </c>
      <c r="M9" s="23" t="s">
        <v>37</v>
      </c>
      <c r="N9" s="23" t="s">
        <v>6</v>
      </c>
      <c r="O9" s="26">
        <v>1.056</v>
      </c>
    </row>
    <row r="10" spans="1:15" ht="17.25" customHeight="1" x14ac:dyDescent="0.25">
      <c r="A10" s="23" t="s">
        <v>16</v>
      </c>
      <c r="B10" s="23" t="s">
        <v>32</v>
      </c>
      <c r="C10" s="26">
        <f>C8/C6</f>
        <v>0.26827411167512694</v>
      </c>
      <c r="E10" s="23" t="s">
        <v>16</v>
      </c>
      <c r="F10" s="23" t="s">
        <v>32</v>
      </c>
      <c r="G10" s="26">
        <f>G8/G6</f>
        <v>0.53301886792452824</v>
      </c>
      <c r="I10" s="23" t="s">
        <v>16</v>
      </c>
      <c r="J10" s="23" t="s">
        <v>32</v>
      </c>
      <c r="K10" s="26">
        <f>K8/K6</f>
        <v>0.87588235294117656</v>
      </c>
      <c r="M10" s="23" t="s">
        <v>38</v>
      </c>
      <c r="N10" s="23" t="s">
        <v>39</v>
      </c>
      <c r="O10" s="27">
        <v>250</v>
      </c>
    </row>
    <row r="11" spans="1:15" ht="17.25" customHeight="1" x14ac:dyDescent="0.25">
      <c r="A11" s="23" t="s">
        <v>12</v>
      </c>
      <c r="B11" s="23" t="s">
        <v>13</v>
      </c>
      <c r="C11" s="27">
        <v>109396</v>
      </c>
      <c r="E11" s="23" t="s">
        <v>12</v>
      </c>
      <c r="F11" s="23" t="s">
        <v>13</v>
      </c>
      <c r="G11" s="27">
        <v>139534.29999999999</v>
      </c>
      <c r="I11" s="23" t="s">
        <v>12</v>
      </c>
      <c r="J11" s="23" t="s">
        <v>13</v>
      </c>
      <c r="K11" s="27">
        <v>166639</v>
      </c>
      <c r="M11" s="23" t="s">
        <v>12</v>
      </c>
      <c r="N11" s="23" t="s">
        <v>13</v>
      </c>
      <c r="O11" s="27">
        <v>264</v>
      </c>
    </row>
    <row r="12" spans="1:15" ht="17.25" customHeight="1" x14ac:dyDescent="0.25">
      <c r="A12" s="48" t="s">
        <v>15</v>
      </c>
      <c r="B12" s="48"/>
      <c r="C12" s="48"/>
      <c r="E12" s="48" t="s">
        <v>15</v>
      </c>
      <c r="F12" s="48"/>
      <c r="G12" s="48"/>
      <c r="I12" s="48" t="s">
        <v>15</v>
      </c>
      <c r="J12" s="48"/>
      <c r="K12" s="48"/>
      <c r="M12" s="48" t="s">
        <v>15</v>
      </c>
      <c r="N12" s="48"/>
      <c r="O12" s="48"/>
    </row>
    <row r="13" spans="1:15" ht="17.25" customHeight="1" x14ac:dyDescent="0.25">
      <c r="A13" s="23" t="s">
        <v>49</v>
      </c>
      <c r="B13" s="23" t="s">
        <v>50</v>
      </c>
      <c r="C13" s="16">
        <v>43.27</v>
      </c>
      <c r="E13" s="23" t="s">
        <v>17</v>
      </c>
      <c r="F13" s="23" t="s">
        <v>7</v>
      </c>
      <c r="G13" s="16">
        <v>29.9</v>
      </c>
      <c r="I13" s="23" t="s">
        <v>17</v>
      </c>
      <c r="J13" s="23" t="s">
        <v>7</v>
      </c>
      <c r="K13" s="16">
        <v>24.1</v>
      </c>
      <c r="M13" s="23" t="s">
        <v>40</v>
      </c>
      <c r="N13" s="23" t="s">
        <v>30</v>
      </c>
      <c r="O13" s="17">
        <v>21</v>
      </c>
    </row>
    <row r="14" spans="1:15" ht="17.25" customHeight="1" x14ac:dyDescent="0.25">
      <c r="A14" s="23" t="s">
        <v>17</v>
      </c>
      <c r="B14" s="23" t="s">
        <v>7</v>
      </c>
      <c r="C14" s="34">
        <f>(((120*C13/2)/2950)^1)*64</f>
        <v>56.324338983050851</v>
      </c>
      <c r="E14" s="23" t="s">
        <v>14</v>
      </c>
      <c r="F14" s="23" t="s">
        <v>6</v>
      </c>
      <c r="G14" s="16">
        <v>12.26</v>
      </c>
      <c r="I14" s="23" t="s">
        <v>14</v>
      </c>
      <c r="J14" s="23" t="s">
        <v>6</v>
      </c>
      <c r="K14" s="16">
        <v>13.725</v>
      </c>
      <c r="M14" s="23" t="s">
        <v>41</v>
      </c>
      <c r="N14" s="23" t="s">
        <v>36</v>
      </c>
      <c r="O14" s="17">
        <v>12</v>
      </c>
    </row>
    <row r="15" spans="1:15" ht="17.25" customHeight="1" x14ac:dyDescent="0.25">
      <c r="A15" s="23" t="s">
        <v>14</v>
      </c>
      <c r="B15" s="23" t="s">
        <v>6</v>
      </c>
      <c r="C15" s="34">
        <f>((((120*C13/2)/2950)^3)*20)*(1+4.83%)</f>
        <v>14.29104445802407</v>
      </c>
      <c r="E15" s="23" t="s">
        <v>16</v>
      </c>
      <c r="F15" s="23" t="s">
        <v>32</v>
      </c>
      <c r="G15" s="26">
        <f>G14/G13</f>
        <v>0.41003344481605353</v>
      </c>
      <c r="I15" s="23" t="s">
        <v>16</v>
      </c>
      <c r="J15" s="23" t="s">
        <v>32</v>
      </c>
      <c r="K15" s="26">
        <f>K14/K13</f>
        <v>0.56950207468879666</v>
      </c>
      <c r="M15" s="23" t="s">
        <v>38</v>
      </c>
      <c r="N15" s="23" t="s">
        <v>39</v>
      </c>
      <c r="O15" s="27">
        <v>250</v>
      </c>
    </row>
    <row r="16" spans="1:15" ht="17.25" customHeight="1" x14ac:dyDescent="0.25">
      <c r="A16" s="23" t="s">
        <v>16</v>
      </c>
      <c r="B16" s="23" t="s">
        <v>32</v>
      </c>
      <c r="C16" s="26">
        <f>C15/C14</f>
        <v>0.25372769065828787</v>
      </c>
      <c r="E16" s="23" t="s">
        <v>12</v>
      </c>
      <c r="F16" s="23" t="s">
        <v>13</v>
      </c>
      <c r="G16" s="27">
        <f>(G9/G13)*G14*365</f>
        <v>107307.80267558529</v>
      </c>
      <c r="I16" s="23" t="s">
        <v>12</v>
      </c>
      <c r="J16" s="23" t="s">
        <v>13</v>
      </c>
      <c r="K16" s="27">
        <f>(K9/K13)*K14*365</f>
        <v>120355.72095435685</v>
      </c>
      <c r="M16" s="23" t="s">
        <v>12</v>
      </c>
      <c r="N16" s="23" t="s">
        <v>13</v>
      </c>
      <c r="O16" s="27">
        <f>O13*O14*O15/1000</f>
        <v>63</v>
      </c>
    </row>
    <row r="17" spans="1:15" s="30" customFormat="1" ht="17.25" customHeight="1" x14ac:dyDescent="0.25">
      <c r="A17" s="23" t="s">
        <v>12</v>
      </c>
      <c r="B17" s="23" t="s">
        <v>13</v>
      </c>
      <c r="C17" s="27">
        <f>(C9/C14)*C15*365</f>
        <v>104835.20722619139</v>
      </c>
      <c r="E17" s="28" t="s">
        <v>18</v>
      </c>
      <c r="F17" s="28" t="s">
        <v>13</v>
      </c>
      <c r="G17" s="29">
        <f>(G11-G16)/106.78%</f>
        <v>30180.274699770271</v>
      </c>
      <c r="I17" s="28" t="s">
        <v>18</v>
      </c>
      <c r="J17" s="28" t="s">
        <v>13</v>
      </c>
      <c r="K17" s="29">
        <f>K11-K16</f>
        <v>46283.279045643154</v>
      </c>
      <c r="M17" s="28" t="s">
        <v>18</v>
      </c>
      <c r="N17" s="28" t="s">
        <v>13</v>
      </c>
      <c r="O17" s="29">
        <f>O11-O16</f>
        <v>201</v>
      </c>
    </row>
    <row r="18" spans="1:15" s="30" customFormat="1" ht="17.25" customHeight="1" x14ac:dyDescent="0.25">
      <c r="A18" s="28" t="s">
        <v>18</v>
      </c>
      <c r="B18" s="28" t="s">
        <v>13</v>
      </c>
      <c r="C18" s="29">
        <f>C11-C17</f>
        <v>4560.7927738086146</v>
      </c>
      <c r="E18" s="28" t="s">
        <v>34</v>
      </c>
      <c r="F18" s="28" t="s">
        <v>33</v>
      </c>
      <c r="G18" s="31">
        <f>(G10-G15)*100/G10</f>
        <v>23.073371415041276</v>
      </c>
      <c r="I18" s="28" t="s">
        <v>34</v>
      </c>
      <c r="J18" s="28" t="s">
        <v>33</v>
      </c>
      <c r="K18" s="31">
        <f>(K10-K15)*100/K10</f>
        <v>34.979615381399988</v>
      </c>
      <c r="M18" s="28" t="s">
        <v>34</v>
      </c>
      <c r="N18" s="28" t="s">
        <v>33</v>
      </c>
      <c r="O18" s="31">
        <f>(O11-O16)*100/O11</f>
        <v>76.13636363636364</v>
      </c>
    </row>
    <row r="19" spans="1:15" ht="17.25" customHeight="1" x14ac:dyDescent="0.25">
      <c r="A19" s="28" t="s">
        <v>34</v>
      </c>
      <c r="B19" s="28" t="s">
        <v>33</v>
      </c>
      <c r="C19" s="31">
        <f>(C10-C16)*100/C10</f>
        <v>5.4222231604868396</v>
      </c>
      <c r="E19" s="64" t="s">
        <v>88</v>
      </c>
      <c r="F19" s="64" t="s">
        <v>89</v>
      </c>
      <c r="G19" s="50">
        <f>G17*0.66/1000</f>
        <v>19.91898130184838</v>
      </c>
      <c r="I19" s="64" t="s">
        <v>88</v>
      </c>
      <c r="J19" s="64" t="s">
        <v>89</v>
      </c>
      <c r="K19" s="50">
        <f>K17*0.66/1000</f>
        <v>30.546964170124483</v>
      </c>
      <c r="M19" s="64" t="s">
        <v>88</v>
      </c>
      <c r="N19" s="64" t="s">
        <v>89</v>
      </c>
      <c r="O19" s="50">
        <f>O17*0.66/1000</f>
        <v>0.13266</v>
      </c>
    </row>
    <row r="20" spans="1:15" ht="17.25" customHeight="1" x14ac:dyDescent="0.25">
      <c r="A20" s="64" t="s">
        <v>88</v>
      </c>
      <c r="B20" s="64" t="s">
        <v>89</v>
      </c>
      <c r="C20" s="50">
        <f>C18*0.66/1000</f>
        <v>3.0101232307136856</v>
      </c>
    </row>
  </sheetData>
  <sheetProtection algorithmName="SHA-1" hashValue="m10/q7B6So5wUOP4NS3IOhqI0ro=" saltValue="gFjDZAkv5P1GlOAhSQL1Vw==" spinCount="100000" sheet="1" objects="1" scenarios="1"/>
  <mergeCells count="12">
    <mergeCell ref="A12:C12"/>
    <mergeCell ref="E12:G12"/>
    <mergeCell ref="M12:O12"/>
    <mergeCell ref="I3:K3"/>
    <mergeCell ref="I5:K5"/>
    <mergeCell ref="I12:K12"/>
    <mergeCell ref="A3:C3"/>
    <mergeCell ref="E3:G3"/>
    <mergeCell ref="M3:O3"/>
    <mergeCell ref="A5:C5"/>
    <mergeCell ref="E5:G5"/>
    <mergeCell ref="M5:O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976C-89EF-49A1-98EC-6A866AF24A4B}">
  <dimension ref="A1:K19"/>
  <sheetViews>
    <sheetView topLeftCell="A2" workbookViewId="0">
      <selection activeCell="A19" sqref="A19:C19"/>
    </sheetView>
  </sheetViews>
  <sheetFormatPr defaultRowHeight="17.25" customHeight="1" x14ac:dyDescent="0.25"/>
  <cols>
    <col min="1" max="1" width="28.140625" style="19" customWidth="1"/>
    <col min="2" max="2" width="11.85546875" style="19" customWidth="1"/>
    <col min="3" max="3" width="12.85546875" style="19" customWidth="1"/>
    <col min="4" max="4" width="4.5703125" style="19" customWidth="1"/>
    <col min="5" max="5" width="28.140625" style="19" customWidth="1"/>
    <col min="6" max="6" width="11.85546875" style="19" customWidth="1"/>
    <col min="7" max="7" width="12.85546875" style="19" customWidth="1"/>
    <col min="8" max="8" width="4.5703125" style="19" customWidth="1"/>
    <col min="9" max="9" width="28.140625" style="19" customWidth="1"/>
    <col min="10" max="10" width="11.85546875" style="19" customWidth="1"/>
    <col min="11" max="11" width="12.42578125" style="19" customWidth="1"/>
    <col min="12" max="16384" width="9.140625" style="19"/>
  </cols>
  <sheetData>
    <row r="1" spans="1:11" ht="17.25" customHeight="1" x14ac:dyDescent="0.25">
      <c r="A1" s="18" t="s">
        <v>51</v>
      </c>
    </row>
    <row r="3" spans="1:11" ht="17.25" customHeight="1" x14ac:dyDescent="0.25">
      <c r="A3" s="46" t="s">
        <v>52</v>
      </c>
      <c r="B3" s="46"/>
      <c r="C3" s="46"/>
      <c r="E3" s="46" t="s">
        <v>25</v>
      </c>
      <c r="F3" s="46"/>
      <c r="G3" s="46"/>
      <c r="I3" s="46" t="s">
        <v>28</v>
      </c>
      <c r="J3" s="46"/>
      <c r="K3" s="46"/>
    </row>
    <row r="4" spans="1:11" s="22" customFormat="1" ht="17.25" customHeight="1" x14ac:dyDescent="0.25">
      <c r="A4" s="20" t="s">
        <v>0</v>
      </c>
      <c r="B4" s="20" t="s">
        <v>1</v>
      </c>
      <c r="C4" s="21" t="s">
        <v>2</v>
      </c>
      <c r="E4" s="20" t="s">
        <v>0</v>
      </c>
      <c r="F4" s="20" t="s">
        <v>1</v>
      </c>
      <c r="G4" s="21" t="s">
        <v>2</v>
      </c>
      <c r="I4" s="20" t="s">
        <v>0</v>
      </c>
      <c r="J4" s="20" t="s">
        <v>1</v>
      </c>
      <c r="K4" s="21" t="s">
        <v>2</v>
      </c>
    </row>
    <row r="5" spans="1:11" s="22" customFormat="1" ht="17.25" customHeight="1" x14ac:dyDescent="0.25">
      <c r="A5" s="47" t="s">
        <v>9</v>
      </c>
      <c r="B5" s="47"/>
      <c r="C5" s="47"/>
      <c r="E5" s="47" t="s">
        <v>9</v>
      </c>
      <c r="F5" s="47"/>
      <c r="G5" s="47"/>
      <c r="I5" s="47" t="s">
        <v>9</v>
      </c>
      <c r="J5" s="47"/>
      <c r="K5" s="47"/>
    </row>
    <row r="6" spans="1:11" ht="17.25" customHeight="1" x14ac:dyDescent="0.25">
      <c r="A6" s="23" t="s">
        <v>3</v>
      </c>
      <c r="B6" s="23" t="s">
        <v>7</v>
      </c>
      <c r="C6" s="24">
        <v>32.5</v>
      </c>
      <c r="E6" s="23" t="s">
        <v>3</v>
      </c>
      <c r="F6" s="23" t="s">
        <v>7</v>
      </c>
      <c r="G6" s="24">
        <v>13.9</v>
      </c>
      <c r="I6" s="23" t="s">
        <v>29</v>
      </c>
      <c r="J6" s="23" t="s">
        <v>30</v>
      </c>
      <c r="K6" s="24">
        <v>36</v>
      </c>
    </row>
    <row r="7" spans="1:11" ht="17.25" customHeight="1" x14ac:dyDescent="0.25">
      <c r="A7" s="23" t="s">
        <v>26</v>
      </c>
      <c r="B7" s="23" t="s">
        <v>4</v>
      </c>
      <c r="C7" s="24">
        <v>70.260000000000005</v>
      </c>
      <c r="E7" s="23" t="s">
        <v>26</v>
      </c>
      <c r="F7" s="23" t="s">
        <v>4</v>
      </c>
      <c r="G7" s="24">
        <v>103</v>
      </c>
      <c r="I7" s="23" t="s">
        <v>31</v>
      </c>
      <c r="J7" s="23" t="s">
        <v>30</v>
      </c>
      <c r="K7" s="24">
        <v>8</v>
      </c>
    </row>
    <row r="8" spans="1:11" ht="17.25" customHeight="1" x14ac:dyDescent="0.25">
      <c r="A8" s="23" t="s">
        <v>14</v>
      </c>
      <c r="B8" s="23" t="s">
        <v>6</v>
      </c>
      <c r="C8" s="24">
        <v>13.91</v>
      </c>
      <c r="E8" s="23" t="s">
        <v>14</v>
      </c>
      <c r="F8" s="23" t="s">
        <v>6</v>
      </c>
      <c r="G8" s="24">
        <v>10.42</v>
      </c>
      <c r="I8" s="23" t="s">
        <v>35</v>
      </c>
      <c r="J8" s="23" t="s">
        <v>36</v>
      </c>
      <c r="K8" s="24">
        <v>24</v>
      </c>
    </row>
    <row r="9" spans="1:11" ht="17.25" customHeight="1" x14ac:dyDescent="0.25">
      <c r="A9" s="23" t="s">
        <v>10</v>
      </c>
      <c r="B9" s="23" t="s">
        <v>11</v>
      </c>
      <c r="C9" s="25">
        <v>795</v>
      </c>
      <c r="E9" s="23" t="s">
        <v>10</v>
      </c>
      <c r="F9" s="23" t="s">
        <v>11</v>
      </c>
      <c r="G9" s="25">
        <v>518</v>
      </c>
      <c r="I9" s="23" t="s">
        <v>37</v>
      </c>
      <c r="J9" s="23" t="s">
        <v>6</v>
      </c>
      <c r="K9" s="26">
        <v>1.056</v>
      </c>
    </row>
    <row r="10" spans="1:11" ht="17.25" customHeight="1" x14ac:dyDescent="0.25">
      <c r="A10" s="23" t="s">
        <v>16</v>
      </c>
      <c r="B10" s="23" t="s">
        <v>32</v>
      </c>
      <c r="C10" s="26">
        <f>C8/C6</f>
        <v>0.42799999999999999</v>
      </c>
      <c r="E10" s="23" t="s">
        <v>16</v>
      </c>
      <c r="F10" s="23" t="s">
        <v>32</v>
      </c>
      <c r="G10" s="26">
        <f>G8/G6</f>
        <v>0.7496402877697842</v>
      </c>
      <c r="I10" s="23" t="s">
        <v>38</v>
      </c>
      <c r="J10" s="23" t="s">
        <v>39</v>
      </c>
      <c r="K10" s="27">
        <v>250</v>
      </c>
    </row>
    <row r="11" spans="1:11" ht="17.25" customHeight="1" x14ac:dyDescent="0.25">
      <c r="A11" s="23" t="s">
        <v>12</v>
      </c>
      <c r="B11" s="23" t="s">
        <v>13</v>
      </c>
      <c r="C11" s="27">
        <v>104992</v>
      </c>
      <c r="E11" s="23" t="s">
        <v>12</v>
      </c>
      <c r="F11" s="23" t="s">
        <v>13</v>
      </c>
      <c r="G11" s="27">
        <v>78653</v>
      </c>
      <c r="I11" s="23" t="s">
        <v>12</v>
      </c>
      <c r="J11" s="23" t="s">
        <v>13</v>
      </c>
      <c r="K11" s="27">
        <v>264</v>
      </c>
    </row>
    <row r="12" spans="1:11" ht="17.25" customHeight="1" x14ac:dyDescent="0.25">
      <c r="A12" s="48" t="s">
        <v>15</v>
      </c>
      <c r="B12" s="48"/>
      <c r="C12" s="48"/>
      <c r="E12" s="48" t="s">
        <v>15</v>
      </c>
      <c r="F12" s="48"/>
      <c r="G12" s="48"/>
      <c r="I12" s="48" t="s">
        <v>15</v>
      </c>
      <c r="J12" s="48"/>
      <c r="K12" s="48"/>
    </row>
    <row r="13" spans="1:11" ht="17.25" customHeight="1" x14ac:dyDescent="0.25">
      <c r="A13" s="23" t="s">
        <v>17</v>
      </c>
      <c r="B13" s="23" t="s">
        <v>7</v>
      </c>
      <c r="C13" s="32">
        <v>33.1</v>
      </c>
      <c r="E13" s="23" t="s">
        <v>17</v>
      </c>
      <c r="F13" s="23" t="s">
        <v>7</v>
      </c>
      <c r="G13" s="32">
        <v>21.6</v>
      </c>
      <c r="I13" s="23" t="s">
        <v>40</v>
      </c>
      <c r="J13" s="23" t="s">
        <v>30</v>
      </c>
      <c r="K13" s="33">
        <v>21</v>
      </c>
    </row>
    <row r="14" spans="1:11" ht="17.25" customHeight="1" x14ac:dyDescent="0.25">
      <c r="A14" s="23" t="s">
        <v>14</v>
      </c>
      <c r="B14" s="23" t="s">
        <v>6</v>
      </c>
      <c r="C14" s="32">
        <v>7.7869999999999999</v>
      </c>
      <c r="E14" s="23" t="s">
        <v>14</v>
      </c>
      <c r="F14" s="23" t="s">
        <v>6</v>
      </c>
      <c r="G14" s="32">
        <v>10.11</v>
      </c>
      <c r="I14" s="23" t="s">
        <v>41</v>
      </c>
      <c r="J14" s="23" t="s">
        <v>36</v>
      </c>
      <c r="K14" s="33">
        <v>12</v>
      </c>
    </row>
    <row r="15" spans="1:11" ht="17.25" customHeight="1" x14ac:dyDescent="0.25">
      <c r="A15" s="23" t="s">
        <v>16</v>
      </c>
      <c r="B15" s="23" t="s">
        <v>32</v>
      </c>
      <c r="C15" s="26">
        <f>C14/C13</f>
        <v>0.23525679758308154</v>
      </c>
      <c r="E15" s="23" t="s">
        <v>16</v>
      </c>
      <c r="F15" s="23" t="s">
        <v>32</v>
      </c>
      <c r="G15" s="26">
        <f>G14/G13</f>
        <v>0.4680555555555555</v>
      </c>
      <c r="I15" s="23" t="s">
        <v>38</v>
      </c>
      <c r="J15" s="23" t="s">
        <v>39</v>
      </c>
      <c r="K15" s="27">
        <v>250</v>
      </c>
    </row>
    <row r="16" spans="1:11" ht="17.25" customHeight="1" x14ac:dyDescent="0.25">
      <c r="A16" s="23" t="s">
        <v>12</v>
      </c>
      <c r="B16" s="23" t="s">
        <v>13</v>
      </c>
      <c r="C16" s="27">
        <f>(C9/C13)*C14*365</f>
        <v>68265.641238670694</v>
      </c>
      <c r="E16" s="23" t="s">
        <v>12</v>
      </c>
      <c r="F16" s="23" t="s">
        <v>13</v>
      </c>
      <c r="G16" s="27">
        <f>(G9/G13)*G14*365*0.625</f>
        <v>55309.539930555547</v>
      </c>
      <c r="I16" s="23" t="s">
        <v>12</v>
      </c>
      <c r="J16" s="23" t="s">
        <v>13</v>
      </c>
      <c r="K16" s="27">
        <f>K13*K14*K15/1000</f>
        <v>63</v>
      </c>
    </row>
    <row r="17" spans="1:11" s="30" customFormat="1" ht="17.25" customHeight="1" x14ac:dyDescent="0.25">
      <c r="A17" s="28" t="s">
        <v>18</v>
      </c>
      <c r="B17" s="28" t="s">
        <v>13</v>
      </c>
      <c r="C17" s="29">
        <f>(C11-C16)/106.78%</f>
        <v>34394.417270396429</v>
      </c>
      <c r="E17" s="28" t="s">
        <v>18</v>
      </c>
      <c r="F17" s="28" t="s">
        <v>13</v>
      </c>
      <c r="G17" s="29">
        <f>G11-G16</f>
        <v>23343.460069444453</v>
      </c>
      <c r="I17" s="28" t="s">
        <v>18</v>
      </c>
      <c r="J17" s="28" t="s">
        <v>13</v>
      </c>
      <c r="K17" s="29">
        <f>K11-K16</f>
        <v>201</v>
      </c>
    </row>
    <row r="18" spans="1:11" s="30" customFormat="1" ht="17.25" customHeight="1" x14ac:dyDescent="0.25">
      <c r="A18" s="28" t="s">
        <v>34</v>
      </c>
      <c r="B18" s="28" t="s">
        <v>33</v>
      </c>
      <c r="C18" s="31">
        <f>(C10-C15)*100/C10</f>
        <v>45.033458508625813</v>
      </c>
      <c r="E18" s="28" t="s">
        <v>34</v>
      </c>
      <c r="F18" s="28" t="s">
        <v>33</v>
      </c>
      <c r="G18" s="31">
        <f>(G10-G15)*100/G10</f>
        <v>37.562646619748357</v>
      </c>
      <c r="I18" s="28" t="s">
        <v>34</v>
      </c>
      <c r="J18" s="28" t="s">
        <v>33</v>
      </c>
      <c r="K18" s="31">
        <f>(K11-K16)*100/K11</f>
        <v>76.13636363636364</v>
      </c>
    </row>
    <row r="19" spans="1:11" ht="17.25" customHeight="1" x14ac:dyDescent="0.25">
      <c r="A19" s="64" t="s">
        <v>88</v>
      </c>
      <c r="B19" s="64" t="s">
        <v>89</v>
      </c>
      <c r="C19" s="50">
        <f>C17*0.66/1000</f>
        <v>22.700315398461644</v>
      </c>
      <c r="E19" s="64" t="s">
        <v>88</v>
      </c>
      <c r="F19" s="64" t="s">
        <v>89</v>
      </c>
      <c r="G19" s="50">
        <f>G17*0.66/1000</f>
        <v>15.40668364583334</v>
      </c>
      <c r="I19" s="64" t="s">
        <v>88</v>
      </c>
      <c r="J19" s="64" t="s">
        <v>89</v>
      </c>
      <c r="K19" s="50">
        <f>K17*0.66/1000</f>
        <v>0.13266</v>
      </c>
    </row>
  </sheetData>
  <sheetProtection algorithmName="SHA-1" hashValue="k2nqwmJTbUAM6GcTO/eYPAoQd50=" saltValue="l3VVyt5UiVMkFxnPEgkEJQ==" spinCount="100000" sheet="1" objects="1" scenarios="1"/>
  <mergeCells count="9">
    <mergeCell ref="A12:C12"/>
    <mergeCell ref="E12:G12"/>
    <mergeCell ref="I12:K12"/>
    <mergeCell ref="A3:C3"/>
    <mergeCell ref="E3:G3"/>
    <mergeCell ref="I3:K3"/>
    <mergeCell ref="A5:C5"/>
    <mergeCell ref="E5:G5"/>
    <mergeCell ref="I5:K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9E89-9B9D-48F3-9C16-E5DCBBC68516}">
  <dimension ref="A1:O20"/>
  <sheetViews>
    <sheetView topLeftCell="E5" workbookViewId="0">
      <selection activeCell="E19" sqref="E19:G19"/>
    </sheetView>
  </sheetViews>
  <sheetFormatPr defaultRowHeight="17.25" customHeight="1" x14ac:dyDescent="0.25"/>
  <cols>
    <col min="1" max="1" width="28.140625" style="19" customWidth="1"/>
    <col min="2" max="3" width="11.85546875" style="19" customWidth="1"/>
    <col min="4" max="4" width="4.5703125" style="19" customWidth="1"/>
    <col min="5" max="5" width="28.140625" style="19" customWidth="1"/>
    <col min="6" max="6" width="11.85546875" style="19" customWidth="1"/>
    <col min="7" max="7" width="12.85546875" style="19" customWidth="1"/>
    <col min="8" max="8" width="4.5703125" style="19" customWidth="1"/>
    <col min="9" max="9" width="28.140625" style="19" customWidth="1"/>
    <col min="10" max="10" width="11.85546875" style="19" customWidth="1"/>
    <col min="11" max="11" width="12.85546875" style="19" customWidth="1"/>
    <col min="12" max="12" width="4.5703125" style="19" customWidth="1"/>
    <col min="13" max="13" width="28.140625" style="19" customWidth="1"/>
    <col min="14" max="14" width="11.85546875" style="19" customWidth="1"/>
    <col min="15" max="15" width="12.42578125" style="19" customWidth="1"/>
    <col min="16" max="16384" width="9.140625" style="19"/>
  </cols>
  <sheetData>
    <row r="1" spans="1:15" ht="17.25" customHeight="1" x14ac:dyDescent="0.25">
      <c r="A1" s="18" t="s">
        <v>53</v>
      </c>
    </row>
    <row r="3" spans="1:15" ht="17.25" customHeight="1" x14ac:dyDescent="0.25">
      <c r="A3" s="46" t="s">
        <v>42</v>
      </c>
      <c r="B3" s="46"/>
      <c r="C3" s="46"/>
      <c r="E3" s="46" t="s">
        <v>54</v>
      </c>
      <c r="F3" s="46"/>
      <c r="G3" s="46"/>
      <c r="I3" s="46" t="s">
        <v>45</v>
      </c>
      <c r="J3" s="46"/>
      <c r="K3" s="46"/>
      <c r="M3" s="46" t="s">
        <v>46</v>
      </c>
      <c r="N3" s="46"/>
      <c r="O3" s="46"/>
    </row>
    <row r="4" spans="1:15" s="22" customFormat="1" ht="17.25" customHeight="1" x14ac:dyDescent="0.25">
      <c r="A4" s="20" t="s">
        <v>0</v>
      </c>
      <c r="B4" s="20" t="s">
        <v>1</v>
      </c>
      <c r="C4" s="21" t="s">
        <v>2</v>
      </c>
      <c r="E4" s="20" t="s">
        <v>0</v>
      </c>
      <c r="F4" s="20" t="s">
        <v>1</v>
      </c>
      <c r="G4" s="21" t="s">
        <v>2</v>
      </c>
      <c r="I4" s="20" t="s">
        <v>0</v>
      </c>
      <c r="J4" s="20" t="s">
        <v>1</v>
      </c>
      <c r="K4" s="21" t="s">
        <v>2</v>
      </c>
      <c r="M4" s="20" t="s">
        <v>0</v>
      </c>
      <c r="N4" s="20" t="s">
        <v>1</v>
      </c>
      <c r="O4" s="21" t="s">
        <v>2</v>
      </c>
    </row>
    <row r="5" spans="1:15" s="22" customFormat="1" ht="17.25" customHeight="1" x14ac:dyDescent="0.25">
      <c r="A5" s="47" t="s">
        <v>9</v>
      </c>
      <c r="B5" s="47"/>
      <c r="C5" s="47"/>
      <c r="E5" s="47" t="s">
        <v>9</v>
      </c>
      <c r="F5" s="47"/>
      <c r="G5" s="47"/>
      <c r="I5" s="47" t="s">
        <v>9</v>
      </c>
      <c r="J5" s="47"/>
      <c r="K5" s="47"/>
      <c r="M5" s="47" t="s">
        <v>9</v>
      </c>
      <c r="N5" s="47"/>
      <c r="O5" s="47"/>
    </row>
    <row r="6" spans="1:15" ht="17.25" customHeight="1" x14ac:dyDescent="0.25">
      <c r="A6" s="23" t="s">
        <v>3</v>
      </c>
      <c r="B6" s="23" t="s">
        <v>7</v>
      </c>
      <c r="C6" s="24">
        <v>77.8</v>
      </c>
      <c r="E6" s="23" t="s">
        <v>3</v>
      </c>
      <c r="F6" s="23" t="s">
        <v>7</v>
      </c>
      <c r="G6" s="24">
        <v>27.4</v>
      </c>
      <c r="I6" s="23" t="s">
        <v>3</v>
      </c>
      <c r="J6" s="23" t="s">
        <v>7</v>
      </c>
      <c r="K6" s="24">
        <v>28</v>
      </c>
      <c r="M6" s="23" t="s">
        <v>29</v>
      </c>
      <c r="N6" s="23" t="s">
        <v>30</v>
      </c>
      <c r="O6" s="24">
        <v>36</v>
      </c>
    </row>
    <row r="7" spans="1:15" ht="17.25" customHeight="1" x14ac:dyDescent="0.25">
      <c r="A7" s="23" t="s">
        <v>5</v>
      </c>
      <c r="B7" s="23" t="s">
        <v>4</v>
      </c>
      <c r="C7" s="24">
        <v>87.5</v>
      </c>
      <c r="E7" s="23" t="s">
        <v>26</v>
      </c>
      <c r="F7" s="23" t="s">
        <v>4</v>
      </c>
      <c r="G7" s="24">
        <v>65.98</v>
      </c>
      <c r="I7" s="23" t="s">
        <v>26</v>
      </c>
      <c r="J7" s="23" t="s">
        <v>4</v>
      </c>
      <c r="K7" s="24">
        <v>92.3</v>
      </c>
      <c r="M7" s="23" t="s">
        <v>31</v>
      </c>
      <c r="N7" s="23" t="s">
        <v>30</v>
      </c>
      <c r="O7" s="24">
        <v>8</v>
      </c>
    </row>
    <row r="8" spans="1:15" ht="17.25" customHeight="1" x14ac:dyDescent="0.25">
      <c r="A8" s="23" t="s">
        <v>14</v>
      </c>
      <c r="B8" s="23" t="s">
        <v>6</v>
      </c>
      <c r="C8" s="24">
        <v>25.65</v>
      </c>
      <c r="E8" s="23" t="s">
        <v>14</v>
      </c>
      <c r="F8" s="23" t="s">
        <v>6</v>
      </c>
      <c r="G8" s="24">
        <v>12.59</v>
      </c>
      <c r="I8" s="23" t="s">
        <v>14</v>
      </c>
      <c r="J8" s="23" t="s">
        <v>6</v>
      </c>
      <c r="K8" s="24">
        <v>13.93</v>
      </c>
      <c r="M8" s="23" t="s">
        <v>35</v>
      </c>
      <c r="N8" s="23" t="s">
        <v>36</v>
      </c>
      <c r="O8" s="24">
        <v>24</v>
      </c>
    </row>
    <row r="9" spans="1:15" ht="17.25" customHeight="1" x14ac:dyDescent="0.25">
      <c r="A9" s="23" t="s">
        <v>10</v>
      </c>
      <c r="B9" s="23" t="s">
        <v>11</v>
      </c>
      <c r="C9" s="25">
        <v>1292.3</v>
      </c>
      <c r="E9" s="23" t="s">
        <v>10</v>
      </c>
      <c r="F9" s="23" t="s">
        <v>11</v>
      </c>
      <c r="G9" s="25">
        <v>518</v>
      </c>
      <c r="I9" s="23" t="s">
        <v>10</v>
      </c>
      <c r="J9" s="23" t="s">
        <v>11</v>
      </c>
      <c r="K9" s="25">
        <v>363</v>
      </c>
      <c r="M9" s="23" t="s">
        <v>37</v>
      </c>
      <c r="N9" s="23" t="s">
        <v>6</v>
      </c>
      <c r="O9" s="26">
        <v>1.056</v>
      </c>
    </row>
    <row r="10" spans="1:15" ht="17.25" customHeight="1" x14ac:dyDescent="0.25">
      <c r="A10" s="23" t="s">
        <v>16</v>
      </c>
      <c r="B10" s="23" t="s">
        <v>32</v>
      </c>
      <c r="C10" s="26">
        <f>C8/C6</f>
        <v>0.32969151670951158</v>
      </c>
      <c r="E10" s="23" t="s">
        <v>16</v>
      </c>
      <c r="F10" s="23" t="s">
        <v>32</v>
      </c>
      <c r="G10" s="26">
        <f>G8/G6</f>
        <v>0.45948905109489052</v>
      </c>
      <c r="I10" s="23" t="s">
        <v>16</v>
      </c>
      <c r="J10" s="23" t="s">
        <v>32</v>
      </c>
      <c r="K10" s="26">
        <f>K8/K6</f>
        <v>0.4975</v>
      </c>
      <c r="M10" s="23" t="s">
        <v>38</v>
      </c>
      <c r="N10" s="23" t="s">
        <v>39</v>
      </c>
      <c r="O10" s="27">
        <v>250</v>
      </c>
    </row>
    <row r="11" spans="1:15" ht="17.25" customHeight="1" x14ac:dyDescent="0.25">
      <c r="A11" s="23" t="s">
        <v>12</v>
      </c>
      <c r="B11" s="23" t="s">
        <v>13</v>
      </c>
      <c r="C11" s="27">
        <v>158038</v>
      </c>
      <c r="E11" s="23" t="s">
        <v>12</v>
      </c>
      <c r="F11" s="23" t="s">
        <v>13</v>
      </c>
      <c r="G11" s="27">
        <v>107486</v>
      </c>
      <c r="I11" s="23" t="s">
        <v>12</v>
      </c>
      <c r="J11" s="23" t="s">
        <v>13</v>
      </c>
      <c r="K11" s="27">
        <v>68700</v>
      </c>
      <c r="M11" s="23" t="s">
        <v>12</v>
      </c>
      <c r="N11" s="23" t="s">
        <v>13</v>
      </c>
      <c r="O11" s="27">
        <v>264</v>
      </c>
    </row>
    <row r="12" spans="1:15" ht="17.25" customHeight="1" x14ac:dyDescent="0.25">
      <c r="A12" s="48" t="s">
        <v>15</v>
      </c>
      <c r="B12" s="48"/>
      <c r="C12" s="48"/>
      <c r="E12" s="48" t="s">
        <v>15</v>
      </c>
      <c r="F12" s="48"/>
      <c r="G12" s="48"/>
      <c r="I12" s="48" t="s">
        <v>15</v>
      </c>
      <c r="J12" s="48"/>
      <c r="K12" s="48"/>
      <c r="M12" s="48" t="s">
        <v>15</v>
      </c>
      <c r="N12" s="48"/>
      <c r="O12" s="48"/>
    </row>
    <row r="13" spans="1:15" ht="17.25" customHeight="1" x14ac:dyDescent="0.25">
      <c r="A13" s="23" t="s">
        <v>49</v>
      </c>
      <c r="B13" s="23" t="s">
        <v>50</v>
      </c>
      <c r="C13" s="32">
        <v>43.67</v>
      </c>
      <c r="E13" s="23" t="s">
        <v>17</v>
      </c>
      <c r="F13" s="23" t="s">
        <v>7</v>
      </c>
      <c r="G13" s="32">
        <v>21.6</v>
      </c>
      <c r="I13" s="23" t="s">
        <v>17</v>
      </c>
      <c r="J13" s="23" t="s">
        <v>7</v>
      </c>
      <c r="K13" s="32">
        <v>15.1</v>
      </c>
      <c r="M13" s="23" t="s">
        <v>40</v>
      </c>
      <c r="N13" s="23" t="s">
        <v>30</v>
      </c>
      <c r="O13" s="33">
        <v>21</v>
      </c>
    </row>
    <row r="14" spans="1:15" ht="17.25" customHeight="1" x14ac:dyDescent="0.25">
      <c r="A14" s="23" t="s">
        <v>17</v>
      </c>
      <c r="B14" s="23" t="s">
        <v>7</v>
      </c>
      <c r="C14" s="34">
        <f>(((120*C13/2)/2951)^1)*64</f>
        <v>56.825753981701126</v>
      </c>
      <c r="E14" s="23" t="s">
        <v>14</v>
      </c>
      <c r="F14" s="23" t="s">
        <v>6</v>
      </c>
      <c r="G14" s="32">
        <v>8.9499999999999993</v>
      </c>
      <c r="I14" s="23" t="s">
        <v>14</v>
      </c>
      <c r="J14" s="23" t="s">
        <v>6</v>
      </c>
      <c r="K14" s="32">
        <v>7.3449999999999998</v>
      </c>
      <c r="M14" s="23" t="s">
        <v>41</v>
      </c>
      <c r="N14" s="23" t="s">
        <v>36</v>
      </c>
      <c r="O14" s="33">
        <v>12</v>
      </c>
    </row>
    <row r="15" spans="1:15" ht="17.25" customHeight="1" x14ac:dyDescent="0.25">
      <c r="A15" s="23" t="s">
        <v>14</v>
      </c>
      <c r="B15" s="23" t="s">
        <v>6</v>
      </c>
      <c r="C15" s="34">
        <f>((((120*C13/2)/2951)^3)*25.34646)*(1+2.985%)</f>
        <v>18.272037763515119</v>
      </c>
      <c r="E15" s="23" t="s">
        <v>16</v>
      </c>
      <c r="F15" s="23" t="s">
        <v>32</v>
      </c>
      <c r="G15" s="26">
        <f>G14/G13</f>
        <v>0.4143518518518518</v>
      </c>
      <c r="I15" s="23" t="s">
        <v>16</v>
      </c>
      <c r="J15" s="23" t="s">
        <v>32</v>
      </c>
      <c r="K15" s="26">
        <f>K14/K13</f>
        <v>0.48642384105960262</v>
      </c>
      <c r="M15" s="23" t="s">
        <v>38</v>
      </c>
      <c r="N15" s="23" t="s">
        <v>39</v>
      </c>
      <c r="O15" s="27">
        <v>250</v>
      </c>
    </row>
    <row r="16" spans="1:15" ht="17.25" customHeight="1" x14ac:dyDescent="0.25">
      <c r="A16" s="23" t="s">
        <v>16</v>
      </c>
      <c r="B16" s="23" t="s">
        <v>32</v>
      </c>
      <c r="C16" s="26">
        <f>C15/C14</f>
        <v>0.3215450123090145</v>
      </c>
      <c r="E16" s="23" t="s">
        <v>12</v>
      </c>
      <c r="F16" s="23" t="s">
        <v>13</v>
      </c>
      <c r="G16" s="27">
        <f>(G9/G13)*G14*365</f>
        <v>78341.50462962962</v>
      </c>
      <c r="I16" s="23" t="s">
        <v>12</v>
      </c>
      <c r="J16" s="23" t="s">
        <v>13</v>
      </c>
      <c r="K16" s="27">
        <f>(K9/K13)*K14*365</f>
        <v>64448.726821192045</v>
      </c>
      <c r="M16" s="23" t="s">
        <v>12</v>
      </c>
      <c r="N16" s="23" t="s">
        <v>13</v>
      </c>
      <c r="O16" s="27">
        <f>O13*O14*O15/1000</f>
        <v>63</v>
      </c>
    </row>
    <row r="17" spans="1:15" s="30" customFormat="1" ht="17.25" customHeight="1" x14ac:dyDescent="0.25">
      <c r="A17" s="23" t="s">
        <v>12</v>
      </c>
      <c r="B17" s="23" t="s">
        <v>13</v>
      </c>
      <c r="C17" s="27">
        <f>(C9/C14)*C15*365</f>
        <v>151669.4060835329</v>
      </c>
      <c r="E17" s="28" t="s">
        <v>18</v>
      </c>
      <c r="F17" s="28" t="s">
        <v>13</v>
      </c>
      <c r="G17" s="29">
        <f>(G11-G16)/106.78%</f>
        <v>27293.964572364093</v>
      </c>
      <c r="I17" s="28" t="s">
        <v>18</v>
      </c>
      <c r="J17" s="28" t="s">
        <v>13</v>
      </c>
      <c r="K17" s="29">
        <f>K11-K16</f>
        <v>4251.2731788079545</v>
      </c>
      <c r="M17" s="28" t="s">
        <v>18</v>
      </c>
      <c r="N17" s="28" t="s">
        <v>13</v>
      </c>
      <c r="O17" s="29">
        <f>O11-O16</f>
        <v>201</v>
      </c>
    </row>
    <row r="18" spans="1:15" s="30" customFormat="1" ht="17.25" customHeight="1" x14ac:dyDescent="0.25">
      <c r="A18" s="28" t="s">
        <v>18</v>
      </c>
      <c r="B18" s="28" t="s">
        <v>13</v>
      </c>
      <c r="C18" s="29">
        <f>C11-C17</f>
        <v>6368.5939164670999</v>
      </c>
      <c r="E18" s="28" t="s">
        <v>34</v>
      </c>
      <c r="F18" s="28" t="s">
        <v>33</v>
      </c>
      <c r="G18" s="31">
        <f>(G10-G15)*100/G10</f>
        <v>9.8233459829965124</v>
      </c>
      <c r="I18" s="28" t="s">
        <v>34</v>
      </c>
      <c r="J18" s="28" t="s">
        <v>33</v>
      </c>
      <c r="K18" s="31">
        <f>(K10-K15)*100/K10</f>
        <v>2.2263636061100249</v>
      </c>
      <c r="M18" s="28" t="s">
        <v>34</v>
      </c>
      <c r="N18" s="28" t="s">
        <v>33</v>
      </c>
      <c r="O18" s="31">
        <f>(O11-O16)*100/O11</f>
        <v>76.13636363636364</v>
      </c>
    </row>
    <row r="19" spans="1:15" ht="17.25" customHeight="1" x14ac:dyDescent="0.25">
      <c r="A19" s="28" t="s">
        <v>34</v>
      </c>
      <c r="B19" s="28" t="s">
        <v>33</v>
      </c>
      <c r="C19" s="31">
        <f>(C10-C16)*100/C10</f>
        <v>2.470947533562077</v>
      </c>
      <c r="E19" s="64" t="s">
        <v>88</v>
      </c>
      <c r="F19" s="64" t="s">
        <v>89</v>
      </c>
      <c r="G19" s="50">
        <f>G17*0.66/1000</f>
        <v>18.014016617760301</v>
      </c>
      <c r="I19" s="64" t="s">
        <v>88</v>
      </c>
      <c r="J19" s="64" t="s">
        <v>89</v>
      </c>
      <c r="K19" s="50">
        <f>K17*0.66/1000</f>
        <v>2.80584029801325</v>
      </c>
      <c r="M19" s="64" t="s">
        <v>88</v>
      </c>
      <c r="N19" s="64" t="s">
        <v>89</v>
      </c>
      <c r="O19" s="50">
        <f>O17*0.66/1000</f>
        <v>0.13266</v>
      </c>
    </row>
    <row r="20" spans="1:15" ht="17.25" customHeight="1" x14ac:dyDescent="0.25">
      <c r="A20" s="64" t="s">
        <v>88</v>
      </c>
      <c r="B20" s="64" t="s">
        <v>89</v>
      </c>
      <c r="C20" s="50">
        <f>C18*0.66/1000</f>
        <v>4.2032719848682865</v>
      </c>
    </row>
  </sheetData>
  <sheetProtection algorithmName="SHA-1" hashValue="KlRkpwXg084UVYgVHhwHeVPr1AM=" saltValue="qcoFSPjGNE6/oyqV5tIu3Q==" spinCount="100000" sheet="1" objects="1" scenarios="1"/>
  <mergeCells count="12">
    <mergeCell ref="A12:C12"/>
    <mergeCell ref="E12:G12"/>
    <mergeCell ref="I12:K12"/>
    <mergeCell ref="M12:O12"/>
    <mergeCell ref="A3:C3"/>
    <mergeCell ref="E3:G3"/>
    <mergeCell ref="I3:K3"/>
    <mergeCell ref="M3:O3"/>
    <mergeCell ref="A5:C5"/>
    <mergeCell ref="E5:G5"/>
    <mergeCell ref="I5:K5"/>
    <mergeCell ref="M5:O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C841-8749-433B-BAA9-41368DAA39FE}">
  <dimension ref="A1:O20"/>
  <sheetViews>
    <sheetView topLeftCell="A7" workbookViewId="0">
      <selection activeCell="E20" sqref="E20"/>
    </sheetView>
  </sheetViews>
  <sheetFormatPr defaultRowHeight="17.25" customHeight="1" x14ac:dyDescent="0.25"/>
  <cols>
    <col min="1" max="1" width="28.85546875" style="19" customWidth="1"/>
    <col min="2" max="2" width="13.7109375" style="19" customWidth="1"/>
    <col min="3" max="3" width="13" style="19" customWidth="1"/>
    <col min="4" max="4" width="4.5703125" style="19" customWidth="1"/>
    <col min="5" max="5" width="28.140625" style="19" customWidth="1"/>
    <col min="6" max="6" width="11.85546875" style="19" customWidth="1"/>
    <col min="7" max="7" width="12.85546875" style="19" customWidth="1"/>
    <col min="8" max="8" width="4.5703125" style="19" customWidth="1"/>
    <col min="9" max="9" width="28.140625" style="19" customWidth="1"/>
    <col min="10" max="10" width="11.85546875" style="19" customWidth="1"/>
    <col min="11" max="11" width="12.85546875" style="19" customWidth="1"/>
    <col min="12" max="12" width="4.5703125" style="19" customWidth="1"/>
    <col min="13" max="13" width="28.140625" style="19" customWidth="1"/>
    <col min="14" max="14" width="11.85546875" style="19" customWidth="1"/>
    <col min="15" max="15" width="12.42578125" style="19" customWidth="1"/>
    <col min="16" max="16384" width="9.140625" style="19"/>
  </cols>
  <sheetData>
    <row r="1" spans="1:15" ht="17.25" customHeight="1" x14ac:dyDescent="0.25">
      <c r="A1" s="49" t="s">
        <v>55</v>
      </c>
      <c r="B1" s="49"/>
    </row>
    <row r="3" spans="1:15" ht="17.25" customHeight="1" x14ac:dyDescent="0.25">
      <c r="A3" s="46" t="s">
        <v>56</v>
      </c>
      <c r="B3" s="46"/>
      <c r="C3" s="46"/>
      <c r="E3" s="46" t="s">
        <v>47</v>
      </c>
      <c r="F3" s="46"/>
      <c r="G3" s="46"/>
      <c r="I3" s="46" t="s">
        <v>48</v>
      </c>
      <c r="J3" s="46"/>
      <c r="K3" s="46"/>
      <c r="M3" s="46" t="s">
        <v>46</v>
      </c>
      <c r="N3" s="46"/>
      <c r="O3" s="46"/>
    </row>
    <row r="4" spans="1:15" s="22" customFormat="1" ht="17.25" customHeight="1" x14ac:dyDescent="0.25">
      <c r="A4" s="20" t="s">
        <v>0</v>
      </c>
      <c r="B4" s="20" t="s">
        <v>1</v>
      </c>
      <c r="C4" s="21" t="s">
        <v>2</v>
      </c>
      <c r="E4" s="20" t="s">
        <v>0</v>
      </c>
      <c r="F4" s="20" t="s">
        <v>1</v>
      </c>
      <c r="G4" s="21" t="s">
        <v>2</v>
      </c>
      <c r="I4" s="20" t="s">
        <v>0</v>
      </c>
      <c r="J4" s="20" t="s">
        <v>1</v>
      </c>
      <c r="K4" s="21" t="s">
        <v>2</v>
      </c>
      <c r="M4" s="20" t="s">
        <v>0</v>
      </c>
      <c r="N4" s="20" t="s">
        <v>1</v>
      </c>
      <c r="O4" s="21" t="s">
        <v>2</v>
      </c>
    </row>
    <row r="5" spans="1:15" s="22" customFormat="1" ht="17.25" customHeight="1" x14ac:dyDescent="0.25">
      <c r="A5" s="47" t="s">
        <v>9</v>
      </c>
      <c r="B5" s="47"/>
      <c r="C5" s="47"/>
      <c r="E5" s="47" t="s">
        <v>9</v>
      </c>
      <c r="F5" s="47"/>
      <c r="G5" s="47"/>
      <c r="I5" s="47" t="s">
        <v>9</v>
      </c>
      <c r="J5" s="47"/>
      <c r="K5" s="47"/>
      <c r="M5" s="47" t="s">
        <v>9</v>
      </c>
      <c r="N5" s="47"/>
      <c r="O5" s="47"/>
    </row>
    <row r="6" spans="1:15" ht="17.25" customHeight="1" x14ac:dyDescent="0.25">
      <c r="A6" s="23" t="s">
        <v>3</v>
      </c>
      <c r="B6" s="23" t="s">
        <v>7</v>
      </c>
      <c r="C6" s="24">
        <v>62.1</v>
      </c>
      <c r="E6" s="23" t="s">
        <v>3</v>
      </c>
      <c r="F6" s="23" t="s">
        <v>7</v>
      </c>
      <c r="G6" s="24">
        <v>24.8</v>
      </c>
      <c r="I6" s="23" t="s">
        <v>3</v>
      </c>
      <c r="J6" s="23" t="s">
        <v>7</v>
      </c>
      <c r="K6" s="24">
        <v>38.9</v>
      </c>
      <c r="M6" s="23" t="s">
        <v>29</v>
      </c>
      <c r="N6" s="23" t="s">
        <v>30</v>
      </c>
      <c r="O6" s="24">
        <v>36</v>
      </c>
    </row>
    <row r="7" spans="1:15" ht="17.25" customHeight="1" x14ac:dyDescent="0.25">
      <c r="A7" s="23" t="s">
        <v>5</v>
      </c>
      <c r="B7" s="23" t="s">
        <v>4</v>
      </c>
      <c r="C7" s="24">
        <v>107</v>
      </c>
      <c r="E7" s="23" t="s">
        <v>26</v>
      </c>
      <c r="F7" s="23" t="s">
        <v>4</v>
      </c>
      <c r="G7" s="24">
        <v>39.9</v>
      </c>
      <c r="I7" s="23" t="s">
        <v>26</v>
      </c>
      <c r="J7" s="23" t="s">
        <v>4</v>
      </c>
      <c r="K7" s="24">
        <v>30.12</v>
      </c>
      <c r="M7" s="23" t="s">
        <v>31</v>
      </c>
      <c r="N7" s="23" t="s">
        <v>30</v>
      </c>
      <c r="O7" s="24">
        <v>8</v>
      </c>
    </row>
    <row r="8" spans="1:15" ht="17.25" customHeight="1" x14ac:dyDescent="0.25">
      <c r="A8" s="23" t="s">
        <v>14</v>
      </c>
      <c r="B8" s="23" t="s">
        <v>6</v>
      </c>
      <c r="C8" s="24">
        <v>38.369999999999997</v>
      </c>
      <c r="E8" s="23" t="s">
        <v>14</v>
      </c>
      <c r="F8" s="23" t="s">
        <v>6</v>
      </c>
      <c r="G8" s="24">
        <v>7.77</v>
      </c>
      <c r="I8" s="23" t="s">
        <v>14</v>
      </c>
      <c r="J8" s="23" t="s">
        <v>6</v>
      </c>
      <c r="K8" s="24">
        <v>10.82</v>
      </c>
      <c r="M8" s="23" t="s">
        <v>35</v>
      </c>
      <c r="N8" s="23" t="s">
        <v>36</v>
      </c>
      <c r="O8" s="24">
        <v>4</v>
      </c>
    </row>
    <row r="9" spans="1:15" ht="17.25" customHeight="1" x14ac:dyDescent="0.25">
      <c r="A9" s="23" t="s">
        <v>10</v>
      </c>
      <c r="B9" s="23" t="s">
        <v>11</v>
      </c>
      <c r="C9" s="25">
        <v>1490.4</v>
      </c>
      <c r="E9" s="23" t="s">
        <v>10</v>
      </c>
      <c r="F9" s="23" t="s">
        <v>11</v>
      </c>
      <c r="G9" s="25">
        <v>700</v>
      </c>
      <c r="I9" s="23" t="s">
        <v>10</v>
      </c>
      <c r="J9" s="23" t="s">
        <v>11</v>
      </c>
      <c r="K9" s="25">
        <v>1020</v>
      </c>
      <c r="M9" s="23" t="s">
        <v>37</v>
      </c>
      <c r="N9" s="23" t="s">
        <v>6</v>
      </c>
      <c r="O9" s="26">
        <v>1.056</v>
      </c>
    </row>
    <row r="10" spans="1:15" ht="17.25" customHeight="1" x14ac:dyDescent="0.25">
      <c r="A10" s="23" t="s">
        <v>16</v>
      </c>
      <c r="B10" s="23" t="s">
        <v>32</v>
      </c>
      <c r="C10" s="26">
        <f>C8/C6</f>
        <v>0.61787439613526562</v>
      </c>
      <c r="E10" s="23" t="s">
        <v>16</v>
      </c>
      <c r="F10" s="23" t="s">
        <v>32</v>
      </c>
      <c r="G10" s="26">
        <f>G8/G6</f>
        <v>0.31330645161290321</v>
      </c>
      <c r="I10" s="23" t="s">
        <v>16</v>
      </c>
      <c r="J10" s="23" t="s">
        <v>32</v>
      </c>
      <c r="K10" s="26">
        <f>K8/K6</f>
        <v>0.2781491002570694</v>
      </c>
      <c r="M10" s="23" t="s">
        <v>38</v>
      </c>
      <c r="N10" s="23" t="s">
        <v>39</v>
      </c>
      <c r="O10" s="27">
        <v>250</v>
      </c>
    </row>
    <row r="11" spans="1:15" ht="17.25" customHeight="1" x14ac:dyDescent="0.25">
      <c r="A11" s="23" t="s">
        <v>12</v>
      </c>
      <c r="B11" s="23" t="s">
        <v>13</v>
      </c>
      <c r="C11" s="27">
        <v>323788</v>
      </c>
      <c r="E11" s="23" t="s">
        <v>12</v>
      </c>
      <c r="F11" s="23" t="s">
        <v>13</v>
      </c>
      <c r="G11" s="27">
        <v>64841</v>
      </c>
      <c r="I11" s="23" t="s">
        <v>12</v>
      </c>
      <c r="J11" s="23" t="s">
        <v>13</v>
      </c>
      <c r="K11" s="27">
        <v>92248</v>
      </c>
      <c r="M11" s="23" t="s">
        <v>12</v>
      </c>
      <c r="N11" s="23" t="s">
        <v>13</v>
      </c>
      <c r="O11" s="27">
        <v>44</v>
      </c>
    </row>
    <row r="12" spans="1:15" ht="17.25" customHeight="1" x14ac:dyDescent="0.25">
      <c r="A12" s="48" t="s">
        <v>15</v>
      </c>
      <c r="B12" s="48"/>
      <c r="C12" s="48"/>
      <c r="E12" s="48" t="s">
        <v>15</v>
      </c>
      <c r="F12" s="48"/>
      <c r="G12" s="48"/>
      <c r="I12" s="48" t="s">
        <v>15</v>
      </c>
      <c r="J12" s="48"/>
      <c r="K12" s="48"/>
      <c r="M12" s="48" t="s">
        <v>15</v>
      </c>
      <c r="N12" s="48"/>
      <c r="O12" s="48"/>
    </row>
    <row r="13" spans="1:15" ht="17.25" customHeight="1" x14ac:dyDescent="0.25">
      <c r="A13" s="23" t="s">
        <v>49</v>
      </c>
      <c r="B13" s="23" t="s">
        <v>50</v>
      </c>
      <c r="C13" s="32">
        <v>44.25</v>
      </c>
      <c r="E13" s="23" t="s">
        <v>17</v>
      </c>
      <c r="F13" s="23" t="s">
        <v>7</v>
      </c>
      <c r="G13" s="32">
        <v>29.2</v>
      </c>
      <c r="I13" s="23" t="s">
        <v>17</v>
      </c>
      <c r="J13" s="23" t="s">
        <v>7</v>
      </c>
      <c r="K13" s="32">
        <v>42.5</v>
      </c>
      <c r="M13" s="23" t="s">
        <v>40</v>
      </c>
      <c r="N13" s="23" t="s">
        <v>30</v>
      </c>
      <c r="O13" s="33">
        <v>21</v>
      </c>
    </row>
    <row r="14" spans="1:15" ht="17.25" customHeight="1" x14ac:dyDescent="0.25">
      <c r="A14" s="23" t="s">
        <v>17</v>
      </c>
      <c r="B14" s="23" t="s">
        <v>7</v>
      </c>
      <c r="C14" s="34">
        <f>(((120*C13/2)/2955)^1)*64</f>
        <v>57.502538071065992</v>
      </c>
      <c r="E14" s="23" t="s">
        <v>14</v>
      </c>
      <c r="F14" s="23" t="s">
        <v>6</v>
      </c>
      <c r="G14" s="32">
        <v>6.1150000000000002</v>
      </c>
      <c r="I14" s="23" t="s">
        <v>14</v>
      </c>
      <c r="J14" s="23" t="s">
        <v>6</v>
      </c>
      <c r="K14" s="32">
        <v>6.5430000000000001</v>
      </c>
      <c r="M14" s="23" t="s">
        <v>41</v>
      </c>
      <c r="N14" s="23" t="s">
        <v>36</v>
      </c>
      <c r="O14" s="33">
        <v>3</v>
      </c>
    </row>
    <row r="15" spans="1:15" ht="17.25" customHeight="1" x14ac:dyDescent="0.25">
      <c r="A15" s="23" t="s">
        <v>14</v>
      </c>
      <c r="B15" s="23" t="s">
        <v>6</v>
      </c>
      <c r="C15" s="34">
        <f>((((120*C13/2)/2955)^3)*30.45)*(1+4.45%)</f>
        <v>23.068367520567673</v>
      </c>
      <c r="E15" s="23" t="s">
        <v>16</v>
      </c>
      <c r="F15" s="23" t="s">
        <v>32</v>
      </c>
      <c r="G15" s="26">
        <f>G14/G13</f>
        <v>0.2094178082191781</v>
      </c>
      <c r="I15" s="23" t="s">
        <v>16</v>
      </c>
      <c r="J15" s="23" t="s">
        <v>32</v>
      </c>
      <c r="K15" s="26">
        <f>K14/K13</f>
        <v>0.1539529411764706</v>
      </c>
      <c r="M15" s="23" t="s">
        <v>38</v>
      </c>
      <c r="N15" s="23" t="s">
        <v>39</v>
      </c>
      <c r="O15" s="27">
        <v>250</v>
      </c>
    </row>
    <row r="16" spans="1:15" ht="17.25" customHeight="1" x14ac:dyDescent="0.25">
      <c r="A16" s="23" t="s">
        <v>16</v>
      </c>
      <c r="B16" s="23" t="s">
        <v>32</v>
      </c>
      <c r="C16" s="26">
        <f>C15/C14</f>
        <v>0.4011712925098721</v>
      </c>
      <c r="E16" s="23" t="s">
        <v>12</v>
      </c>
      <c r="F16" s="23" t="s">
        <v>13</v>
      </c>
      <c r="G16" s="27">
        <f>(G9/G13)*G14*365</f>
        <v>53506.250000000007</v>
      </c>
      <c r="I16" s="23" t="s">
        <v>12</v>
      </c>
      <c r="J16" s="23" t="s">
        <v>13</v>
      </c>
      <c r="K16" s="27">
        <f>(K9/K13)*K14*365</f>
        <v>57316.68</v>
      </c>
      <c r="M16" s="23" t="s">
        <v>12</v>
      </c>
      <c r="N16" s="23" t="s">
        <v>13</v>
      </c>
      <c r="O16" s="27">
        <f>O13*O14*O15/1000</f>
        <v>15.75</v>
      </c>
    </row>
    <row r="17" spans="1:15" s="30" customFormat="1" ht="17.25" customHeight="1" x14ac:dyDescent="0.25">
      <c r="A17" s="23" t="s">
        <v>12</v>
      </c>
      <c r="B17" s="23" t="s">
        <v>13</v>
      </c>
      <c r="C17" s="27">
        <f>(C9/C14)*C15*365</f>
        <v>218235.57844020039</v>
      </c>
      <c r="E17" s="28" t="s">
        <v>18</v>
      </c>
      <c r="F17" s="28" t="s">
        <v>13</v>
      </c>
      <c r="G17" s="29">
        <f>(G11-G16)/106.78%</f>
        <v>10615.049634763056</v>
      </c>
      <c r="I17" s="28" t="s">
        <v>18</v>
      </c>
      <c r="J17" s="28" t="s">
        <v>13</v>
      </c>
      <c r="K17" s="29">
        <f>K11-K16</f>
        <v>34931.32</v>
      </c>
      <c r="M17" s="28" t="s">
        <v>18</v>
      </c>
      <c r="N17" s="28" t="s">
        <v>13</v>
      </c>
      <c r="O17" s="29">
        <f>O11-O16</f>
        <v>28.25</v>
      </c>
    </row>
    <row r="18" spans="1:15" s="30" customFormat="1" ht="17.25" customHeight="1" x14ac:dyDescent="0.25">
      <c r="A18" s="28" t="s">
        <v>18</v>
      </c>
      <c r="B18" s="28" t="s">
        <v>13</v>
      </c>
      <c r="C18" s="29">
        <f>C11-C17</f>
        <v>105552.42155979961</v>
      </c>
      <c r="E18" s="28" t="s">
        <v>34</v>
      </c>
      <c r="F18" s="28" t="s">
        <v>33</v>
      </c>
      <c r="G18" s="31">
        <f>(G10-G15)*100/G10</f>
        <v>33.15879480263041</v>
      </c>
      <c r="I18" s="28" t="s">
        <v>34</v>
      </c>
      <c r="J18" s="28" t="s">
        <v>33</v>
      </c>
      <c r="K18" s="31">
        <f>(K10-K15)*100/K10</f>
        <v>44.65092965097314</v>
      </c>
      <c r="M18" s="28" t="s">
        <v>34</v>
      </c>
      <c r="N18" s="28" t="s">
        <v>33</v>
      </c>
      <c r="O18" s="31">
        <f>(O11-O16)*100/O11</f>
        <v>64.204545454545453</v>
      </c>
    </row>
    <row r="19" spans="1:15" ht="17.25" customHeight="1" x14ac:dyDescent="0.25">
      <c r="A19" s="28" t="s">
        <v>34</v>
      </c>
      <c r="B19" s="28" t="s">
        <v>33</v>
      </c>
      <c r="C19" s="31">
        <f>(C10-C16)*100/C10</f>
        <v>35.072355317010533</v>
      </c>
      <c r="E19" s="64" t="s">
        <v>88</v>
      </c>
      <c r="F19" s="64" t="s">
        <v>89</v>
      </c>
      <c r="G19" s="50">
        <f>G17*0.66/1000</f>
        <v>7.0059327589436169</v>
      </c>
      <c r="I19" s="64" t="s">
        <v>88</v>
      </c>
      <c r="J19" s="64" t="s">
        <v>89</v>
      </c>
      <c r="K19" s="50">
        <f>K17*0.66/1000</f>
        <v>23.054671200000001</v>
      </c>
      <c r="M19" s="64" t="s">
        <v>88</v>
      </c>
      <c r="N19" s="64" t="s">
        <v>89</v>
      </c>
      <c r="O19" s="50">
        <f>O17*0.66/1000</f>
        <v>1.8644999999999998E-2</v>
      </c>
    </row>
    <row r="20" spans="1:15" ht="17.25" customHeight="1" x14ac:dyDescent="0.25">
      <c r="A20" s="64" t="s">
        <v>88</v>
      </c>
      <c r="B20" s="64" t="s">
        <v>89</v>
      </c>
      <c r="C20" s="50">
        <f>C18*0.66/1000</f>
        <v>69.664598229467742</v>
      </c>
    </row>
  </sheetData>
  <sheetProtection algorithmName="SHA-1" hashValue="uwZsLzIDyjIH4cfS6wdDizOzJkc=" saltValue="RnC2W1KuhHrjoCx+LoiQFQ==" spinCount="100000" sheet="1" objects="1" scenarios="1"/>
  <mergeCells count="13">
    <mergeCell ref="A12:C12"/>
    <mergeCell ref="E12:G12"/>
    <mergeCell ref="I12:K12"/>
    <mergeCell ref="M12:O12"/>
    <mergeCell ref="A1:B1"/>
    <mergeCell ref="A3:C3"/>
    <mergeCell ref="E3:G3"/>
    <mergeCell ref="I3:K3"/>
    <mergeCell ref="M3:O3"/>
    <mergeCell ref="A5:C5"/>
    <mergeCell ref="E5:G5"/>
    <mergeCell ref="I5:K5"/>
    <mergeCell ref="M5:O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D37B-D85D-4E6E-913C-1644A999F34C}">
  <dimension ref="A1:O20"/>
  <sheetViews>
    <sheetView topLeftCell="A3" workbookViewId="0">
      <selection activeCell="E20" sqref="E20:G20"/>
    </sheetView>
  </sheetViews>
  <sheetFormatPr defaultRowHeight="17.25" customHeight="1" x14ac:dyDescent="0.25"/>
  <cols>
    <col min="1" max="1" width="28.85546875" style="19" customWidth="1"/>
    <col min="2" max="2" width="14.5703125" style="19" customWidth="1"/>
    <col min="3" max="3" width="13" style="19" customWidth="1"/>
    <col min="4" max="4" width="4.5703125" style="19" customWidth="1"/>
    <col min="5" max="5" width="29.7109375" style="19" customWidth="1"/>
    <col min="6" max="6" width="13.7109375" style="19" customWidth="1"/>
    <col min="7" max="7" width="13" style="19" customWidth="1"/>
    <col min="8" max="8" width="4.5703125" style="19" customWidth="1"/>
    <col min="9" max="9" width="28.140625" style="19" customWidth="1"/>
    <col min="10" max="10" width="11.85546875" style="19" customWidth="1"/>
    <col min="11" max="11" width="12.85546875" style="19" customWidth="1"/>
    <col min="12" max="12" width="4.5703125" style="19" customWidth="1"/>
    <col min="13" max="13" width="28.140625" style="19" customWidth="1"/>
    <col min="14" max="14" width="11.85546875" style="19" customWidth="1"/>
    <col min="15" max="15" width="12.42578125" style="19" customWidth="1"/>
    <col min="16" max="16384" width="9.140625" style="19"/>
  </cols>
  <sheetData>
    <row r="1" spans="1:15" ht="17.25" customHeight="1" x14ac:dyDescent="0.25">
      <c r="A1" s="49" t="s">
        <v>61</v>
      </c>
      <c r="B1" s="49"/>
    </row>
    <row r="3" spans="1:15" ht="17.25" customHeight="1" x14ac:dyDescent="0.25">
      <c r="A3" s="46" t="s">
        <v>57</v>
      </c>
      <c r="B3" s="46"/>
      <c r="C3" s="46"/>
      <c r="E3" s="46" t="s">
        <v>58</v>
      </c>
      <c r="F3" s="46"/>
      <c r="G3" s="46"/>
      <c r="I3" s="46" t="s">
        <v>25</v>
      </c>
      <c r="J3" s="46"/>
      <c r="K3" s="46"/>
      <c r="M3" s="46" t="s">
        <v>28</v>
      </c>
      <c r="N3" s="46"/>
      <c r="O3" s="46"/>
    </row>
    <row r="4" spans="1:15" s="22" customFormat="1" ht="17.25" customHeight="1" x14ac:dyDescent="0.25">
      <c r="A4" s="20" t="s">
        <v>0</v>
      </c>
      <c r="B4" s="20" t="s">
        <v>1</v>
      </c>
      <c r="C4" s="21" t="s">
        <v>2</v>
      </c>
      <c r="E4" s="20" t="s">
        <v>0</v>
      </c>
      <c r="F4" s="20" t="s">
        <v>1</v>
      </c>
      <c r="G4" s="21" t="s">
        <v>2</v>
      </c>
      <c r="I4" s="20" t="s">
        <v>0</v>
      </c>
      <c r="J4" s="20" t="s">
        <v>1</v>
      </c>
      <c r="K4" s="21" t="s">
        <v>2</v>
      </c>
      <c r="M4" s="20" t="s">
        <v>0</v>
      </c>
      <c r="N4" s="20" t="s">
        <v>1</v>
      </c>
      <c r="O4" s="21" t="s">
        <v>2</v>
      </c>
    </row>
    <row r="5" spans="1:15" s="22" customFormat="1" ht="17.25" customHeight="1" x14ac:dyDescent="0.25">
      <c r="A5" s="47" t="s">
        <v>9</v>
      </c>
      <c r="B5" s="47"/>
      <c r="C5" s="47"/>
      <c r="E5" s="47" t="s">
        <v>9</v>
      </c>
      <c r="F5" s="47"/>
      <c r="G5" s="47"/>
      <c r="I5" s="47" t="s">
        <v>9</v>
      </c>
      <c r="J5" s="47"/>
      <c r="K5" s="47"/>
      <c r="M5" s="47" t="s">
        <v>9</v>
      </c>
      <c r="N5" s="47"/>
      <c r="O5" s="47"/>
    </row>
    <row r="6" spans="1:15" ht="17.25" customHeight="1" x14ac:dyDescent="0.25">
      <c r="A6" s="23" t="s">
        <v>3</v>
      </c>
      <c r="B6" s="23" t="s">
        <v>7</v>
      </c>
      <c r="C6" s="24">
        <v>64.599999999999994</v>
      </c>
      <c r="E6" s="23" t="s">
        <v>3</v>
      </c>
      <c r="F6" s="23" t="s">
        <v>7</v>
      </c>
      <c r="G6" s="24">
        <v>62.9</v>
      </c>
      <c r="I6" s="23" t="s">
        <v>3</v>
      </c>
      <c r="J6" s="23" t="s">
        <v>7</v>
      </c>
      <c r="K6" s="24">
        <v>42.2</v>
      </c>
      <c r="M6" s="23" t="s">
        <v>29</v>
      </c>
      <c r="N6" s="23" t="s">
        <v>30</v>
      </c>
      <c r="O6" s="24">
        <v>36</v>
      </c>
    </row>
    <row r="7" spans="1:15" ht="17.25" customHeight="1" x14ac:dyDescent="0.25">
      <c r="A7" s="23" t="s">
        <v>5</v>
      </c>
      <c r="B7" s="23" t="s">
        <v>4</v>
      </c>
      <c r="C7" s="24">
        <v>46</v>
      </c>
      <c r="E7" s="23" t="s">
        <v>5</v>
      </c>
      <c r="F7" s="23" t="s">
        <v>4</v>
      </c>
      <c r="G7" s="24">
        <v>46</v>
      </c>
      <c r="I7" s="23" t="s">
        <v>26</v>
      </c>
      <c r="J7" s="23" t="s">
        <v>4</v>
      </c>
      <c r="K7" s="24">
        <v>30</v>
      </c>
      <c r="M7" s="23" t="s">
        <v>31</v>
      </c>
      <c r="N7" s="23" t="s">
        <v>30</v>
      </c>
      <c r="O7" s="24">
        <v>8</v>
      </c>
    </row>
    <row r="8" spans="1:15" ht="17.25" customHeight="1" x14ac:dyDescent="0.25">
      <c r="A8" s="23" t="s">
        <v>14</v>
      </c>
      <c r="B8" s="23" t="s">
        <v>6</v>
      </c>
      <c r="C8" s="24">
        <v>16.39</v>
      </c>
      <c r="E8" s="23" t="s">
        <v>14</v>
      </c>
      <c r="F8" s="23" t="s">
        <v>6</v>
      </c>
      <c r="G8" s="24">
        <v>16.78</v>
      </c>
      <c r="I8" s="23" t="s">
        <v>14</v>
      </c>
      <c r="J8" s="23" t="s">
        <v>6</v>
      </c>
      <c r="K8" s="24">
        <v>11.77</v>
      </c>
      <c r="M8" s="23" t="s">
        <v>35</v>
      </c>
      <c r="N8" s="23" t="s">
        <v>36</v>
      </c>
      <c r="O8" s="24">
        <v>5</v>
      </c>
    </row>
    <row r="9" spans="1:15" ht="17.25" customHeight="1" x14ac:dyDescent="0.25">
      <c r="A9" s="23" t="s">
        <v>10</v>
      </c>
      <c r="B9" s="23" t="s">
        <v>11</v>
      </c>
      <c r="C9" s="25">
        <v>707.8</v>
      </c>
      <c r="E9" s="23" t="s">
        <v>10</v>
      </c>
      <c r="F9" s="23" t="s">
        <v>11</v>
      </c>
      <c r="G9" s="25">
        <v>707.8</v>
      </c>
      <c r="I9" s="23" t="s">
        <v>10</v>
      </c>
      <c r="J9" s="23" t="s">
        <v>11</v>
      </c>
      <c r="K9" s="25">
        <v>1192</v>
      </c>
      <c r="M9" s="23" t="s">
        <v>37</v>
      </c>
      <c r="N9" s="23" t="s">
        <v>6</v>
      </c>
      <c r="O9" s="26">
        <v>1.056</v>
      </c>
    </row>
    <row r="10" spans="1:15" ht="17.25" customHeight="1" x14ac:dyDescent="0.25">
      <c r="A10" s="23" t="s">
        <v>16</v>
      </c>
      <c r="B10" s="23" t="s">
        <v>32</v>
      </c>
      <c r="C10" s="26">
        <f>C8/C6</f>
        <v>0.25371517027863782</v>
      </c>
      <c r="E10" s="23" t="s">
        <v>16</v>
      </c>
      <c r="F10" s="23" t="s">
        <v>32</v>
      </c>
      <c r="G10" s="26">
        <f>G8/G6</f>
        <v>0.26677265500794917</v>
      </c>
      <c r="I10" s="23" t="s">
        <v>16</v>
      </c>
      <c r="J10" s="23" t="s">
        <v>32</v>
      </c>
      <c r="K10" s="26">
        <f>K8/K6</f>
        <v>0.27890995260663504</v>
      </c>
      <c r="M10" s="23" t="s">
        <v>38</v>
      </c>
      <c r="N10" s="23" t="s">
        <v>39</v>
      </c>
      <c r="O10" s="27">
        <v>250</v>
      </c>
    </row>
    <row r="11" spans="1:15" ht="17.25" customHeight="1" x14ac:dyDescent="0.25">
      <c r="A11" s="23" t="s">
        <v>12</v>
      </c>
      <c r="B11" s="23" t="s">
        <v>13</v>
      </c>
      <c r="C11" s="27">
        <v>65478</v>
      </c>
      <c r="E11" s="23" t="s">
        <v>12</v>
      </c>
      <c r="F11" s="23" t="s">
        <v>13</v>
      </c>
      <c r="G11" s="27">
        <v>67070</v>
      </c>
      <c r="I11" s="23" t="s">
        <v>12</v>
      </c>
      <c r="J11" s="23" t="s">
        <v>13</v>
      </c>
      <c r="K11" s="27">
        <v>99911</v>
      </c>
      <c r="M11" s="23" t="s">
        <v>12</v>
      </c>
      <c r="N11" s="23" t="s">
        <v>13</v>
      </c>
      <c r="O11" s="27">
        <v>55</v>
      </c>
    </row>
    <row r="12" spans="1:15" ht="17.25" customHeight="1" x14ac:dyDescent="0.25">
      <c r="A12" s="48" t="s">
        <v>15</v>
      </c>
      <c r="B12" s="48"/>
      <c r="C12" s="48"/>
      <c r="E12" s="48" t="s">
        <v>15</v>
      </c>
      <c r="F12" s="48"/>
      <c r="G12" s="48"/>
      <c r="I12" s="48" t="s">
        <v>15</v>
      </c>
      <c r="J12" s="48"/>
      <c r="K12" s="48"/>
      <c r="M12" s="48" t="s">
        <v>15</v>
      </c>
      <c r="N12" s="48"/>
      <c r="O12" s="48"/>
    </row>
    <row r="13" spans="1:15" ht="17.25" customHeight="1" x14ac:dyDescent="0.25">
      <c r="A13" s="23" t="s">
        <v>49</v>
      </c>
      <c r="B13" s="23" t="s">
        <v>50</v>
      </c>
      <c r="C13" s="32">
        <v>43.9</v>
      </c>
      <c r="E13" s="23" t="s">
        <v>49</v>
      </c>
      <c r="F13" s="23" t="s">
        <v>50</v>
      </c>
      <c r="G13" s="32">
        <v>43.9</v>
      </c>
      <c r="I13" s="23" t="s">
        <v>17</v>
      </c>
      <c r="J13" s="23" t="s">
        <v>7</v>
      </c>
      <c r="K13" s="32">
        <v>49.7</v>
      </c>
      <c r="M13" s="23" t="s">
        <v>40</v>
      </c>
      <c r="N13" s="23" t="s">
        <v>30</v>
      </c>
      <c r="O13" s="33">
        <v>21</v>
      </c>
    </row>
    <row r="14" spans="1:15" ht="17.25" customHeight="1" x14ac:dyDescent="0.25">
      <c r="A14" s="23" t="s">
        <v>17</v>
      </c>
      <c r="B14" s="23" t="s">
        <v>7</v>
      </c>
      <c r="C14" s="34">
        <f>(((120*C13/2)/2950)^1)*64</f>
        <v>57.144406779661018</v>
      </c>
      <c r="E14" s="23" t="s">
        <v>17</v>
      </c>
      <c r="F14" s="23" t="s">
        <v>7</v>
      </c>
      <c r="G14" s="34">
        <f>(((120*G13/2)/2950)^1)*64</f>
        <v>57.144406779661018</v>
      </c>
      <c r="I14" s="23" t="s">
        <v>14</v>
      </c>
      <c r="J14" s="23" t="s">
        <v>6</v>
      </c>
      <c r="K14" s="32">
        <v>7.7169999999999996</v>
      </c>
      <c r="M14" s="23" t="s">
        <v>41</v>
      </c>
      <c r="N14" s="23" t="s">
        <v>36</v>
      </c>
      <c r="O14" s="33">
        <v>4</v>
      </c>
    </row>
    <row r="15" spans="1:15" ht="17.25" customHeight="1" x14ac:dyDescent="0.25">
      <c r="A15" s="23" t="s">
        <v>14</v>
      </c>
      <c r="B15" s="23" t="s">
        <v>6</v>
      </c>
      <c r="C15" s="34">
        <f>((((120*C13/2)/2950)^3)*14.44)*(1+5%)</f>
        <v>10.792890135363326</v>
      </c>
      <c r="E15" s="23" t="s">
        <v>14</v>
      </c>
      <c r="F15" s="23" t="s">
        <v>6</v>
      </c>
      <c r="G15" s="34">
        <f>((((120*G13/2)/2950)^3)*14.44)*(1+5%)</f>
        <v>10.792890135363326</v>
      </c>
      <c r="I15" s="23" t="s">
        <v>16</v>
      </c>
      <c r="J15" s="23" t="s">
        <v>32</v>
      </c>
      <c r="K15" s="26">
        <f>K14/K13</f>
        <v>0.15527162977867201</v>
      </c>
      <c r="M15" s="23" t="s">
        <v>38</v>
      </c>
      <c r="N15" s="23" t="s">
        <v>39</v>
      </c>
      <c r="O15" s="27">
        <v>250</v>
      </c>
    </row>
    <row r="16" spans="1:15" ht="17.25" customHeight="1" x14ac:dyDescent="0.25">
      <c r="A16" s="23" t="s">
        <v>16</v>
      </c>
      <c r="B16" s="23" t="s">
        <v>32</v>
      </c>
      <c r="C16" s="26">
        <f>C15/C14</f>
        <v>0.18887045545820169</v>
      </c>
      <c r="E16" s="23" t="s">
        <v>16</v>
      </c>
      <c r="F16" s="23" t="s">
        <v>32</v>
      </c>
      <c r="G16" s="26">
        <f>G15/G14</f>
        <v>0.18887045545820169</v>
      </c>
      <c r="I16" s="23" t="s">
        <v>12</v>
      </c>
      <c r="J16" s="23" t="s">
        <v>13</v>
      </c>
      <c r="K16" s="27">
        <f>(K9/K13)*K14*365</f>
        <v>67555.580684104629</v>
      </c>
      <c r="M16" s="23" t="s">
        <v>12</v>
      </c>
      <c r="N16" s="23" t="s">
        <v>13</v>
      </c>
      <c r="O16" s="27">
        <f>O13*O14*O15/1000</f>
        <v>21</v>
      </c>
    </row>
    <row r="17" spans="1:15" s="30" customFormat="1" ht="17.25" customHeight="1" x14ac:dyDescent="0.25">
      <c r="A17" s="23" t="s">
        <v>12</v>
      </c>
      <c r="B17" s="23" t="s">
        <v>13</v>
      </c>
      <c r="C17" s="27">
        <f>(C9/C14)*C15*365</f>
        <v>48794.115556260032</v>
      </c>
      <c r="E17" s="23" t="s">
        <v>12</v>
      </c>
      <c r="F17" s="23" t="s">
        <v>13</v>
      </c>
      <c r="G17" s="27">
        <f>(G9/G14)*G15*365</f>
        <v>48794.115556260032</v>
      </c>
      <c r="I17" s="28" t="s">
        <v>18</v>
      </c>
      <c r="J17" s="28" t="s">
        <v>13</v>
      </c>
      <c r="K17" s="29">
        <f>K11-K16</f>
        <v>32355.419315895371</v>
      </c>
      <c r="M17" s="28" t="s">
        <v>18</v>
      </c>
      <c r="N17" s="28" t="s">
        <v>13</v>
      </c>
      <c r="O17" s="29">
        <f>O11-O16</f>
        <v>34</v>
      </c>
    </row>
    <row r="18" spans="1:15" s="30" customFormat="1" ht="17.25" customHeight="1" x14ac:dyDescent="0.25">
      <c r="A18" s="28" t="s">
        <v>18</v>
      </c>
      <c r="B18" s="28" t="s">
        <v>13</v>
      </c>
      <c r="C18" s="29">
        <f>C11-C17</f>
        <v>16683.884443739968</v>
      </c>
      <c r="E18" s="28" t="s">
        <v>18</v>
      </c>
      <c r="F18" s="28" t="s">
        <v>13</v>
      </c>
      <c r="G18" s="29">
        <f>G11-G17</f>
        <v>18275.884443739968</v>
      </c>
      <c r="I18" s="28" t="s">
        <v>34</v>
      </c>
      <c r="J18" s="28" t="s">
        <v>33</v>
      </c>
      <c r="K18" s="31">
        <f>(K10-K15)*100/K10</f>
        <v>44.329118295157521</v>
      </c>
      <c r="M18" s="28" t="s">
        <v>34</v>
      </c>
      <c r="N18" s="28" t="s">
        <v>33</v>
      </c>
      <c r="O18" s="31">
        <f>(O11-O16)*100/O11</f>
        <v>61.81818181818182</v>
      </c>
    </row>
    <row r="19" spans="1:15" ht="17.25" customHeight="1" x14ac:dyDescent="0.25">
      <c r="A19" s="28" t="s">
        <v>34</v>
      </c>
      <c r="B19" s="28" t="s">
        <v>33</v>
      </c>
      <c r="C19" s="31">
        <f>(C10-C16)*100/C10</f>
        <v>25.558075517999836</v>
      </c>
      <c r="E19" s="28" t="s">
        <v>34</v>
      </c>
      <c r="F19" s="28" t="s">
        <v>33</v>
      </c>
      <c r="G19" s="31">
        <f>(G10-G16)*100/G10</f>
        <v>29.201718424786147</v>
      </c>
      <c r="I19" s="64" t="s">
        <v>88</v>
      </c>
      <c r="J19" s="64" t="s">
        <v>89</v>
      </c>
      <c r="K19" s="50">
        <f>K17*0.66/1000</f>
        <v>21.354576748490945</v>
      </c>
      <c r="M19" s="64" t="s">
        <v>88</v>
      </c>
      <c r="N19" s="64" t="s">
        <v>89</v>
      </c>
      <c r="O19" s="50">
        <f>O17*0.66/1000</f>
        <v>2.2440000000000002E-2</v>
      </c>
    </row>
    <row r="20" spans="1:15" ht="17.25" customHeight="1" x14ac:dyDescent="0.25">
      <c r="A20" s="64" t="s">
        <v>88</v>
      </c>
      <c r="B20" s="64" t="s">
        <v>89</v>
      </c>
      <c r="C20" s="50">
        <f>C18*0.66/1000</f>
        <v>11.01136373286838</v>
      </c>
      <c r="E20" s="64" t="s">
        <v>88</v>
      </c>
      <c r="F20" s="64" t="s">
        <v>89</v>
      </c>
      <c r="G20" s="50">
        <f>G18*0.66/1000</f>
        <v>12.062083732868379</v>
      </c>
    </row>
  </sheetData>
  <sheetProtection algorithmName="SHA-1" hashValue="trbatfzDcGZD7cCJ7bI5b6mL4cE=" saltValue="0MZVGOJL8Ve2qaTexIjGjw==" spinCount="100000" sheet="1" objects="1" scenarios="1"/>
  <mergeCells count="13">
    <mergeCell ref="A12:C12"/>
    <mergeCell ref="E12:G12"/>
    <mergeCell ref="I12:K12"/>
    <mergeCell ref="M12:O12"/>
    <mergeCell ref="A1:B1"/>
    <mergeCell ref="A3:C3"/>
    <mergeCell ref="E3:G3"/>
    <mergeCell ref="I3:K3"/>
    <mergeCell ref="M3:O3"/>
    <mergeCell ref="A5:C5"/>
    <mergeCell ref="E5:G5"/>
    <mergeCell ref="I5:K5"/>
    <mergeCell ref="M5:O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630B-AF20-4C39-BA8B-93CE3F254AE2}">
  <dimension ref="A1:G19"/>
  <sheetViews>
    <sheetView workbookViewId="0">
      <selection activeCell="E15" sqref="E15"/>
    </sheetView>
  </sheetViews>
  <sheetFormatPr defaultRowHeight="17.25" customHeight="1" x14ac:dyDescent="0.25"/>
  <cols>
    <col min="1" max="1" width="28.140625" style="19" customWidth="1"/>
    <col min="2" max="3" width="11.85546875" style="19" customWidth="1"/>
    <col min="4" max="4" width="4.5703125" style="19" customWidth="1"/>
    <col min="5" max="5" width="28.140625" style="19" customWidth="1"/>
    <col min="6" max="6" width="11.85546875" style="19" customWidth="1"/>
    <col min="7" max="7" width="12.42578125" style="19" customWidth="1"/>
    <col min="8" max="16384" width="9.140625" style="19"/>
  </cols>
  <sheetData>
    <row r="1" spans="1:7" ht="17.25" customHeight="1" x14ac:dyDescent="0.25">
      <c r="A1" s="18" t="s">
        <v>60</v>
      </c>
    </row>
    <row r="3" spans="1:7" ht="17.25" customHeight="1" x14ac:dyDescent="0.25">
      <c r="A3" s="46" t="s">
        <v>8</v>
      </c>
      <c r="B3" s="46"/>
      <c r="C3" s="46"/>
      <c r="E3" s="46" t="s">
        <v>59</v>
      </c>
      <c r="F3" s="46"/>
      <c r="G3" s="46"/>
    </row>
    <row r="4" spans="1:7" s="22" customFormat="1" ht="17.25" customHeight="1" x14ac:dyDescent="0.25">
      <c r="A4" s="20" t="s">
        <v>0</v>
      </c>
      <c r="B4" s="20" t="s">
        <v>1</v>
      </c>
      <c r="C4" s="21" t="s">
        <v>2</v>
      </c>
      <c r="E4" s="20" t="s">
        <v>0</v>
      </c>
      <c r="F4" s="20" t="s">
        <v>1</v>
      </c>
      <c r="G4" s="21" t="s">
        <v>2</v>
      </c>
    </row>
    <row r="5" spans="1:7" s="22" customFormat="1" ht="17.25" customHeight="1" x14ac:dyDescent="0.25">
      <c r="A5" s="47" t="s">
        <v>9</v>
      </c>
      <c r="B5" s="47"/>
      <c r="C5" s="47"/>
      <c r="E5" s="47" t="s">
        <v>9</v>
      </c>
      <c r="F5" s="47"/>
      <c r="G5" s="47"/>
    </row>
    <row r="6" spans="1:7" ht="17.25" customHeight="1" x14ac:dyDescent="0.25">
      <c r="A6" s="23" t="s">
        <v>3</v>
      </c>
      <c r="B6" s="23" t="s">
        <v>7</v>
      </c>
      <c r="C6" s="24">
        <v>23.8</v>
      </c>
      <c r="E6" s="23" t="s">
        <v>29</v>
      </c>
      <c r="F6" s="23" t="s">
        <v>30</v>
      </c>
      <c r="G6" s="24">
        <v>36</v>
      </c>
    </row>
    <row r="7" spans="1:7" ht="17.25" customHeight="1" x14ac:dyDescent="0.25">
      <c r="A7" s="23" t="s">
        <v>5</v>
      </c>
      <c r="B7" s="23" t="s">
        <v>4</v>
      </c>
      <c r="C7" s="24">
        <v>50</v>
      </c>
      <c r="E7" s="23" t="s">
        <v>31</v>
      </c>
      <c r="F7" s="23" t="s">
        <v>30</v>
      </c>
      <c r="G7" s="24">
        <v>8</v>
      </c>
    </row>
    <row r="8" spans="1:7" ht="17.25" customHeight="1" x14ac:dyDescent="0.25">
      <c r="A8" s="23" t="s">
        <v>14</v>
      </c>
      <c r="B8" s="23" t="s">
        <v>6</v>
      </c>
      <c r="C8" s="24">
        <v>8.09</v>
      </c>
      <c r="E8" s="23" t="s">
        <v>35</v>
      </c>
      <c r="F8" s="23" t="s">
        <v>36</v>
      </c>
      <c r="G8" s="24">
        <v>6</v>
      </c>
    </row>
    <row r="9" spans="1:7" ht="17.25" customHeight="1" x14ac:dyDescent="0.25">
      <c r="A9" s="23" t="s">
        <v>10</v>
      </c>
      <c r="B9" s="23" t="s">
        <v>11</v>
      </c>
      <c r="C9" s="25">
        <v>571.20000000000005</v>
      </c>
      <c r="E9" s="23" t="s">
        <v>37</v>
      </c>
      <c r="F9" s="23" t="s">
        <v>6</v>
      </c>
      <c r="G9" s="26">
        <v>1.056</v>
      </c>
    </row>
    <row r="10" spans="1:7" ht="17.25" customHeight="1" x14ac:dyDescent="0.25">
      <c r="A10" s="23" t="s">
        <v>16</v>
      </c>
      <c r="B10" s="23" t="s">
        <v>32</v>
      </c>
      <c r="C10" s="26">
        <f>C8/C6</f>
        <v>0.33991596638655458</v>
      </c>
      <c r="E10" s="23" t="s">
        <v>38</v>
      </c>
      <c r="F10" s="23" t="s">
        <v>39</v>
      </c>
      <c r="G10" s="27">
        <v>250</v>
      </c>
    </row>
    <row r="11" spans="1:7" ht="17.25" customHeight="1" x14ac:dyDescent="0.25">
      <c r="A11" s="23" t="s">
        <v>12</v>
      </c>
      <c r="B11" s="23" t="s">
        <v>13</v>
      </c>
      <c r="C11" s="27">
        <v>70873</v>
      </c>
      <c r="E11" s="23" t="s">
        <v>12</v>
      </c>
      <c r="F11" s="23" t="s">
        <v>13</v>
      </c>
      <c r="G11" s="27">
        <v>66</v>
      </c>
    </row>
    <row r="12" spans="1:7" ht="17.25" customHeight="1" x14ac:dyDescent="0.25">
      <c r="A12" s="48" t="s">
        <v>15</v>
      </c>
      <c r="B12" s="48"/>
      <c r="C12" s="48"/>
      <c r="E12" s="48" t="s">
        <v>15</v>
      </c>
      <c r="F12" s="48"/>
      <c r="G12" s="48"/>
    </row>
    <row r="13" spans="1:7" ht="17.25" customHeight="1" x14ac:dyDescent="0.25">
      <c r="A13" s="23" t="s">
        <v>17</v>
      </c>
      <c r="B13" s="23" t="s">
        <v>7</v>
      </c>
      <c r="C13" s="32">
        <v>50</v>
      </c>
      <c r="E13" s="23" t="s">
        <v>40</v>
      </c>
      <c r="F13" s="23" t="s">
        <v>30</v>
      </c>
      <c r="G13" s="33">
        <v>21</v>
      </c>
    </row>
    <row r="14" spans="1:7" ht="17.25" customHeight="1" x14ac:dyDescent="0.25">
      <c r="A14" s="23" t="s">
        <v>14</v>
      </c>
      <c r="B14" s="23" t="s">
        <v>6</v>
      </c>
      <c r="C14" s="32">
        <v>10.79</v>
      </c>
      <c r="E14" s="23" t="s">
        <v>41</v>
      </c>
      <c r="F14" s="23" t="s">
        <v>36</v>
      </c>
      <c r="G14" s="33">
        <v>4</v>
      </c>
    </row>
    <row r="15" spans="1:7" ht="17.25" customHeight="1" x14ac:dyDescent="0.25">
      <c r="A15" s="23" t="s">
        <v>16</v>
      </c>
      <c r="B15" s="23" t="s">
        <v>32</v>
      </c>
      <c r="C15" s="26">
        <f>C14/C13</f>
        <v>0.21579999999999999</v>
      </c>
      <c r="E15" s="23" t="s">
        <v>38</v>
      </c>
      <c r="F15" s="23" t="s">
        <v>39</v>
      </c>
      <c r="G15" s="27">
        <v>250</v>
      </c>
    </row>
    <row r="16" spans="1:7" ht="17.25" customHeight="1" x14ac:dyDescent="0.25">
      <c r="A16" s="23" t="s">
        <v>12</v>
      </c>
      <c r="B16" s="23" t="s">
        <v>13</v>
      </c>
      <c r="C16" s="27">
        <f>(C9/C13)*C14*365</f>
        <v>44991.710400000004</v>
      </c>
      <c r="E16" s="23" t="s">
        <v>12</v>
      </c>
      <c r="F16" s="23" t="s">
        <v>13</v>
      </c>
      <c r="G16" s="27">
        <f>G13*G14*G15/1000</f>
        <v>21</v>
      </c>
    </row>
    <row r="17" spans="1:7" s="30" customFormat="1" ht="17.25" customHeight="1" x14ac:dyDescent="0.25">
      <c r="A17" s="28" t="s">
        <v>18</v>
      </c>
      <c r="B17" s="28" t="s">
        <v>13</v>
      </c>
      <c r="C17" s="29">
        <f>C11-C16</f>
        <v>25881.289599999996</v>
      </c>
      <c r="E17" s="28" t="s">
        <v>18</v>
      </c>
      <c r="F17" s="28" t="s">
        <v>13</v>
      </c>
      <c r="G17" s="29">
        <f>G11-G16</f>
        <v>45</v>
      </c>
    </row>
    <row r="18" spans="1:7" s="30" customFormat="1" ht="17.25" customHeight="1" x14ac:dyDescent="0.25">
      <c r="A18" s="28" t="s">
        <v>34</v>
      </c>
      <c r="B18" s="28" t="s">
        <v>33</v>
      </c>
      <c r="C18" s="31">
        <f>(C10-C15)*100/C10</f>
        <v>36.513720642768845</v>
      </c>
      <c r="E18" s="28" t="s">
        <v>34</v>
      </c>
      <c r="F18" s="28" t="s">
        <v>33</v>
      </c>
      <c r="G18" s="31">
        <f>(G11-G16)*100/G11</f>
        <v>68.181818181818187</v>
      </c>
    </row>
    <row r="19" spans="1:7" ht="17.25" customHeight="1" x14ac:dyDescent="0.25">
      <c r="A19" s="64" t="s">
        <v>88</v>
      </c>
      <c r="B19" s="64" t="s">
        <v>89</v>
      </c>
      <c r="C19" s="50">
        <f>C17*0.66/1000</f>
        <v>17.081651135999998</v>
      </c>
      <c r="E19" s="64" t="s">
        <v>88</v>
      </c>
      <c r="F19" s="64" t="s">
        <v>89</v>
      </c>
      <c r="G19" s="50">
        <f>G17*0.66/1000</f>
        <v>2.9700000000000004E-2</v>
      </c>
    </row>
  </sheetData>
  <sheetProtection algorithmName="SHA-1" hashValue="wm627g9bfHbtrE7YO2+aqKJLth8=" saltValue="w/+SoI/ffJrvhR7J/u7+Vg==" spinCount="100000" sheet="1" objects="1" scenarios="1"/>
  <mergeCells count="6">
    <mergeCell ref="A12:C12"/>
    <mergeCell ref="E12:G12"/>
    <mergeCell ref="A3:C3"/>
    <mergeCell ref="E3:G3"/>
    <mergeCell ref="A5:C5"/>
    <mergeCell ref="E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Summary Sheet</vt:lpstr>
      <vt:lpstr>Borderline PS</vt:lpstr>
      <vt:lpstr>Skyline PS</vt:lpstr>
      <vt:lpstr>Tasahe PS</vt:lpstr>
      <vt:lpstr>Titinge PS</vt:lpstr>
      <vt:lpstr>Tuvaruhu JICA PS</vt:lpstr>
      <vt:lpstr>Tuvaruhu SIWA PS</vt:lpstr>
      <vt:lpstr>Kwaibala 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Esambadi Gopal</dc:creator>
  <cp:lastModifiedBy>Esambadi Gopal</cp:lastModifiedBy>
  <dcterms:created xsi:type="dcterms:W3CDTF">2015-06-05T18:17:20Z</dcterms:created>
  <dcterms:modified xsi:type="dcterms:W3CDTF">2020-04-25T07:36:51Z</dcterms:modified>
</cp:coreProperties>
</file>