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3C9AE0CA-4DDB-473D-B4FD-00314CCB0F7E}" xr6:coauthVersionLast="44" xr6:coauthVersionMax="44" xr10:uidLastSave="{00000000-0000-0000-0000-000000000000}"/>
  <bookViews>
    <workbookView xWindow="-120" yWindow="-120" windowWidth="20730" windowHeight="11160" tabRatio="743" xr2:uid="{00000000-000D-0000-FFFF-FFFF00000000}"/>
  </bookViews>
  <sheets>
    <sheet name="Instructions" sheetId="20" r:id="rId1"/>
    <sheet name="Transfer Pumps" sheetId="2" r:id="rId2"/>
    <sheet name="VFD" sheetId="19" r:id="rId3"/>
    <sheet name="Borepump" sheetId="17" r:id="rId4"/>
    <sheet name="Lighting" sheetId="6" r:id="rId5"/>
    <sheet name="Self-generation" sheetId="15" r:id="rId6"/>
    <sheet name="GHG emission factor" sheetId="9" r:id="rId7"/>
    <sheet name="Financial Analysis" sheetId="18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8" l="1"/>
  <c r="I5" i="18"/>
  <c r="I3" i="18"/>
  <c r="D22" i="19" l="1"/>
  <c r="D18" i="19"/>
  <c r="E20" i="19" s="1"/>
  <c r="E19" i="19"/>
  <c r="D21" i="19"/>
  <c r="E22" i="19" l="1"/>
  <c r="E21" i="19"/>
  <c r="L4" i="18" l="1"/>
  <c r="C16" i="18" l="1"/>
  <c r="E16" i="18" s="1"/>
  <c r="C15" i="18"/>
  <c r="E15" i="18" s="1"/>
  <c r="B4" i="9" l="1"/>
  <c r="B5" i="9"/>
  <c r="C14" i="18" l="1"/>
  <c r="E14" i="18" s="1"/>
  <c r="C13" i="18"/>
  <c r="E13" i="18" s="1"/>
  <c r="C12" i="18"/>
  <c r="E12" i="18" s="1"/>
  <c r="C11" i="18"/>
  <c r="E11" i="18" s="1"/>
  <c r="C10" i="18"/>
  <c r="E10" i="18" s="1"/>
  <c r="C9" i="18"/>
  <c r="E9" i="18" s="1"/>
  <c r="C8" i="18"/>
  <c r="E8" i="18" s="1"/>
  <c r="C7" i="18"/>
  <c r="E7" i="18" s="1"/>
  <c r="E6" i="18"/>
  <c r="C6" i="18"/>
  <c r="E17" i="18" l="1"/>
  <c r="I4" i="18" s="1"/>
  <c r="M4" i="18"/>
  <c r="F6" i="18"/>
  <c r="F7" i="18" s="1"/>
  <c r="F8" i="18" s="1"/>
  <c r="F9" i="18" s="1"/>
  <c r="F10" i="18" s="1"/>
  <c r="F11" i="18" s="1"/>
  <c r="F12" i="18" s="1"/>
  <c r="F13" i="18" s="1"/>
  <c r="F14" i="18" s="1"/>
  <c r="F15" i="18" s="1"/>
  <c r="F16" i="18" s="1"/>
  <c r="N4" i="18" l="1"/>
  <c r="E13" i="6"/>
  <c r="E12" i="6"/>
  <c r="S7" i="15" l="1"/>
  <c r="D20" i="2"/>
  <c r="H21" i="17" l="1"/>
  <c r="H20" i="17"/>
  <c r="D20" i="17"/>
  <c r="H22" i="17" l="1"/>
  <c r="D21" i="17" s="1"/>
  <c r="D22" i="17" s="1"/>
  <c r="D23" i="17"/>
  <c r="S11" i="15" l="1"/>
  <c r="S18" i="15"/>
  <c r="S21" i="15" s="1"/>
  <c r="R18" i="15"/>
  <c r="R21" i="15" s="1"/>
  <c r="S10" i="15"/>
  <c r="M6" i="15"/>
  <c r="K6" i="15"/>
  <c r="J6" i="15"/>
  <c r="I6" i="15"/>
  <c r="G6" i="15"/>
  <c r="F6" i="15"/>
  <c r="E6" i="15"/>
  <c r="C6" i="15"/>
  <c r="B6" i="15"/>
  <c r="R7" i="15"/>
  <c r="R10" i="15" s="1"/>
  <c r="N5" i="15"/>
  <c r="L6" i="15" s="1"/>
  <c r="S12" i="15" l="1"/>
  <c r="S13" i="15" s="1"/>
  <c r="R12" i="15"/>
  <c r="R13" i="15" s="1"/>
  <c r="S22" i="15"/>
  <c r="H6" i="15"/>
  <c r="D6" i="15"/>
  <c r="H20" i="2"/>
  <c r="R22" i="15" l="1"/>
  <c r="H23" i="2"/>
  <c r="E14" i="6" l="1"/>
  <c r="D10" i="6" l="1"/>
  <c r="E11" i="6" s="1"/>
  <c r="E10" i="6"/>
  <c r="E8" i="6"/>
  <c r="D8" i="6"/>
  <c r="H21" i="2" l="1"/>
  <c r="D23" i="2" l="1"/>
  <c r="H22" i="2"/>
  <c r="D21" i="2" s="1"/>
  <c r="D22" i="2" s="1"/>
  <c r="E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tc={84CCB1C1-2345-45A1-BF8E-D457B7CD2024}</author>
    <author>tc={B05809C5-3C31-4ED1-9DBF-7EEECA9B103A}</author>
  </authors>
  <commentList>
    <comment ref="E12" authorId="0" shapeId="0" xr:uid="{84CCB1C1-2345-45A1-BF8E-D457B7CD2024}">
      <text>
        <t>[Threaded comment]
Your version of Excel allows you to read this threaded comment; however, any edits to it will get removed if the file is opened in a newer version of Excel. Learn more: https://go.microsoft.com/fwlink/?linkid=870924
Comment:
    Electricity charges for 2019</t>
      </text>
    </comment>
    <comment ref="E13" authorId="1" shapeId="0" xr:uid="{B05809C5-3C31-4ED1-9DBF-7EEECA9B103A}">
      <text>
        <t>[Threaded comment]
Your version of Excel allows you to read this threaded comment; however, any edits to it will get removed if the file is opened in a newer version of Excel. Learn more: https://go.microsoft.com/fwlink/?linkid=870924
Comment:
    Electricity charges for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tc={2906962F-BDAE-4EB5-9E94-420F4A0A41FB}</author>
  </authors>
  <commentList>
    <comment ref="R11" authorId="0" shapeId="0" xr:uid="{2906962F-BDAE-4EB5-9E94-420F4A0A41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costs are typical for January 2020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tc={8F13D6EC-2FE7-4472-81A6-D56F14A64E80}</author>
  </authors>
  <commentList>
    <comment ref="B3" authorId="0" shapeId="0" xr:uid="{8F13D6EC-2FE7-4472-81A6-D56F14A64E80}">
      <text>
        <t>[Threaded comment]
Your version of Excel allows you to read this threaded comment; however, any edits to it will get removed if the file is opened in a newer version of Excel. Learn more: https://go.microsoft.com/fwlink/?linkid=870924
Comment:
    grid emission factor for 2019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tc={4ED2184C-9629-4E04-AE1D-4080F77FB724}</author>
    <author>tc={B7795D6F-8BC3-4B38-A769-6B9E9962EAC0}</author>
  </authors>
  <commentList>
    <comment ref="D6" authorId="0" shapeId="0" xr:uid="{4ED2184C-9629-4E04-AE1D-4080F77FB724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cost to be entered in negative</t>
      </text>
    </comment>
    <comment ref="D7" authorId="1" shapeId="0" xr:uid="{B7795D6F-8BC3-4B38-A769-6B9E9962EAC0}">
      <text>
        <t>[Threaded comment]
Your version of Excel allows you to read this threaded comment; however, any edits to it will get removed if the file is opened in a newer version of Excel. Learn more: https://go.microsoft.com/fwlink/?linkid=870924
Comment:
    Energy cost escalation to be incorporated</t>
      </text>
    </comment>
  </commentList>
</comments>
</file>

<file path=xl/sharedStrings.xml><?xml version="1.0" encoding="utf-8"?>
<sst xmlns="http://schemas.openxmlformats.org/spreadsheetml/2006/main" count="349" uniqueCount="168">
  <si>
    <t>Make</t>
  </si>
  <si>
    <t>Model</t>
  </si>
  <si>
    <t>Design flow</t>
  </si>
  <si>
    <t>Design head</t>
  </si>
  <si>
    <t>Max. head</t>
  </si>
  <si>
    <t>Pump speed</t>
  </si>
  <si>
    <t>Recommeded motor rating</t>
  </si>
  <si>
    <t>Particular</t>
  </si>
  <si>
    <t>Unit</t>
  </si>
  <si>
    <t>-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</si>
  <si>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/h</t>
    </r>
  </si>
  <si>
    <t>m</t>
  </si>
  <si>
    <t>rpm</t>
  </si>
  <si>
    <t>kW</t>
  </si>
  <si>
    <t>Pump 1</t>
  </si>
  <si>
    <t>Operating flow</t>
  </si>
  <si>
    <t>Suction head</t>
  </si>
  <si>
    <t>Discharge head</t>
  </si>
  <si>
    <t>Hydraulic power</t>
  </si>
  <si>
    <t>Motor 1</t>
  </si>
  <si>
    <t>Voltage</t>
  </si>
  <si>
    <t>Current</t>
  </si>
  <si>
    <t>Power Factor</t>
  </si>
  <si>
    <t>Motor speed</t>
  </si>
  <si>
    <t>Frequency</t>
  </si>
  <si>
    <t>Power</t>
  </si>
  <si>
    <t>V</t>
  </si>
  <si>
    <t>I</t>
  </si>
  <si>
    <t>Hz</t>
  </si>
  <si>
    <t xml:space="preserve">Max. pressure </t>
  </si>
  <si>
    <t>bar</t>
  </si>
  <si>
    <t>Power factor</t>
  </si>
  <si>
    <t>Power input</t>
  </si>
  <si>
    <t>Motor Efficiency</t>
  </si>
  <si>
    <t>Power shaft</t>
  </si>
  <si>
    <t>Motor loading</t>
  </si>
  <si>
    <t>%</t>
  </si>
  <si>
    <t>Shaft power</t>
  </si>
  <si>
    <t>Pump efficiency</t>
  </si>
  <si>
    <t>Combined pump-motor eff.</t>
  </si>
  <si>
    <t>Design Details of Pumps</t>
  </si>
  <si>
    <t>Design Details of Motors</t>
  </si>
  <si>
    <t>Operating Parameters Pumps</t>
  </si>
  <si>
    <t>Operating Parameters Motors</t>
  </si>
  <si>
    <t>Rate</t>
  </si>
  <si>
    <t>Total</t>
  </si>
  <si>
    <t>SBD/kWh</t>
  </si>
  <si>
    <t>Borepump 1</t>
  </si>
  <si>
    <t>Grundfos</t>
  </si>
  <si>
    <t>Groundfos</t>
  </si>
  <si>
    <t>Rating</t>
  </si>
  <si>
    <t>IE3</t>
  </si>
  <si>
    <t>Efficiency</t>
  </si>
  <si>
    <t>Max. temperature</t>
  </si>
  <si>
    <r>
      <rPr>
        <sz val="10"/>
        <color theme="1"/>
        <rFont val="Calibri"/>
        <family val="2"/>
      </rPr>
      <t>°</t>
    </r>
    <r>
      <rPr>
        <sz val="10"/>
        <color theme="1"/>
        <rFont val="Arial"/>
        <family val="2"/>
      </rPr>
      <t>C</t>
    </r>
  </si>
  <si>
    <t>Operating hours</t>
  </si>
  <si>
    <t>kWh/yr</t>
  </si>
  <si>
    <t>Monetary saving</t>
  </si>
  <si>
    <t>SBD/yr</t>
  </si>
  <si>
    <t>USD/yr</t>
  </si>
  <si>
    <t>Simple payback period</t>
  </si>
  <si>
    <t>years</t>
  </si>
  <si>
    <t>Design Details of Borewell Pumps</t>
  </si>
  <si>
    <t>Operating Parameters Borewell Pumps</t>
  </si>
  <si>
    <t>Well depth to water level</t>
  </si>
  <si>
    <t>Head from surface to resorvior</t>
  </si>
  <si>
    <t>Proposed</t>
  </si>
  <si>
    <t>Existing</t>
  </si>
  <si>
    <t>Type</t>
  </si>
  <si>
    <t>FTL T8</t>
  </si>
  <si>
    <t>LED</t>
  </si>
  <si>
    <t xml:space="preserve">Rating </t>
  </si>
  <si>
    <t>W</t>
  </si>
  <si>
    <t>No. of lights</t>
  </si>
  <si>
    <t>no.</t>
  </si>
  <si>
    <t>Total rating</t>
  </si>
  <si>
    <t>Ballast rating</t>
  </si>
  <si>
    <t>hr/yr</t>
  </si>
  <si>
    <t>Annual consumption</t>
  </si>
  <si>
    <t>Annual saving</t>
  </si>
  <si>
    <t>Investment cost</t>
  </si>
  <si>
    <t>USD</t>
  </si>
  <si>
    <t>Simple payback</t>
  </si>
  <si>
    <t>Import duty</t>
  </si>
  <si>
    <t>Cost at port in Solomon Islands</t>
  </si>
  <si>
    <t>GST on imported goods</t>
  </si>
  <si>
    <t>kWh/year</t>
  </si>
  <si>
    <t>Simple Payback</t>
  </si>
  <si>
    <t>Source: http://documents.worldbank.org/curated/en/772871531020654750/pdf/Solomon-Islands-Electricity-PAD-06132018.pdf</t>
  </si>
  <si>
    <t>USD/year</t>
  </si>
  <si>
    <t>Grid Emission Factor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</si>
  <si>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</si>
  <si>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</si>
  <si>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</si>
  <si>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</si>
  <si>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</si>
  <si>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</si>
  <si>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</si>
  <si>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</si>
  <si>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</si>
  <si>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</si>
  <si>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</si>
  <si>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</si>
  <si>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</si>
  <si>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>Average</t>
  </si>
  <si>
    <r>
      <t>Solar Radiation Data (kWh/m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/day)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</si>
  <si>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</si>
  <si>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Available roof area</t>
  </si>
  <si>
    <t>Utilization area</t>
  </si>
  <si>
    <t>kWp</t>
  </si>
  <si>
    <t>Avg fuel charges</t>
  </si>
  <si>
    <t>SBD/year</t>
  </si>
  <si>
    <t xml:space="preserve">Net landed cost </t>
  </si>
  <si>
    <t>NA</t>
  </si>
  <si>
    <t>CRN 64-2-1 AFGV-HQQV</t>
  </si>
  <si>
    <t>Honiara Average Solar Radiation Data (kWh/m2/day)</t>
  </si>
  <si>
    <t>Thin-film</t>
  </si>
  <si>
    <t>Monocrystalline</t>
  </si>
  <si>
    <t>Nominal power</t>
  </si>
  <si>
    <t>Average global horizontal irradiance</t>
  </si>
  <si>
    <t>Proposed tilt angle</t>
  </si>
  <si>
    <t>degree</t>
  </si>
  <si>
    <t>Annual solar yield</t>
  </si>
  <si>
    <t>Module cost</t>
  </si>
  <si>
    <t>Supports cost</t>
  </si>
  <si>
    <t>Inverter and wiring cost</t>
  </si>
  <si>
    <t>Transport and mounting cost</t>
  </si>
  <si>
    <t>Annual GHG emissions reduction</t>
  </si>
  <si>
    <t>Project Life</t>
  </si>
  <si>
    <t>Yrs</t>
  </si>
  <si>
    <t>Year</t>
  </si>
  <si>
    <t>Discount Factor</t>
  </si>
  <si>
    <t>Net cashflow</t>
  </si>
  <si>
    <t>Discounted cash flow</t>
  </si>
  <si>
    <t>NPV</t>
  </si>
  <si>
    <t>Years</t>
  </si>
  <si>
    <t>IRR</t>
  </si>
  <si>
    <t>RoI</t>
  </si>
  <si>
    <t xml:space="preserve">Transfer pumps </t>
  </si>
  <si>
    <t>Borepumps</t>
  </si>
  <si>
    <t>Lighting</t>
  </si>
  <si>
    <r>
      <t>kWh/m</t>
    </r>
    <r>
      <rPr>
        <b/>
        <i/>
        <vertAlign val="superscript"/>
        <sz val="10"/>
        <color theme="1"/>
        <rFont val="Arial"/>
        <family val="2"/>
      </rPr>
      <t>2</t>
    </r>
    <r>
      <rPr>
        <b/>
        <i/>
        <sz val="10"/>
        <color theme="1"/>
        <rFont val="Arial"/>
        <family val="2"/>
      </rPr>
      <t>/day</t>
    </r>
  </si>
  <si>
    <t>Self Generation options</t>
  </si>
  <si>
    <t>Financial Analysis</t>
  </si>
  <si>
    <t>GHG emmisions</t>
  </si>
  <si>
    <t>Annual energy saving</t>
  </si>
  <si>
    <r>
      <t>tCO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/MWh</t>
    </r>
  </si>
  <si>
    <t>Design</t>
  </si>
  <si>
    <t>N - Speed</t>
  </si>
  <si>
    <t>Q - Flow</t>
  </si>
  <si>
    <t>H - Head</t>
  </si>
  <si>
    <t>P - Power</t>
  </si>
  <si>
    <t>F - Frequency</t>
  </si>
  <si>
    <t>Parameter</t>
  </si>
  <si>
    <t>m3/hr</t>
  </si>
  <si>
    <t>Poles</t>
  </si>
  <si>
    <t>CRN 64-2-1</t>
  </si>
  <si>
    <t>Operating parameters</t>
  </si>
  <si>
    <t>The user is recommended to fill data in only the light green highlighted cells</t>
  </si>
  <si>
    <t>Other cells are locked and can't be accessed by the user</t>
  </si>
  <si>
    <t>The model sheet covers:</t>
  </si>
  <si>
    <t>(a) performance assessment of transfer pump, borepump, VFD, lighting system</t>
  </si>
  <si>
    <t xml:space="preserve">(b) self-generation assessment - rooftop solar potential </t>
  </si>
  <si>
    <t>(d) Financial analysis of energy saving recommendation</t>
  </si>
  <si>
    <t>US$</t>
  </si>
  <si>
    <t>Instructions</t>
  </si>
  <si>
    <t>Please note the GHG emission factor changes annually based on generation mix.</t>
  </si>
  <si>
    <t>(c) GHG emission estimation (Based on 2019 grid emission factor)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</si>
</sst>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_(&quot;$&quot;* #,##0_);_(&quot;$&quot;* \(#,##0\);_(&quot;$&quot;* &quot;-&quot;??_);_(@_)"/>
    <numFmt numFmtId="167" formatCode="_(* #,##0.0_);_(* \(#,##0.0\);_(* &quot;-&quot;??_);_(@_)"/>
    <numFmt numFmtId="168" formatCode="0_);\(0\)"/>
    <numFmt numFmtId="169" formatCode=";;;"/>
    <numFmt numFmtId="170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Arial"/>
      <family val="2"/>
    </font>
    <font>
      <sz val="10"/>
      <color indexed="64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i/>
      <vertAlign val="superscript"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vertAlign val="subscript"/>
      <sz val="10"/>
      <color theme="1"/>
      <name val="Arial"/>
      <family val="2"/>
    </font>
    <font>
      <i/>
      <sz val="10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vertical="center"/>
      <protection locked="0"/>
    </xf>
    <xf numFmtId="1" fontId="1" fillId="0" borderId="0" xfId="0" applyNumberFormat="1" applyFont="1" applyAlignment="1" applyProtection="1">
      <alignment horizontal="right" vertical="center"/>
      <protection locked="0"/>
    </xf>
    <xf numFmtId="1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vertical="center"/>
      <protection locked="0"/>
    </xf>
    <xf numFmtId="167" fontId="1" fillId="0" borderId="0" xfId="4" applyNumberFormat="1" applyFont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right" vertical="center"/>
      <protection locked="0"/>
    </xf>
    <xf numFmtId="164" fontId="1" fillId="4" borderId="1" xfId="0" applyNumberFormat="1" applyFont="1" applyFill="1" applyBorder="1" applyAlignment="1" applyProtection="1">
      <alignment horizontal="right"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2" fontId="1" fillId="4" borderId="1" xfId="0" applyNumberFormat="1" applyFont="1" applyFill="1" applyBorder="1" applyAlignment="1" applyProtection="1">
      <alignment horizontal="right" vertical="center"/>
      <protection locked="0"/>
    </xf>
    <xf numFmtId="165" fontId="1" fillId="4" borderId="1" xfId="0" applyNumberFormat="1" applyFont="1" applyFill="1" applyBorder="1" applyAlignment="1" applyProtection="1">
      <alignment horizontal="right"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" fillId="4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hidden="1"/>
    </xf>
    <xf numFmtId="164" fontId="7" fillId="0" borderId="1" xfId="0" applyNumberFormat="1" applyFont="1" applyFill="1" applyBorder="1" applyAlignment="1" applyProtection="1">
      <alignment horizontal="right" vertical="center"/>
      <protection hidden="1"/>
    </xf>
    <xf numFmtId="1" fontId="7" fillId="0" borderId="1" xfId="0" applyNumberFormat="1" applyFont="1" applyFill="1" applyBorder="1" applyAlignment="1" applyProtection="1">
      <alignment horizontal="right" vertical="center"/>
      <protection hidden="1"/>
    </xf>
    <xf numFmtId="0" fontId="3" fillId="6" borderId="0" xfId="0" applyFont="1" applyFill="1" applyAlignment="1">
      <alignment vertical="center"/>
    </xf>
    <xf numFmtId="2" fontId="7" fillId="0" borderId="1" xfId="0" applyNumberFormat="1" applyFont="1" applyFill="1" applyBorder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vertical="center"/>
      <protection hidden="1"/>
    </xf>
    <xf numFmtId="0" fontId="7" fillId="0" borderId="1" xfId="0" applyFont="1" applyFill="1" applyBorder="1" applyAlignment="1" applyProtection="1">
      <alignment horizontal="right" vertical="center"/>
      <protection locked="0"/>
    </xf>
    <xf numFmtId="166" fontId="7" fillId="0" borderId="1" xfId="2" applyNumberFormat="1" applyFont="1" applyFill="1" applyBorder="1" applyAlignment="1" applyProtection="1">
      <alignment horizontal="right" vertical="center"/>
      <protection hidden="1"/>
    </xf>
    <xf numFmtId="0" fontId="9" fillId="0" borderId="1" xfId="0" applyFont="1" applyBorder="1" applyProtection="1">
      <protection locked="0"/>
    </xf>
    <xf numFmtId="9" fontId="9" fillId="4" borderId="1" xfId="1" applyFont="1" applyFill="1" applyBorder="1" applyProtection="1">
      <protection locked="0"/>
    </xf>
    <xf numFmtId="0" fontId="9" fillId="4" borderId="1" xfId="0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168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9" fontId="0" fillId="0" borderId="0" xfId="1" applyFont="1" applyProtection="1">
      <protection locked="0"/>
    </xf>
    <xf numFmtId="0" fontId="14" fillId="0" borderId="1" xfId="0" applyFont="1" applyBorder="1" applyProtection="1">
      <protection locked="0"/>
    </xf>
    <xf numFmtId="2" fontId="0" fillId="0" borderId="1" xfId="0" applyNumberFormat="1" applyBorder="1" applyProtection="1">
      <protection hidden="1"/>
    </xf>
    <xf numFmtId="168" fontId="14" fillId="0" borderId="1" xfId="0" applyNumberFormat="1" applyFont="1" applyBorder="1" applyProtection="1">
      <protection hidden="1"/>
    </xf>
    <xf numFmtId="9" fontId="14" fillId="0" borderId="1" xfId="0" applyNumberFormat="1" applyFont="1" applyBorder="1" applyProtection="1">
      <protection hidden="1"/>
    </xf>
    <xf numFmtId="9" fontId="14" fillId="0" borderId="1" xfId="1" applyFont="1" applyBorder="1" applyProtection="1">
      <protection hidden="1"/>
    </xf>
    <xf numFmtId="0" fontId="3" fillId="6" borderId="0" xfId="0" applyFont="1" applyFill="1" applyProtection="1">
      <protection locked="0"/>
    </xf>
    <xf numFmtId="0" fontId="16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7" borderId="1" xfId="0" applyFont="1" applyFill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protection locked="0"/>
    </xf>
    <xf numFmtId="0" fontId="9" fillId="0" borderId="5" xfId="0" applyFont="1" applyBorder="1" applyAlignment="1" applyProtection="1">
      <protection locked="0"/>
    </xf>
    <xf numFmtId="0" fontId="9" fillId="0" borderId="6" xfId="0" applyFont="1" applyBorder="1" applyAlignment="1" applyProtection="1">
      <protection locked="0"/>
    </xf>
    <xf numFmtId="0" fontId="0" fillId="0" borderId="4" xfId="0" applyBorder="1" applyProtection="1">
      <protection locked="0"/>
    </xf>
    <xf numFmtId="2" fontId="0" fillId="0" borderId="5" xfId="0" applyNumberFormat="1" applyBorder="1" applyProtection="1">
      <protection hidden="1"/>
    </xf>
    <xf numFmtId="169" fontId="0" fillId="0" borderId="0" xfId="0" applyNumberFormat="1" applyProtection="1">
      <protection hidden="1"/>
    </xf>
    <xf numFmtId="0" fontId="1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164" fontId="14" fillId="0" borderId="1" xfId="0" applyNumberFormat="1" applyFont="1" applyBorder="1" applyProtection="1">
      <protection hidden="1"/>
    </xf>
    <xf numFmtId="1" fontId="0" fillId="0" borderId="1" xfId="0" applyNumberFormat="1" applyBorder="1" applyProtection="1">
      <protection locked="0"/>
    </xf>
    <xf numFmtId="170" fontId="0" fillId="0" borderId="1" xfId="4" applyNumberFormat="1" applyFont="1" applyBorder="1" applyProtection="1">
      <protection hidden="1"/>
    </xf>
    <xf numFmtId="170" fontId="9" fillId="0" borderId="1" xfId="4" applyNumberFormat="1" applyFont="1" applyBorder="1" applyAlignment="1" applyProtection="1">
      <alignment horizontal="right"/>
      <protection hidden="1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 applyProtection="1">
      <alignment horizontal="center"/>
      <protection locked="0"/>
    </xf>
  </cellXfs>
  <cellStyles count="5">
    <cellStyle name="Comma" xfId="4" builtinId="3"/>
    <cellStyle name="Currency" xfId="2" builtinId="4"/>
    <cellStyle name="Normal" xfId="0" builtinId="0"/>
    <cellStyle name="Normal 2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821A1A"/>
      <color rgb="FFFCF0EC"/>
      <color rgb="FFF9F9F9"/>
      <color rgb="FFFDECE9"/>
      <color rgb="FFFCE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'Self-generation'!$A$5</c:f>
              <c:strCache>
                <c:ptCount val="1"/>
                <c:pt idx="0">
                  <c:v>Solar Radiation Data (kWh/m2/day)</c:v>
                </c:pt>
              </c:strCache>
            </c:strRef>
          </c:tx>
          <c:spPr>
            <a:ln w="22225" cap="rnd" cmpd="sng" algn="ctr">
              <a:solidFill>
                <a:srgbClr val="821A1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66666666666668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AC-454A-8A8C-2F210504F1C5}"/>
                </c:ext>
              </c:extLst>
            </c:dLbl>
            <c:dLbl>
              <c:idx val="1"/>
              <c:layout>
                <c:manualLayout>
                  <c:x val="-2.7777777777777776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AC-454A-8A8C-2F210504F1C5}"/>
                </c:ext>
              </c:extLst>
            </c:dLbl>
            <c:dLbl>
              <c:idx val="2"/>
              <c:layout>
                <c:manualLayout>
                  <c:x val="-1.1111111111111112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C-454A-8A8C-2F210504F1C5}"/>
                </c:ext>
              </c:extLst>
            </c:dLbl>
            <c:dLbl>
              <c:idx val="4"/>
              <c:layout>
                <c:manualLayout>
                  <c:x val="-1.6666666666666666E-2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AC-454A-8A8C-2F210504F1C5}"/>
                </c:ext>
              </c:extLst>
            </c:dLbl>
            <c:dLbl>
              <c:idx val="5"/>
              <c:layout>
                <c:manualLayout>
                  <c:x val="-1.6666666666666666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AC-454A-8A8C-2F210504F1C5}"/>
                </c:ext>
              </c:extLst>
            </c:dLbl>
            <c:dLbl>
              <c:idx val="6"/>
              <c:layout>
                <c:manualLayout>
                  <c:x val="-8.3333333333333332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AC-454A-8A8C-2F210504F1C5}"/>
                </c:ext>
              </c:extLst>
            </c:dLbl>
            <c:dLbl>
              <c:idx val="9"/>
              <c:layout>
                <c:manualLayout>
                  <c:x val="-1.9444444444444445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AC-454A-8A8C-2F210504F1C5}"/>
                </c:ext>
              </c:extLst>
            </c:dLbl>
            <c:dLbl>
              <c:idx val="10"/>
              <c:layout>
                <c:manualLayout>
                  <c:x val="-1.1111111111111212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AC-454A-8A8C-2F210504F1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'Self-generation'!$B$4:$M$4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'Self-generation'!$B$5:$M$5</c:f>
              <c:numCache>
                <c:formatCode>General</c:formatCode>
                <c:ptCount val="12"/>
                <c:pt idx="0">
                  <c:v>5.25</c:v>
                </c:pt>
                <c:pt idx="1">
                  <c:v>4.99</c:v>
                </c:pt>
                <c:pt idx="2">
                  <c:v>5.05</c:v>
                </c:pt>
                <c:pt idx="3">
                  <c:v>4.91</c:v>
                </c:pt>
                <c:pt idx="4">
                  <c:v>4.3899999999999997</c:v>
                </c:pt>
                <c:pt idx="5">
                  <c:v>4.1900000000000004</c:v>
                </c:pt>
                <c:pt idx="6">
                  <c:v>4.12</c:v>
                </c:pt>
                <c:pt idx="7">
                  <c:v>4.67</c:v>
                </c:pt>
                <c:pt idx="8">
                  <c:v>5.21</c:v>
                </c:pt>
                <c:pt idx="9">
                  <c:v>5.67</c:v>
                </c:pt>
                <c:pt idx="10">
                  <c:v>5.64</c:v>
                </c:pt>
                <c:pt idx="11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AC-454A-8A8C-2F210504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0714368"/>
        <c:axId val="60744832"/>
      </c:lineChart>
      <c:catAx>
        <c:axId val="607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44832"/>
        <c:crosses val="autoZero"/>
        <c:auto val="1"/>
        <c:lblAlgn val="ctr"/>
        <c:lblOffset val="100"/>
        <c:noMultiLvlLbl val="0"/>
      </c:catAx>
      <c:valAx>
        <c:axId val="60744832"/>
        <c:scaling>
          <c:orientation val="minMax"/>
          <c:min val="3.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143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CF0E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1266824</xdr:colOff>
      <xdr:row>7</xdr:row>
      <xdr:rowOff>14286</xdr:rowOff>
    </xdr:from>
    <xdr:to>
      <xdr:col>12</xdr:col>
      <xdr:colOff>19050</xdr:colOff>
      <xdr:row>20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ED14F5-BABD-49C3-95EB-354C2C7B6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" dT="2020-04-28T09:00:57.79" personId="{00000000-0000-0000-0000-000000000000}" id="{84CCB1C1-2345-45A1-BF8E-D457B7CD2024}">
    <text>Electricity charges for 2019</text>
  </threadedComment>
  <threadedComment ref="E13" dT="2020-04-28T09:00:39.83" personId="{00000000-0000-0000-0000-000000000000}" id="{B05809C5-3C31-4ED1-9DBF-7EEECA9B103A}">
    <text>Electricity charges for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11" dT="2020-04-28T08:43:51.84" personId="{00000000-0000-0000-0000-000000000000}" id="{2906962F-BDAE-4EB5-9E94-420F4A0A41FB}">
    <text>These costs are typical for January 2020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3" dT="2020-04-28T08:52:46.34" personId="{00000000-0000-0000-0000-000000000000}" id="{8F13D6EC-2FE7-4472-81A6-D56F14A64E80}">
    <text>grid emission factor for 2019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6" dT="2020-04-28T09:05:28.92" personId="{00000000-0000-0000-0000-000000000000}" id="{4ED2184C-9629-4E04-AE1D-4080F77FB724}">
    <text>Capital cost to be entered in negative</text>
  </threadedComment>
  <threadedComment ref="D7" dT="2020-04-28T09:07:09.14" personId="{00000000-0000-0000-0000-000000000000}" id="{B7795D6F-8BC3-4B38-A769-6B9E9962EAC0}">
    <text>Energy cost escalation to be incorporated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12A3-AE39-429B-A94F-A72D35EB4730}">
  <dimension ref="A2:B10"/>
  <sheetViews>
    <sheetView tabSelected="1" workbookViewId="0">
      <selection activeCell="C10" sqref="C10"/>
    </sheetView>
  </sheetViews>
  <sheetFormatPr defaultRowHeight="18.75" customHeight="1" x14ac:dyDescent="0.25"/>
  <cols>
    <col min="1" max="1" width="9.140625" style="72"/>
    <col min="2" max="2" width="114.5703125" style="72" bestFit="1" customWidth="1"/>
    <col min="3" max="16384" width="9.140625" style="72"/>
  </cols>
  <sheetData>
    <row r="2" spans="1:2" ht="18.75" customHeight="1" x14ac:dyDescent="0.25">
      <c r="A2" s="88" t="s">
        <v>165</v>
      </c>
      <c r="B2" s="88"/>
    </row>
    <row r="3" spans="1:2" ht="18.75" customHeight="1" x14ac:dyDescent="0.25">
      <c r="A3" s="73">
        <v>1</v>
      </c>
      <c r="B3" s="72" t="s">
        <v>160</v>
      </c>
    </row>
    <row r="4" spans="1:2" ht="18.75" customHeight="1" x14ac:dyDescent="0.25">
      <c r="A4" s="73"/>
      <c r="B4" s="74" t="s">
        <v>161</v>
      </c>
    </row>
    <row r="5" spans="1:2" ht="18.75" customHeight="1" x14ac:dyDescent="0.25">
      <c r="A5" s="73"/>
      <c r="B5" s="74" t="s">
        <v>162</v>
      </c>
    </row>
    <row r="6" spans="1:2" ht="18.75" customHeight="1" x14ac:dyDescent="0.25">
      <c r="A6" s="73"/>
      <c r="B6" s="74" t="s">
        <v>167</v>
      </c>
    </row>
    <row r="7" spans="1:2" ht="18.75" customHeight="1" x14ac:dyDescent="0.25">
      <c r="A7" s="73"/>
      <c r="B7" s="74" t="s">
        <v>163</v>
      </c>
    </row>
    <row r="8" spans="1:2" ht="18.75" customHeight="1" x14ac:dyDescent="0.25">
      <c r="A8" s="73">
        <v>2</v>
      </c>
      <c r="B8" s="72" t="s">
        <v>158</v>
      </c>
    </row>
    <row r="9" spans="1:2" ht="18.75" customHeight="1" x14ac:dyDescent="0.25">
      <c r="A9" s="73">
        <v>3</v>
      </c>
      <c r="B9" s="72" t="s">
        <v>159</v>
      </c>
    </row>
    <row r="10" spans="1:2" ht="18.75" customHeight="1" x14ac:dyDescent="0.25">
      <c r="A10" s="73">
        <v>4</v>
      </c>
      <c r="B10" s="72" t="s">
        <v>166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3"/>
  <sheetViews>
    <sheetView topLeftCell="A13" zoomScale="95" zoomScaleNormal="74" workbookViewId="0">
      <selection activeCell="H23" sqref="H23"/>
    </sheetView>
  </sheetViews>
  <sheetFormatPr defaultColWidth="9.140625" defaultRowHeight="15.75" customHeight="1" x14ac:dyDescent="0.25"/>
  <cols>
    <col min="1" max="1" width="16" style="6" customWidth="1"/>
    <col min="2" max="2" width="31.140625" style="6" bestFit="1" customWidth="1"/>
    <col min="3" max="3" width="9.140625" style="6"/>
    <col min="4" max="4" width="22.7109375" style="7" bestFit="1" customWidth="1"/>
    <col min="5" max="5" width="9.140625" style="6"/>
    <col min="6" max="6" width="16.5703125" style="6" bestFit="1" customWidth="1"/>
    <col min="7" max="7" width="9.140625" style="6"/>
    <col min="8" max="8" width="9.42578125" style="7" bestFit="1" customWidth="1"/>
    <col min="9" max="10" width="9.42578125" style="6" bestFit="1" customWidth="1"/>
    <col min="11" max="11" width="9.140625" style="6"/>
    <col min="12" max="12" width="23.140625" style="6" bestFit="1" customWidth="1"/>
    <col min="13" max="13" width="5.85546875" style="6" customWidth="1"/>
    <col min="14" max="14" width="9.140625" style="6"/>
    <col min="15" max="15" width="3.7109375" style="6" customWidth="1"/>
    <col min="16" max="16" width="14.42578125" style="6" bestFit="1" customWidth="1"/>
    <col min="17" max="17" width="4.5703125" style="6" bestFit="1" customWidth="1"/>
    <col min="18" max="16384" width="9.140625" style="6"/>
  </cols>
  <sheetData>
    <row r="1" spans="1:19" ht="15.75" customHeight="1" x14ac:dyDescent="0.25">
      <c r="A1" s="28" t="s">
        <v>138</v>
      </c>
    </row>
    <row r="2" spans="1:19" ht="15.75" customHeight="1" x14ac:dyDescent="0.25">
      <c r="L2" s="8"/>
      <c r="M2" s="8"/>
      <c r="N2" s="8"/>
      <c r="O2" s="8"/>
      <c r="P2" s="8"/>
      <c r="Q2" s="8"/>
      <c r="R2" s="8"/>
      <c r="S2" s="8"/>
    </row>
    <row r="3" spans="1:19" ht="15.75" customHeight="1" x14ac:dyDescent="0.25">
      <c r="B3" s="89" t="s">
        <v>40</v>
      </c>
      <c r="C3" s="89"/>
      <c r="D3" s="89"/>
      <c r="F3" s="89" t="s">
        <v>41</v>
      </c>
      <c r="G3" s="89"/>
      <c r="H3" s="89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75" customHeight="1" x14ac:dyDescent="0.25">
      <c r="B4" s="23" t="s">
        <v>7</v>
      </c>
      <c r="C4" s="23" t="s">
        <v>8</v>
      </c>
      <c r="D4" s="24" t="s">
        <v>14</v>
      </c>
      <c r="F4" s="23" t="s">
        <v>7</v>
      </c>
      <c r="G4" s="23" t="s">
        <v>8</v>
      </c>
      <c r="H4" s="24" t="s">
        <v>19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.75" customHeight="1" x14ac:dyDescent="0.25">
      <c r="B5" s="9" t="s">
        <v>0</v>
      </c>
      <c r="C5" s="9" t="s">
        <v>9</v>
      </c>
      <c r="D5" s="21" t="s">
        <v>48</v>
      </c>
      <c r="F5" s="9" t="s">
        <v>0</v>
      </c>
      <c r="G5" s="9" t="s">
        <v>9</v>
      </c>
      <c r="H5" s="21" t="s">
        <v>49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5.75" customHeight="1" x14ac:dyDescent="0.25">
      <c r="B6" s="9" t="s">
        <v>1</v>
      </c>
      <c r="C6" s="9" t="s">
        <v>9</v>
      </c>
      <c r="D6" s="21" t="s">
        <v>114</v>
      </c>
      <c r="F6" s="9" t="s">
        <v>25</v>
      </c>
      <c r="G6" s="9" t="s">
        <v>13</v>
      </c>
      <c r="H6" s="21">
        <v>11</v>
      </c>
      <c r="I6" s="8"/>
      <c r="J6" s="8"/>
      <c r="L6" s="8"/>
      <c r="M6" s="8"/>
      <c r="N6" s="8"/>
      <c r="O6" s="8"/>
      <c r="P6" s="8"/>
      <c r="Q6" s="8"/>
      <c r="R6" s="8"/>
      <c r="S6" s="8"/>
    </row>
    <row r="7" spans="1:19" ht="15.75" customHeight="1" x14ac:dyDescent="0.25">
      <c r="B7" s="9" t="s">
        <v>2</v>
      </c>
      <c r="C7" s="9" t="s">
        <v>10</v>
      </c>
      <c r="D7" s="22">
        <v>64</v>
      </c>
      <c r="F7" s="9" t="s">
        <v>20</v>
      </c>
      <c r="G7" s="9" t="s">
        <v>26</v>
      </c>
      <c r="H7" s="22">
        <v>415</v>
      </c>
      <c r="I7" s="8"/>
      <c r="J7" s="8"/>
      <c r="L7" s="8"/>
      <c r="M7" s="8"/>
      <c r="N7" s="8"/>
      <c r="O7" s="8"/>
      <c r="P7" s="8"/>
      <c r="Q7" s="8"/>
      <c r="R7" s="8"/>
      <c r="S7" s="8"/>
    </row>
    <row r="8" spans="1:19" ht="15.75" customHeight="1" x14ac:dyDescent="0.25">
      <c r="B8" s="9" t="s">
        <v>3</v>
      </c>
      <c r="C8" s="9" t="s">
        <v>11</v>
      </c>
      <c r="D8" s="21">
        <v>37.200000000000003</v>
      </c>
      <c r="F8" s="9" t="s">
        <v>21</v>
      </c>
      <c r="G8" s="9" t="s">
        <v>27</v>
      </c>
      <c r="H8" s="21">
        <v>19.8</v>
      </c>
      <c r="I8" s="8"/>
      <c r="J8" s="8"/>
      <c r="L8" s="8"/>
      <c r="M8" s="8"/>
      <c r="N8" s="8"/>
      <c r="O8" s="8"/>
      <c r="P8" s="8"/>
      <c r="Q8" s="8"/>
      <c r="R8" s="8"/>
      <c r="S8" s="8"/>
    </row>
    <row r="9" spans="1:19" ht="15.75" customHeight="1" x14ac:dyDescent="0.25">
      <c r="B9" s="9" t="s">
        <v>4</v>
      </c>
      <c r="C9" s="9" t="s">
        <v>11</v>
      </c>
      <c r="D9" s="21">
        <v>51.3</v>
      </c>
      <c r="F9" s="9" t="s">
        <v>22</v>
      </c>
      <c r="G9" s="9" t="s">
        <v>9</v>
      </c>
      <c r="H9" s="21">
        <v>0.89</v>
      </c>
      <c r="I9" s="8"/>
      <c r="J9" s="8"/>
      <c r="L9" s="8"/>
      <c r="M9" s="8"/>
      <c r="N9" s="8"/>
      <c r="O9" s="8"/>
      <c r="P9" s="8"/>
      <c r="Q9" s="8"/>
      <c r="R9" s="8"/>
      <c r="S9" s="8"/>
    </row>
    <row r="10" spans="1:19" ht="15.75" customHeight="1" x14ac:dyDescent="0.25">
      <c r="B10" s="9" t="s">
        <v>5</v>
      </c>
      <c r="C10" s="9" t="s">
        <v>12</v>
      </c>
      <c r="D10" s="21">
        <v>2924</v>
      </c>
      <c r="F10" s="9" t="s">
        <v>23</v>
      </c>
      <c r="G10" s="9" t="s">
        <v>12</v>
      </c>
      <c r="H10" s="21">
        <v>2950</v>
      </c>
      <c r="I10" s="8"/>
      <c r="J10" s="8"/>
      <c r="L10" s="8"/>
      <c r="M10" s="8"/>
      <c r="N10" s="8"/>
      <c r="O10" s="8"/>
      <c r="P10" s="8"/>
      <c r="Q10" s="8"/>
      <c r="R10" s="8"/>
      <c r="S10" s="8"/>
    </row>
    <row r="11" spans="1:19" ht="15.75" customHeight="1" x14ac:dyDescent="0.25">
      <c r="B11" s="9" t="s">
        <v>6</v>
      </c>
      <c r="C11" s="9" t="s">
        <v>13</v>
      </c>
      <c r="D11" s="22">
        <v>11</v>
      </c>
      <c r="F11" s="9" t="s">
        <v>24</v>
      </c>
      <c r="G11" s="9" t="s">
        <v>28</v>
      </c>
      <c r="H11" s="22">
        <v>50</v>
      </c>
      <c r="I11" s="8"/>
      <c r="J11" s="8"/>
      <c r="L11" s="8"/>
      <c r="M11" s="8"/>
      <c r="N11" s="8"/>
      <c r="O11" s="8"/>
      <c r="P11" s="8"/>
      <c r="Q11" s="8"/>
      <c r="R11" s="8"/>
      <c r="S11" s="8"/>
    </row>
    <row r="12" spans="1:19" ht="15.75" customHeight="1" x14ac:dyDescent="0.25">
      <c r="B12" s="9" t="s">
        <v>29</v>
      </c>
      <c r="C12" s="9" t="s">
        <v>30</v>
      </c>
      <c r="D12" s="22">
        <v>16</v>
      </c>
      <c r="F12" s="9" t="s">
        <v>50</v>
      </c>
      <c r="G12" s="9" t="s">
        <v>9</v>
      </c>
      <c r="H12" s="22" t="s">
        <v>51</v>
      </c>
      <c r="I12" s="8"/>
      <c r="J12" s="8"/>
      <c r="L12" s="8"/>
      <c r="M12" s="8"/>
      <c r="N12" s="8"/>
      <c r="O12" s="8"/>
      <c r="P12" s="8"/>
      <c r="Q12" s="8"/>
      <c r="R12" s="8"/>
      <c r="S12" s="8"/>
    </row>
    <row r="13" spans="1:19" ht="15.75" customHeight="1" x14ac:dyDescent="0.25">
      <c r="B13" s="9" t="s">
        <v>38</v>
      </c>
      <c r="C13" s="11" t="s">
        <v>36</v>
      </c>
      <c r="D13" s="22">
        <v>77.099999999999994</v>
      </c>
      <c r="F13" s="9" t="s">
        <v>52</v>
      </c>
      <c r="G13" s="9" t="s">
        <v>36</v>
      </c>
      <c r="H13" s="22">
        <v>91.2</v>
      </c>
      <c r="I13" s="8"/>
      <c r="J13" s="8"/>
      <c r="L13" s="8"/>
      <c r="M13" s="8"/>
      <c r="N13" s="8"/>
      <c r="O13" s="8"/>
      <c r="P13" s="8"/>
      <c r="Q13" s="8"/>
      <c r="R13" s="8"/>
      <c r="S13" s="8"/>
    </row>
    <row r="14" spans="1:19" ht="15.75" customHeight="1" x14ac:dyDescent="0.25">
      <c r="L14" s="8"/>
      <c r="M14" s="8"/>
      <c r="N14" s="8"/>
      <c r="O14" s="8"/>
      <c r="P14" s="8"/>
      <c r="Q14" s="8"/>
      <c r="R14" s="8"/>
      <c r="S14" s="8"/>
    </row>
    <row r="15" spans="1:19" ht="15.75" customHeight="1" x14ac:dyDescent="0.25">
      <c r="B15" s="89" t="s">
        <v>42</v>
      </c>
      <c r="C15" s="89"/>
      <c r="D15" s="89"/>
      <c r="F15" s="90" t="s">
        <v>43</v>
      </c>
      <c r="G15" s="91"/>
      <c r="H15" s="9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15.75" customHeight="1" x14ac:dyDescent="0.25">
      <c r="B16" s="23" t="s">
        <v>7</v>
      </c>
      <c r="C16" s="23" t="s">
        <v>8</v>
      </c>
      <c r="D16" s="24" t="s">
        <v>14</v>
      </c>
      <c r="F16" s="23" t="s">
        <v>7</v>
      </c>
      <c r="G16" s="23" t="s">
        <v>8</v>
      </c>
      <c r="H16" s="24" t="s">
        <v>19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15.75" customHeight="1" x14ac:dyDescent="0.25">
      <c r="B17" s="9" t="s">
        <v>15</v>
      </c>
      <c r="C17" s="9" t="s">
        <v>10</v>
      </c>
      <c r="D17" s="26">
        <v>34.299999999999997</v>
      </c>
      <c r="F17" s="9" t="s">
        <v>20</v>
      </c>
      <c r="G17" s="9" t="s">
        <v>26</v>
      </c>
      <c r="H17" s="26">
        <v>436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5.75" customHeight="1" x14ac:dyDescent="0.25">
      <c r="B18" s="9" t="s">
        <v>16</v>
      </c>
      <c r="C18" s="9" t="s">
        <v>11</v>
      </c>
      <c r="D18" s="26">
        <v>-1</v>
      </c>
      <c r="F18" s="9" t="s">
        <v>21</v>
      </c>
      <c r="G18" s="9" t="s">
        <v>27</v>
      </c>
      <c r="H18" s="26">
        <v>14.5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15.75" customHeight="1" x14ac:dyDescent="0.25">
      <c r="B19" s="9" t="s">
        <v>17</v>
      </c>
      <c r="C19" s="9" t="s">
        <v>11</v>
      </c>
      <c r="D19" s="26">
        <v>34</v>
      </c>
      <c r="F19" s="9" t="s">
        <v>31</v>
      </c>
      <c r="G19" s="9" t="s">
        <v>9</v>
      </c>
      <c r="H19" s="27">
        <v>0.64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5.75" customHeight="1" x14ac:dyDescent="0.25">
      <c r="B20" s="34" t="s">
        <v>18</v>
      </c>
      <c r="C20" s="34" t="s">
        <v>13</v>
      </c>
      <c r="D20" s="39">
        <f>9.81*D17*(D18+D19)/3600</f>
        <v>3.0844274999999999</v>
      </c>
      <c r="E20" s="25"/>
      <c r="F20" s="40" t="s">
        <v>32</v>
      </c>
      <c r="G20" s="40" t="s">
        <v>13</v>
      </c>
      <c r="H20" s="39">
        <f>1.732*H17*H18*H19/1000</f>
        <v>7.0078105600000011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15.75" customHeight="1" x14ac:dyDescent="0.25">
      <c r="B21" s="34" t="s">
        <v>37</v>
      </c>
      <c r="C21" s="34" t="s">
        <v>13</v>
      </c>
      <c r="D21" s="39">
        <f>H22</f>
        <v>6.3911232307200008</v>
      </c>
      <c r="E21" s="25"/>
      <c r="F21" s="40" t="s">
        <v>33</v>
      </c>
      <c r="G21" s="40" t="s">
        <v>36</v>
      </c>
      <c r="H21" s="36">
        <f>H13</f>
        <v>91.2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5.75" customHeight="1" x14ac:dyDescent="0.25">
      <c r="B22" s="34" t="s">
        <v>38</v>
      </c>
      <c r="C22" s="34" t="s">
        <v>36</v>
      </c>
      <c r="D22" s="39">
        <f>D20*100/D21</f>
        <v>48.261117625993883</v>
      </c>
      <c r="E22" s="25"/>
      <c r="F22" s="40" t="s">
        <v>34</v>
      </c>
      <c r="G22" s="40" t="s">
        <v>13</v>
      </c>
      <c r="H22" s="39">
        <f>H20*H21/100</f>
        <v>6.3911232307200008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5.75" customHeight="1" x14ac:dyDescent="0.25">
      <c r="B23" s="34" t="s">
        <v>39</v>
      </c>
      <c r="C23" s="34" t="s">
        <v>36</v>
      </c>
      <c r="D23" s="39">
        <f>D20*100/H20</f>
        <v>44.01413927490642</v>
      </c>
      <c r="E23" s="25"/>
      <c r="F23" s="40" t="s">
        <v>35</v>
      </c>
      <c r="G23" s="40" t="s">
        <v>36</v>
      </c>
      <c r="H23" s="39">
        <f>H20/(H6/H13)</f>
        <v>58.101120279272735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5.75" customHeight="1" x14ac:dyDescent="0.25"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15.75" customHeight="1" x14ac:dyDescent="0.25">
      <c r="A25" s="8"/>
      <c r="B25" s="8"/>
      <c r="C25" s="8"/>
      <c r="D25" s="8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t="15.75" customHeight="1" x14ac:dyDescent="0.25">
      <c r="A26" s="8"/>
      <c r="B26" s="8"/>
      <c r="C26" s="8"/>
      <c r="D26" s="8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15.75" customHeight="1" x14ac:dyDescent="0.25">
      <c r="A27" s="8"/>
      <c r="B27" s="8"/>
      <c r="C27" s="8"/>
      <c r="D27" s="8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15.75" customHeight="1" x14ac:dyDescent="0.25">
      <c r="A28" s="8"/>
      <c r="B28" s="8"/>
      <c r="C28" s="8"/>
      <c r="D28" s="8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t="15.75" customHeight="1" x14ac:dyDescent="0.25">
      <c r="A29" s="8"/>
      <c r="B29" s="8"/>
      <c r="C29" s="8"/>
      <c r="D29" s="8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15.75" customHeight="1" x14ac:dyDescent="0.25">
      <c r="A30" s="8"/>
      <c r="B30" s="8"/>
      <c r="C30" s="8"/>
      <c r="D30" s="8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.75" customHeight="1" x14ac:dyDescent="0.25">
      <c r="A31" s="8"/>
      <c r="B31" s="8"/>
      <c r="C31" s="8"/>
      <c r="D31" s="8"/>
      <c r="H31" s="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5.75" customHeight="1" x14ac:dyDescent="0.25">
      <c r="A32" s="8"/>
      <c r="B32" s="8"/>
      <c r="C32" s="8"/>
      <c r="D32" s="8"/>
      <c r="H32" s="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t="15.75" customHeight="1" x14ac:dyDescent="0.25">
      <c r="A33" s="8"/>
      <c r="B33" s="8"/>
      <c r="C33" s="8"/>
      <c r="D33" s="8"/>
      <c r="H33" s="6"/>
      <c r="L33" s="8"/>
      <c r="M33" s="8"/>
      <c r="N33" s="8"/>
      <c r="O33" s="8"/>
      <c r="P33" s="8"/>
      <c r="Q33" s="8"/>
      <c r="R33" s="8"/>
      <c r="S33" s="8"/>
    </row>
    <row r="34" spans="1:19" ht="15.75" customHeight="1" x14ac:dyDescent="0.25">
      <c r="A34" s="8"/>
      <c r="B34" s="8"/>
      <c r="C34" s="8"/>
      <c r="D34" s="8"/>
      <c r="E34" s="12"/>
      <c r="H34" s="6"/>
      <c r="L34" s="8"/>
      <c r="M34" s="8"/>
      <c r="N34" s="8"/>
      <c r="O34" s="8"/>
      <c r="P34" s="8"/>
      <c r="Q34" s="8"/>
      <c r="R34" s="8"/>
      <c r="S34" s="8"/>
    </row>
    <row r="35" spans="1:19" ht="15.75" customHeight="1" x14ac:dyDescent="0.25">
      <c r="A35" s="8"/>
      <c r="B35" s="8"/>
      <c r="C35" s="8"/>
      <c r="D35" s="8"/>
      <c r="E35" s="12"/>
      <c r="L35" s="8"/>
      <c r="M35" s="8"/>
      <c r="N35" s="8"/>
      <c r="O35" s="8"/>
      <c r="P35" s="8"/>
      <c r="Q35" s="8"/>
      <c r="R35" s="8"/>
      <c r="S35" s="8"/>
    </row>
    <row r="36" spans="1:19" ht="15.75" customHeight="1" x14ac:dyDescent="0.25">
      <c r="A36" s="8"/>
      <c r="B36" s="8"/>
      <c r="C36" s="8"/>
      <c r="D36" s="8"/>
      <c r="L36" s="8"/>
      <c r="M36" s="8"/>
      <c r="N36" s="8"/>
      <c r="O36" s="8"/>
      <c r="P36" s="8"/>
      <c r="Q36" s="8"/>
      <c r="R36" s="8"/>
      <c r="S36" s="8"/>
    </row>
    <row r="37" spans="1:19" ht="15.75" customHeight="1" x14ac:dyDescent="0.25">
      <c r="A37" s="8"/>
      <c r="B37" s="8"/>
      <c r="C37" s="8"/>
      <c r="D37" s="8"/>
      <c r="L37" s="8"/>
      <c r="M37" s="8"/>
      <c r="N37" s="8"/>
      <c r="O37" s="8"/>
      <c r="P37" s="8"/>
      <c r="Q37" s="8"/>
      <c r="R37" s="8"/>
      <c r="S37" s="8"/>
    </row>
    <row r="38" spans="1:19" ht="15.75" customHeight="1" x14ac:dyDescent="0.25">
      <c r="A38" s="8"/>
      <c r="B38" s="8"/>
      <c r="C38" s="8"/>
      <c r="D38" s="8"/>
      <c r="L38" s="8"/>
      <c r="M38" s="8"/>
      <c r="N38" s="8"/>
      <c r="O38" s="8"/>
      <c r="P38" s="8"/>
      <c r="Q38" s="8"/>
      <c r="R38" s="8"/>
      <c r="S38" s="8"/>
    </row>
    <row r="39" spans="1:19" ht="15.75" customHeight="1" x14ac:dyDescent="0.25">
      <c r="A39" s="8"/>
      <c r="B39" s="8"/>
      <c r="C39" s="8"/>
      <c r="D39" s="8"/>
    </row>
    <row r="40" spans="1:19" ht="15.75" customHeight="1" x14ac:dyDescent="0.25">
      <c r="A40" s="8"/>
      <c r="B40" s="8"/>
      <c r="C40" s="8"/>
      <c r="D40" s="8"/>
    </row>
    <row r="41" spans="1:19" ht="15.75" customHeight="1" x14ac:dyDescent="0.25">
      <c r="A41" s="8"/>
      <c r="B41" s="8"/>
      <c r="C41" s="8"/>
      <c r="D41" s="8"/>
    </row>
    <row r="42" spans="1:19" ht="15.75" customHeight="1" x14ac:dyDescent="0.25">
      <c r="A42" s="8"/>
      <c r="B42" s="8"/>
      <c r="C42" s="8"/>
      <c r="D42" s="8"/>
    </row>
    <row r="43" spans="1:19" ht="15.75" customHeight="1" x14ac:dyDescent="0.25">
      <c r="A43" s="8"/>
      <c r="B43" s="8"/>
      <c r="C43" s="8"/>
      <c r="D43" s="8"/>
    </row>
    <row r="44" spans="1:19" ht="15.75" customHeight="1" x14ac:dyDescent="0.25">
      <c r="A44" s="8"/>
      <c r="B44" s="8"/>
      <c r="C44" s="8"/>
      <c r="D44" s="8"/>
    </row>
    <row r="45" spans="1:19" ht="15.75" customHeight="1" x14ac:dyDescent="0.25">
      <c r="A45" s="8"/>
      <c r="B45" s="8"/>
      <c r="C45" s="8"/>
      <c r="D45" s="8"/>
    </row>
    <row r="46" spans="1:19" ht="15.75" customHeight="1" x14ac:dyDescent="0.25">
      <c r="A46" s="8"/>
      <c r="B46" s="8"/>
      <c r="C46" s="8"/>
      <c r="D46" s="8"/>
    </row>
    <row r="47" spans="1:19" ht="15.75" customHeight="1" x14ac:dyDescent="0.25">
      <c r="A47" s="8"/>
      <c r="B47" s="8"/>
      <c r="C47" s="8"/>
      <c r="D47" s="8"/>
    </row>
    <row r="48" spans="1:19" ht="15.75" customHeight="1" x14ac:dyDescent="0.25">
      <c r="A48" s="8"/>
      <c r="B48" s="8"/>
      <c r="C48" s="8"/>
      <c r="D48" s="8"/>
    </row>
    <row r="49" spans="1:4" ht="15.75" customHeight="1" x14ac:dyDescent="0.25">
      <c r="A49" s="8"/>
      <c r="B49" s="8"/>
      <c r="C49" s="8"/>
      <c r="D49" s="8"/>
    </row>
    <row r="50" spans="1:4" ht="15.75" customHeight="1" x14ac:dyDescent="0.25">
      <c r="A50" s="8"/>
      <c r="B50" s="8"/>
      <c r="C50" s="8"/>
      <c r="D50" s="8"/>
    </row>
    <row r="51" spans="1:4" ht="15.75" customHeight="1" x14ac:dyDescent="0.25">
      <c r="A51" s="8"/>
      <c r="B51" s="8"/>
      <c r="C51" s="8"/>
      <c r="D51" s="8"/>
    </row>
    <row r="52" spans="1:4" ht="15.75" customHeight="1" x14ac:dyDescent="0.25">
      <c r="A52" s="8"/>
      <c r="B52" s="8"/>
      <c r="C52" s="8"/>
      <c r="D52" s="8"/>
    </row>
    <row r="53" spans="1:4" ht="15.75" customHeight="1" x14ac:dyDescent="0.25">
      <c r="A53" s="8"/>
      <c r="B53" s="8"/>
      <c r="C53" s="8"/>
      <c r="D53" s="8"/>
    </row>
  </sheetData>
  <sheetProtection sheet="1" objects="1" scenarios="1"/>
  <mergeCells count="4">
    <mergeCell ref="B3:D3"/>
    <mergeCell ref="F3:H3"/>
    <mergeCell ref="B15:D15"/>
    <mergeCell ref="F15:H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3676-01FD-47FD-94F3-EE20658FE211}">
  <dimension ref="A1:S46"/>
  <sheetViews>
    <sheetView topLeftCell="A6" zoomScale="95" zoomScaleNormal="74" workbookViewId="0">
      <selection activeCell="E21" sqref="E21"/>
    </sheetView>
  </sheetViews>
  <sheetFormatPr defaultColWidth="9.140625" defaultRowHeight="15.75" customHeight="1" x14ac:dyDescent="0.25"/>
  <cols>
    <col min="1" max="1" width="16" style="6" customWidth="1"/>
    <col min="2" max="2" width="31.140625" style="6" bestFit="1" customWidth="1"/>
    <col min="3" max="3" width="9.140625" style="6"/>
    <col min="4" max="4" width="14" style="7" customWidth="1"/>
    <col min="5" max="5" width="12.5703125" style="6" customWidth="1"/>
    <col min="6" max="6" width="16.5703125" style="6" bestFit="1" customWidth="1"/>
    <col min="7" max="7" width="9.140625" style="6"/>
    <col min="8" max="8" width="9.42578125" style="7" bestFit="1" customWidth="1"/>
    <col min="9" max="10" width="9.42578125" style="6" bestFit="1" customWidth="1"/>
    <col min="11" max="11" width="9.140625" style="6"/>
    <col min="12" max="12" width="23.140625" style="6" bestFit="1" customWidth="1"/>
    <col min="13" max="13" width="5.85546875" style="6" customWidth="1"/>
    <col min="14" max="14" width="9.140625" style="6"/>
    <col min="15" max="15" width="3.7109375" style="6" customWidth="1"/>
    <col min="16" max="16" width="14.42578125" style="6" bestFit="1" customWidth="1"/>
    <col min="17" max="17" width="4.5703125" style="6" bestFit="1" customWidth="1"/>
    <col min="18" max="16384" width="9.140625" style="6"/>
  </cols>
  <sheetData>
    <row r="1" spans="1:19" ht="15.75" customHeight="1" x14ac:dyDescent="0.25">
      <c r="A1" s="28" t="s">
        <v>138</v>
      </c>
    </row>
    <row r="2" spans="1:19" ht="15.75" customHeight="1" x14ac:dyDescent="0.25">
      <c r="L2" s="8"/>
      <c r="M2" s="8"/>
      <c r="N2" s="8"/>
      <c r="O2" s="8"/>
      <c r="P2" s="8"/>
      <c r="Q2" s="8"/>
      <c r="R2" s="8"/>
      <c r="S2" s="8"/>
    </row>
    <row r="3" spans="1:19" ht="15.75" customHeight="1" x14ac:dyDescent="0.25">
      <c r="B3" s="89" t="s">
        <v>40</v>
      </c>
      <c r="C3" s="89"/>
      <c r="D3" s="89"/>
      <c r="F3" s="89" t="s">
        <v>41</v>
      </c>
      <c r="G3" s="89"/>
      <c r="H3" s="89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75" customHeight="1" x14ac:dyDescent="0.25">
      <c r="B4" s="23" t="s">
        <v>7</v>
      </c>
      <c r="C4" s="23" t="s">
        <v>8</v>
      </c>
      <c r="D4" s="24" t="s">
        <v>14</v>
      </c>
      <c r="F4" s="23" t="s">
        <v>7</v>
      </c>
      <c r="G4" s="23" t="s">
        <v>8</v>
      </c>
      <c r="H4" s="24" t="s">
        <v>19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.75" customHeight="1" x14ac:dyDescent="0.25">
      <c r="B5" s="9" t="s">
        <v>0</v>
      </c>
      <c r="C5" s="9" t="s">
        <v>9</v>
      </c>
      <c r="D5" s="21" t="s">
        <v>48</v>
      </c>
      <c r="F5" s="9" t="s">
        <v>0</v>
      </c>
      <c r="G5" s="9" t="s">
        <v>9</v>
      </c>
      <c r="H5" s="21" t="s">
        <v>49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5.75" customHeight="1" x14ac:dyDescent="0.25">
      <c r="B6" s="9" t="s">
        <v>1</v>
      </c>
      <c r="C6" s="9" t="s">
        <v>9</v>
      </c>
      <c r="D6" s="21" t="s">
        <v>156</v>
      </c>
      <c r="F6" s="9" t="s">
        <v>25</v>
      </c>
      <c r="G6" s="9" t="s">
        <v>13</v>
      </c>
      <c r="H6" s="21">
        <v>11</v>
      </c>
      <c r="I6" s="8"/>
      <c r="J6" s="8"/>
      <c r="L6" s="8"/>
      <c r="M6" s="8"/>
      <c r="N6" s="8"/>
      <c r="O6" s="8"/>
      <c r="P6" s="8"/>
      <c r="Q6" s="8"/>
      <c r="R6" s="8"/>
      <c r="S6" s="8"/>
    </row>
    <row r="7" spans="1:19" ht="15.75" customHeight="1" x14ac:dyDescent="0.25">
      <c r="B7" s="9" t="s">
        <v>2</v>
      </c>
      <c r="C7" s="9" t="s">
        <v>10</v>
      </c>
      <c r="D7" s="22">
        <v>64</v>
      </c>
      <c r="F7" s="9" t="s">
        <v>20</v>
      </c>
      <c r="G7" s="9" t="s">
        <v>26</v>
      </c>
      <c r="H7" s="22">
        <v>415</v>
      </c>
      <c r="I7" s="8"/>
      <c r="J7" s="8"/>
      <c r="L7" s="8"/>
      <c r="M7" s="8"/>
      <c r="N7" s="8"/>
      <c r="O7" s="8"/>
      <c r="P7" s="8"/>
      <c r="Q7" s="8"/>
      <c r="R7" s="8"/>
      <c r="S7" s="8"/>
    </row>
    <row r="8" spans="1:19" ht="15.75" customHeight="1" x14ac:dyDescent="0.25">
      <c r="B8" s="9" t="s">
        <v>3</v>
      </c>
      <c r="C8" s="9" t="s">
        <v>11</v>
      </c>
      <c r="D8" s="21">
        <v>37.200000000000003</v>
      </c>
      <c r="F8" s="9" t="s">
        <v>21</v>
      </c>
      <c r="G8" s="9" t="s">
        <v>27</v>
      </c>
      <c r="H8" s="21">
        <v>19.8</v>
      </c>
      <c r="I8" s="8"/>
      <c r="J8" s="8"/>
      <c r="L8" s="8"/>
      <c r="M8" s="8"/>
      <c r="N8" s="8"/>
      <c r="O8" s="8"/>
      <c r="P8" s="8"/>
      <c r="Q8" s="8"/>
      <c r="R8" s="8"/>
      <c r="S8" s="8"/>
    </row>
    <row r="9" spans="1:19" ht="15.75" customHeight="1" x14ac:dyDescent="0.25">
      <c r="B9" s="9" t="s">
        <v>4</v>
      </c>
      <c r="C9" s="9" t="s">
        <v>11</v>
      </c>
      <c r="D9" s="21">
        <v>51.3</v>
      </c>
      <c r="F9" s="9" t="s">
        <v>22</v>
      </c>
      <c r="G9" s="9" t="s">
        <v>9</v>
      </c>
      <c r="H9" s="21">
        <v>0.89</v>
      </c>
      <c r="I9" s="8"/>
      <c r="J9" s="8"/>
      <c r="L9" s="8"/>
      <c r="M9" s="8"/>
      <c r="N9" s="8"/>
      <c r="O9" s="8"/>
      <c r="P9" s="8"/>
      <c r="Q9" s="8"/>
      <c r="R9" s="8"/>
      <c r="S9" s="8"/>
    </row>
    <row r="10" spans="1:19" ht="15.75" customHeight="1" x14ac:dyDescent="0.25">
      <c r="B10" s="9" t="s">
        <v>5</v>
      </c>
      <c r="C10" s="9" t="s">
        <v>12</v>
      </c>
      <c r="D10" s="21">
        <v>2924</v>
      </c>
      <c r="F10" s="9" t="s">
        <v>23</v>
      </c>
      <c r="G10" s="9" t="s">
        <v>12</v>
      </c>
      <c r="H10" s="21">
        <v>2950</v>
      </c>
      <c r="I10" s="8"/>
      <c r="J10" s="8"/>
      <c r="L10" s="8"/>
      <c r="M10" s="8"/>
      <c r="N10" s="8"/>
      <c r="O10" s="8"/>
      <c r="P10" s="8"/>
      <c r="Q10" s="8"/>
      <c r="R10" s="8"/>
      <c r="S10" s="8"/>
    </row>
    <row r="11" spans="1:19" ht="15.75" customHeight="1" x14ac:dyDescent="0.25">
      <c r="B11" s="9" t="s">
        <v>6</v>
      </c>
      <c r="C11" s="9" t="s">
        <v>13</v>
      </c>
      <c r="D11" s="22">
        <v>11</v>
      </c>
      <c r="F11" s="9" t="s">
        <v>24</v>
      </c>
      <c r="G11" s="9" t="s">
        <v>28</v>
      </c>
      <c r="H11" s="22">
        <v>50</v>
      </c>
      <c r="I11" s="8"/>
      <c r="J11" s="8"/>
      <c r="L11" s="8"/>
      <c r="M11" s="8"/>
      <c r="N11" s="8"/>
      <c r="O11" s="8"/>
      <c r="P11" s="8"/>
      <c r="Q11" s="8"/>
      <c r="R11" s="8"/>
      <c r="S11" s="8"/>
    </row>
    <row r="12" spans="1:19" ht="15.75" customHeight="1" x14ac:dyDescent="0.25">
      <c r="B12" s="9" t="s">
        <v>29</v>
      </c>
      <c r="C12" s="9" t="s">
        <v>30</v>
      </c>
      <c r="D12" s="22">
        <v>16</v>
      </c>
      <c r="F12" s="9" t="s">
        <v>50</v>
      </c>
      <c r="G12" s="9" t="s">
        <v>9</v>
      </c>
      <c r="H12" s="22" t="s">
        <v>51</v>
      </c>
      <c r="I12" s="8"/>
      <c r="J12" s="8"/>
      <c r="L12" s="8"/>
      <c r="M12" s="8"/>
      <c r="N12" s="8"/>
      <c r="O12" s="8"/>
      <c r="P12" s="8"/>
      <c r="Q12" s="8"/>
      <c r="R12" s="8"/>
      <c r="S12" s="8"/>
    </row>
    <row r="13" spans="1:19" ht="15.75" customHeight="1" x14ac:dyDescent="0.25">
      <c r="B13" s="9" t="s">
        <v>38</v>
      </c>
      <c r="C13" s="11" t="s">
        <v>36</v>
      </c>
      <c r="D13" s="22">
        <v>77.099999999999994</v>
      </c>
      <c r="F13" s="9" t="s">
        <v>52</v>
      </c>
      <c r="G13" s="9" t="s">
        <v>36</v>
      </c>
      <c r="H13" s="22">
        <v>91.2</v>
      </c>
      <c r="I13" s="8"/>
      <c r="J13" s="8"/>
      <c r="L13" s="8"/>
      <c r="M13" s="8"/>
      <c r="N13" s="8"/>
      <c r="O13" s="8"/>
      <c r="P13" s="8"/>
      <c r="Q13" s="8"/>
      <c r="R13" s="8"/>
      <c r="S13" s="8"/>
    </row>
    <row r="14" spans="1:19" ht="15.75" customHeight="1" x14ac:dyDescent="0.25">
      <c r="B14" s="70"/>
      <c r="C14" s="71"/>
      <c r="D14" s="8"/>
      <c r="F14" s="9" t="s">
        <v>155</v>
      </c>
      <c r="G14" s="9" t="s">
        <v>74</v>
      </c>
      <c r="H14" s="22">
        <v>2</v>
      </c>
      <c r="I14" s="8"/>
      <c r="J14" s="8"/>
      <c r="L14" s="8"/>
      <c r="M14" s="8"/>
      <c r="N14" s="8"/>
      <c r="O14" s="8"/>
      <c r="P14" s="8"/>
      <c r="Q14" s="8"/>
      <c r="R14" s="8"/>
      <c r="S14" s="8"/>
    </row>
    <row r="15" spans="1:19" ht="15.75" customHeight="1" x14ac:dyDescent="0.25">
      <c r="D15" s="8"/>
      <c r="L15" s="8"/>
      <c r="M15" s="8"/>
      <c r="N15" s="8"/>
      <c r="O15" s="8"/>
      <c r="P15" s="8"/>
      <c r="Q15" s="8"/>
      <c r="R15" s="8"/>
      <c r="S15" s="8"/>
    </row>
    <row r="16" spans="1:19" ht="15.75" customHeight="1" x14ac:dyDescent="0.25">
      <c r="B16" s="93" t="s">
        <v>157</v>
      </c>
      <c r="C16" s="93"/>
      <c r="D16" s="93"/>
      <c r="E16" s="93"/>
      <c r="L16" s="8"/>
      <c r="M16" s="8"/>
      <c r="N16" s="8"/>
      <c r="O16" s="8"/>
      <c r="P16" s="8"/>
      <c r="Q16" s="8"/>
      <c r="R16" s="8"/>
      <c r="S16" s="8"/>
    </row>
    <row r="17" spans="1:19" ht="15.75" customHeight="1" x14ac:dyDescent="0.25">
      <c r="B17" s="79" t="s">
        <v>153</v>
      </c>
      <c r="C17" s="80" t="s">
        <v>8</v>
      </c>
      <c r="D17" s="81" t="s">
        <v>147</v>
      </c>
      <c r="E17" s="81" t="s">
        <v>66</v>
      </c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5.75" customHeight="1" x14ac:dyDescent="0.25">
      <c r="A18" s="8"/>
      <c r="B18" s="9" t="s">
        <v>148</v>
      </c>
      <c r="C18" s="33" t="s">
        <v>12</v>
      </c>
      <c r="D18" s="84">
        <f>H10</f>
        <v>2950</v>
      </c>
      <c r="E18" s="82">
        <v>2655</v>
      </c>
      <c r="H18" s="6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15.75" customHeight="1" x14ac:dyDescent="0.25">
      <c r="A19" s="8"/>
      <c r="B19" s="9" t="s">
        <v>152</v>
      </c>
      <c r="C19" s="83" t="s">
        <v>28</v>
      </c>
      <c r="D19" s="85">
        <v>50</v>
      </c>
      <c r="E19" s="86">
        <f>E18*H14/120</f>
        <v>44.25</v>
      </c>
      <c r="H19" s="6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5.75" customHeight="1" x14ac:dyDescent="0.25">
      <c r="A20" s="8"/>
      <c r="B20" s="9" t="s">
        <v>149</v>
      </c>
      <c r="C20" s="83" t="s">
        <v>154</v>
      </c>
      <c r="D20" s="86">
        <v>64</v>
      </c>
      <c r="E20" s="86">
        <f>((E18/D18)^1)*D20</f>
        <v>57.6</v>
      </c>
      <c r="H20" s="6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15.75" customHeight="1" x14ac:dyDescent="0.25">
      <c r="A21" s="8"/>
      <c r="B21" s="9" t="s">
        <v>150</v>
      </c>
      <c r="C21" s="83" t="s">
        <v>11</v>
      </c>
      <c r="D21" s="86">
        <f>D8</f>
        <v>37.200000000000003</v>
      </c>
      <c r="E21" s="86">
        <f>((E18/D18)^2)*D21</f>
        <v>30.132000000000005</v>
      </c>
      <c r="H21" s="6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5.75" customHeight="1" x14ac:dyDescent="0.25">
      <c r="A22" s="8"/>
      <c r="B22" s="9" t="s">
        <v>151</v>
      </c>
      <c r="C22" s="83" t="s">
        <v>13</v>
      </c>
      <c r="D22" s="87">
        <f>(D7*D8*9.81/3600)*100/H13</f>
        <v>7.1136842105263174</v>
      </c>
      <c r="E22" s="87">
        <f>(((E18/D18)^3)*D22)*(1+5%)</f>
        <v>5.44516957894737</v>
      </c>
      <c r="H22" s="6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5.75" customHeight="1" x14ac:dyDescent="0.25">
      <c r="A23" s="8"/>
      <c r="B23" s="8"/>
      <c r="C23" s="8"/>
      <c r="D23" s="8"/>
      <c r="H23" s="6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5.75" customHeight="1" x14ac:dyDescent="0.25">
      <c r="A24" s="8"/>
      <c r="B24" s="8"/>
      <c r="C24" s="8"/>
      <c r="D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15.75" customHeight="1" x14ac:dyDescent="0.25">
      <c r="A25" s="8"/>
      <c r="B25" s="8"/>
      <c r="C25" s="8"/>
      <c r="D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t="15.75" customHeight="1" x14ac:dyDescent="0.25">
      <c r="A26" s="8"/>
      <c r="B26" s="8"/>
      <c r="C26" s="8"/>
      <c r="D26" s="8"/>
      <c r="H26" s="6"/>
      <c r="L26" s="8"/>
      <c r="M26" s="8"/>
      <c r="N26" s="8"/>
      <c r="O26" s="8"/>
      <c r="P26" s="8"/>
      <c r="Q26" s="8"/>
      <c r="R26" s="8"/>
      <c r="S26" s="8"/>
    </row>
    <row r="27" spans="1:19" ht="15.75" customHeight="1" x14ac:dyDescent="0.25">
      <c r="A27" s="8"/>
      <c r="B27" s="8"/>
      <c r="C27" s="8"/>
      <c r="D27" s="8"/>
      <c r="E27" s="12"/>
      <c r="H27" s="6"/>
      <c r="L27" s="8"/>
      <c r="M27" s="8"/>
      <c r="N27" s="8"/>
      <c r="O27" s="8"/>
      <c r="P27" s="8"/>
      <c r="Q27" s="8"/>
      <c r="R27" s="8"/>
      <c r="S27" s="8"/>
    </row>
    <row r="28" spans="1:19" ht="15.75" customHeight="1" x14ac:dyDescent="0.25">
      <c r="A28" s="8"/>
      <c r="B28" s="8"/>
      <c r="C28" s="8"/>
      <c r="D28" s="8"/>
      <c r="E28" s="12"/>
      <c r="L28" s="8"/>
      <c r="M28" s="8"/>
      <c r="N28" s="8"/>
      <c r="O28" s="8"/>
      <c r="P28" s="8"/>
      <c r="Q28" s="8"/>
      <c r="R28" s="8"/>
      <c r="S28" s="8"/>
    </row>
    <row r="29" spans="1:19" ht="15.75" customHeight="1" x14ac:dyDescent="0.25">
      <c r="A29" s="8"/>
      <c r="B29" s="8"/>
      <c r="C29" s="8"/>
      <c r="D29" s="8"/>
      <c r="L29" s="8"/>
      <c r="M29" s="8"/>
      <c r="N29" s="8"/>
      <c r="O29" s="8"/>
      <c r="P29" s="8"/>
      <c r="Q29" s="8"/>
      <c r="R29" s="8"/>
      <c r="S29" s="8"/>
    </row>
    <row r="30" spans="1:19" ht="15.75" customHeight="1" x14ac:dyDescent="0.25">
      <c r="A30" s="8"/>
      <c r="B30" s="8"/>
      <c r="C30" s="8"/>
      <c r="D30" s="8"/>
      <c r="L30" s="8"/>
      <c r="M30" s="8"/>
      <c r="N30" s="8"/>
      <c r="O30" s="8"/>
      <c r="P30" s="8"/>
      <c r="Q30" s="8"/>
      <c r="R30" s="8"/>
      <c r="S30" s="8"/>
    </row>
    <row r="31" spans="1:19" ht="15.75" customHeight="1" x14ac:dyDescent="0.25">
      <c r="A31" s="8"/>
      <c r="B31" s="8"/>
      <c r="C31" s="8"/>
      <c r="D31" s="8"/>
      <c r="L31" s="8"/>
      <c r="M31" s="8"/>
      <c r="N31" s="8"/>
      <c r="O31" s="8"/>
      <c r="P31" s="8"/>
      <c r="Q31" s="8"/>
      <c r="R31" s="8"/>
      <c r="S31" s="8"/>
    </row>
    <row r="32" spans="1:19" ht="15.75" customHeight="1" x14ac:dyDescent="0.25">
      <c r="A32" s="8"/>
      <c r="B32" s="8"/>
      <c r="C32" s="8"/>
      <c r="D32" s="8"/>
    </row>
    <row r="33" spans="1:4" ht="15.75" customHeight="1" x14ac:dyDescent="0.25">
      <c r="A33" s="8"/>
      <c r="B33" s="8"/>
      <c r="C33" s="8"/>
      <c r="D33" s="8"/>
    </row>
    <row r="34" spans="1:4" ht="15.75" customHeight="1" x14ac:dyDescent="0.25">
      <c r="A34" s="8"/>
      <c r="B34" s="8"/>
      <c r="C34" s="8"/>
      <c r="D34" s="8"/>
    </row>
    <row r="35" spans="1:4" ht="15.75" customHeight="1" x14ac:dyDescent="0.25">
      <c r="A35" s="8"/>
      <c r="B35" s="8"/>
      <c r="C35" s="8"/>
      <c r="D35" s="8"/>
    </row>
    <row r="36" spans="1:4" ht="15.75" customHeight="1" x14ac:dyDescent="0.25">
      <c r="A36" s="8"/>
      <c r="B36" s="8"/>
      <c r="C36" s="8"/>
      <c r="D36" s="8"/>
    </row>
    <row r="37" spans="1:4" ht="15.75" customHeight="1" x14ac:dyDescent="0.25">
      <c r="A37" s="8"/>
      <c r="B37" s="8"/>
      <c r="C37" s="8"/>
      <c r="D37" s="8"/>
    </row>
    <row r="38" spans="1:4" ht="15.75" customHeight="1" x14ac:dyDescent="0.25">
      <c r="A38" s="8"/>
      <c r="B38" s="8"/>
      <c r="C38" s="8"/>
      <c r="D38" s="8"/>
    </row>
    <row r="39" spans="1:4" ht="15.75" customHeight="1" x14ac:dyDescent="0.25">
      <c r="A39" s="8"/>
      <c r="B39" s="8"/>
      <c r="C39" s="8"/>
      <c r="D39" s="8"/>
    </row>
    <row r="40" spans="1:4" ht="15.75" customHeight="1" x14ac:dyDescent="0.25">
      <c r="A40" s="8"/>
      <c r="B40" s="8"/>
      <c r="C40" s="8"/>
      <c r="D40" s="8"/>
    </row>
    <row r="41" spans="1:4" ht="15.75" customHeight="1" x14ac:dyDescent="0.25">
      <c r="A41" s="8"/>
      <c r="B41" s="8"/>
      <c r="C41" s="8"/>
      <c r="D41" s="8"/>
    </row>
    <row r="42" spans="1:4" ht="15.75" customHeight="1" x14ac:dyDescent="0.25">
      <c r="A42" s="8"/>
      <c r="B42" s="8"/>
      <c r="C42" s="8"/>
      <c r="D42" s="8"/>
    </row>
    <row r="43" spans="1:4" ht="15.75" customHeight="1" x14ac:dyDescent="0.25">
      <c r="A43" s="8"/>
      <c r="B43" s="8"/>
      <c r="C43" s="8"/>
      <c r="D43" s="8"/>
    </row>
    <row r="44" spans="1:4" ht="15.75" customHeight="1" x14ac:dyDescent="0.25">
      <c r="A44" s="8"/>
      <c r="B44" s="8"/>
      <c r="C44" s="8"/>
      <c r="D44" s="8"/>
    </row>
    <row r="45" spans="1:4" ht="15.75" customHeight="1" x14ac:dyDescent="0.25">
      <c r="A45" s="8"/>
      <c r="B45" s="8"/>
      <c r="C45" s="8"/>
      <c r="D45" s="8"/>
    </row>
    <row r="46" spans="1:4" ht="15.75" customHeight="1" x14ac:dyDescent="0.25">
      <c r="A46" s="8"/>
      <c r="B46" s="8"/>
      <c r="C46" s="8"/>
      <c r="D46" s="8"/>
    </row>
  </sheetData>
  <sheetProtection sheet="1" objects="1" scenarios="1"/>
  <mergeCells count="3">
    <mergeCell ref="B3:D3"/>
    <mergeCell ref="F3:H3"/>
    <mergeCell ref="B16:E1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EACFE-BE54-4BB3-9A47-2578072DCC11}">
  <dimension ref="A1:L52"/>
  <sheetViews>
    <sheetView topLeftCell="A4" workbookViewId="0">
      <selection activeCell="D23" sqref="D23"/>
    </sheetView>
  </sheetViews>
  <sheetFormatPr defaultColWidth="9.140625" defaultRowHeight="15.75" customHeight="1" x14ac:dyDescent="0.25"/>
  <cols>
    <col min="1" max="1" width="14.28515625" style="6" customWidth="1"/>
    <col min="2" max="2" width="27.5703125" style="6" bestFit="1" customWidth="1"/>
    <col min="3" max="3" width="9.140625" style="6"/>
    <col min="4" max="4" width="12" style="7" bestFit="1" customWidth="1"/>
    <col min="5" max="5" width="12" style="6" bestFit="1" customWidth="1"/>
    <col min="6" max="6" width="14.42578125" style="6" bestFit="1" customWidth="1"/>
    <col min="7" max="7" width="9.140625" style="6"/>
    <col min="8" max="8" width="12" style="7" bestFit="1" customWidth="1"/>
    <col min="9" max="9" width="9.42578125" style="6" bestFit="1" customWidth="1"/>
    <col min="10" max="10" width="9.42578125" style="7" bestFit="1" customWidth="1"/>
    <col min="11" max="11" width="9.42578125" style="6" bestFit="1" customWidth="1"/>
    <col min="12" max="12" width="9.140625" style="6"/>
    <col min="13" max="13" width="12" style="6" bestFit="1" customWidth="1"/>
    <col min="14" max="16384" width="9.140625" style="6"/>
  </cols>
  <sheetData>
    <row r="1" spans="1:12" ht="15.75" customHeight="1" x14ac:dyDescent="0.25">
      <c r="A1" s="28" t="s">
        <v>139</v>
      </c>
    </row>
    <row r="2" spans="1:12" ht="15.75" customHeight="1" x14ac:dyDescent="0.25">
      <c r="I2" s="8"/>
      <c r="J2" s="8"/>
      <c r="K2" s="8"/>
    </row>
    <row r="3" spans="1:12" ht="15.75" customHeight="1" x14ac:dyDescent="0.25">
      <c r="B3" s="89" t="s">
        <v>62</v>
      </c>
      <c r="C3" s="89"/>
      <c r="D3" s="89"/>
      <c r="E3" s="8"/>
      <c r="F3" s="89" t="s">
        <v>41</v>
      </c>
      <c r="G3" s="89"/>
      <c r="H3" s="89"/>
      <c r="I3" s="8"/>
      <c r="J3" s="8"/>
      <c r="K3" s="8"/>
    </row>
    <row r="4" spans="1:12" ht="15.75" customHeight="1" x14ac:dyDescent="0.25">
      <c r="B4" s="23" t="s">
        <v>7</v>
      </c>
      <c r="C4" s="23" t="s">
        <v>8</v>
      </c>
      <c r="D4" s="24" t="s">
        <v>47</v>
      </c>
      <c r="E4" s="8"/>
      <c r="F4" s="23" t="s">
        <v>7</v>
      </c>
      <c r="G4" s="23" t="s">
        <v>8</v>
      </c>
      <c r="H4" s="24" t="s">
        <v>19</v>
      </c>
      <c r="I4" s="8"/>
      <c r="J4" s="8"/>
      <c r="K4" s="8"/>
      <c r="L4" s="8"/>
    </row>
    <row r="5" spans="1:12" ht="15.75" customHeight="1" x14ac:dyDescent="0.25">
      <c r="B5" s="9" t="s">
        <v>0</v>
      </c>
      <c r="C5" s="9" t="s">
        <v>9</v>
      </c>
      <c r="D5" s="21"/>
      <c r="E5" s="8"/>
      <c r="F5" s="9" t="s">
        <v>0</v>
      </c>
      <c r="G5" s="9" t="s">
        <v>9</v>
      </c>
      <c r="H5" s="21"/>
      <c r="I5" s="8"/>
      <c r="J5" s="8"/>
      <c r="K5" s="8"/>
      <c r="L5" s="8"/>
    </row>
    <row r="6" spans="1:12" ht="15.75" customHeight="1" x14ac:dyDescent="0.25">
      <c r="B6" s="9" t="s">
        <v>1</v>
      </c>
      <c r="C6" s="9" t="s">
        <v>9</v>
      </c>
      <c r="D6" s="21"/>
      <c r="E6" s="8"/>
      <c r="F6" s="9" t="s">
        <v>25</v>
      </c>
      <c r="G6" s="9" t="s">
        <v>13</v>
      </c>
      <c r="H6" s="21">
        <v>7.5</v>
      </c>
      <c r="I6" s="8"/>
      <c r="J6" s="8"/>
      <c r="K6" s="8"/>
      <c r="L6" s="8"/>
    </row>
    <row r="7" spans="1:12" ht="15.75" customHeight="1" x14ac:dyDescent="0.25">
      <c r="B7" s="9" t="s">
        <v>2</v>
      </c>
      <c r="C7" s="9" t="s">
        <v>10</v>
      </c>
      <c r="D7" s="22"/>
      <c r="E7" s="8"/>
      <c r="F7" s="9" t="s">
        <v>20</v>
      </c>
      <c r="G7" s="9" t="s">
        <v>26</v>
      </c>
      <c r="H7" s="22">
        <v>415</v>
      </c>
      <c r="I7" s="8"/>
      <c r="J7" s="8"/>
      <c r="K7" s="8"/>
      <c r="L7" s="8"/>
    </row>
    <row r="8" spans="1:12" ht="15.75" customHeight="1" x14ac:dyDescent="0.25">
      <c r="B8" s="9" t="s">
        <v>3</v>
      </c>
      <c r="C8" s="9" t="s">
        <v>11</v>
      </c>
      <c r="D8" s="21"/>
      <c r="E8" s="8"/>
      <c r="F8" s="9" t="s">
        <v>21</v>
      </c>
      <c r="G8" s="9" t="s">
        <v>27</v>
      </c>
      <c r="H8" s="21"/>
      <c r="I8" s="8"/>
      <c r="J8" s="8"/>
      <c r="K8" s="8"/>
      <c r="L8" s="8"/>
    </row>
    <row r="9" spans="1:12" ht="15.75" customHeight="1" x14ac:dyDescent="0.25">
      <c r="B9" s="9" t="s">
        <v>4</v>
      </c>
      <c r="C9" s="9" t="s">
        <v>11</v>
      </c>
      <c r="D9" s="21"/>
      <c r="E9" s="8"/>
      <c r="F9" s="9" t="s">
        <v>22</v>
      </c>
      <c r="G9" s="9" t="s">
        <v>9</v>
      </c>
      <c r="H9" s="21"/>
      <c r="I9" s="8"/>
      <c r="J9" s="8"/>
      <c r="K9" s="8"/>
      <c r="L9" s="8"/>
    </row>
    <row r="10" spans="1:12" ht="15.75" customHeight="1" x14ac:dyDescent="0.25">
      <c r="B10" s="9" t="s">
        <v>5</v>
      </c>
      <c r="C10" s="9" t="s">
        <v>12</v>
      </c>
      <c r="D10" s="21"/>
      <c r="E10" s="8"/>
      <c r="F10" s="9" t="s">
        <v>23</v>
      </c>
      <c r="G10" s="9" t="s">
        <v>12</v>
      </c>
      <c r="H10" s="21"/>
      <c r="I10" s="8"/>
      <c r="J10" s="8"/>
      <c r="K10" s="8"/>
      <c r="L10" s="8"/>
    </row>
    <row r="11" spans="1:12" ht="15.75" customHeight="1" x14ac:dyDescent="0.25">
      <c r="B11" s="9" t="s">
        <v>6</v>
      </c>
      <c r="C11" s="9" t="s">
        <v>13</v>
      </c>
      <c r="D11" s="22"/>
      <c r="E11" s="8"/>
      <c r="F11" s="9" t="s">
        <v>24</v>
      </c>
      <c r="G11" s="9" t="s">
        <v>28</v>
      </c>
      <c r="H11" s="22">
        <v>50</v>
      </c>
      <c r="I11" s="8"/>
      <c r="J11" s="8"/>
      <c r="K11" s="8"/>
      <c r="L11" s="8"/>
    </row>
    <row r="12" spans="1:12" ht="15.75" customHeight="1" x14ac:dyDescent="0.25">
      <c r="B12" s="9" t="s">
        <v>29</v>
      </c>
      <c r="C12" s="9" t="s">
        <v>30</v>
      </c>
      <c r="D12" s="22"/>
      <c r="E12" s="8"/>
      <c r="F12" s="9" t="s">
        <v>50</v>
      </c>
      <c r="G12" s="9" t="s">
        <v>9</v>
      </c>
      <c r="H12" s="22" t="s">
        <v>113</v>
      </c>
      <c r="I12" s="8"/>
      <c r="J12" s="8"/>
      <c r="K12" s="8"/>
      <c r="L12" s="8"/>
    </row>
    <row r="13" spans="1:12" ht="15.75" customHeight="1" x14ac:dyDescent="0.25">
      <c r="B13" s="9" t="s">
        <v>53</v>
      </c>
      <c r="C13" s="9" t="s">
        <v>54</v>
      </c>
      <c r="D13" s="22"/>
      <c r="E13" s="8"/>
      <c r="F13" s="9" t="s">
        <v>52</v>
      </c>
      <c r="G13" s="9" t="s">
        <v>36</v>
      </c>
      <c r="H13" s="22">
        <v>79.400000000000006</v>
      </c>
      <c r="I13" s="8"/>
      <c r="J13" s="8"/>
      <c r="K13" s="8"/>
      <c r="L13" s="8"/>
    </row>
    <row r="14" spans="1:12" ht="15.75" customHeight="1" x14ac:dyDescent="0.25">
      <c r="I14" s="8"/>
      <c r="J14" s="8"/>
      <c r="K14" s="8"/>
      <c r="L14" s="8"/>
    </row>
    <row r="15" spans="1:12" ht="15.75" customHeight="1" x14ac:dyDescent="0.25">
      <c r="B15" s="89" t="s">
        <v>63</v>
      </c>
      <c r="C15" s="89"/>
      <c r="D15" s="89"/>
      <c r="E15" s="8"/>
      <c r="F15" s="89" t="s">
        <v>43</v>
      </c>
      <c r="G15" s="89"/>
      <c r="H15" s="89"/>
      <c r="I15" s="8"/>
      <c r="J15" s="8"/>
      <c r="K15" s="8"/>
      <c r="L15" s="8"/>
    </row>
    <row r="16" spans="1:12" ht="15.75" customHeight="1" x14ac:dyDescent="0.25">
      <c r="B16" s="23" t="s">
        <v>7</v>
      </c>
      <c r="C16" s="23" t="s">
        <v>8</v>
      </c>
      <c r="D16" s="24" t="s">
        <v>47</v>
      </c>
      <c r="E16" s="8"/>
      <c r="F16" s="23" t="s">
        <v>7</v>
      </c>
      <c r="G16" s="23" t="s">
        <v>8</v>
      </c>
      <c r="H16" s="24" t="s">
        <v>19</v>
      </c>
      <c r="I16" s="8"/>
      <c r="J16" s="8"/>
      <c r="K16" s="8"/>
      <c r="L16" s="8"/>
    </row>
    <row r="17" spans="2:12" ht="15.75" customHeight="1" x14ac:dyDescent="0.25">
      <c r="B17" s="9" t="s">
        <v>15</v>
      </c>
      <c r="C17" s="9" t="s">
        <v>10</v>
      </c>
      <c r="D17" s="26">
        <v>24.4</v>
      </c>
      <c r="E17" s="8"/>
      <c r="F17" s="9" t="s">
        <v>20</v>
      </c>
      <c r="G17" s="9" t="s">
        <v>26</v>
      </c>
      <c r="H17" s="26">
        <v>433.4</v>
      </c>
      <c r="I17" s="8"/>
      <c r="J17" s="8"/>
      <c r="K17" s="8"/>
      <c r="L17" s="8"/>
    </row>
    <row r="18" spans="2:12" ht="15.75" customHeight="1" x14ac:dyDescent="0.25">
      <c r="B18" s="9" t="s">
        <v>64</v>
      </c>
      <c r="C18" s="9" t="s">
        <v>11</v>
      </c>
      <c r="D18" s="26">
        <v>35.6</v>
      </c>
      <c r="E18" s="8"/>
      <c r="F18" s="9" t="s">
        <v>21</v>
      </c>
      <c r="G18" s="9" t="s">
        <v>27</v>
      </c>
      <c r="H18" s="26">
        <v>8.1</v>
      </c>
      <c r="I18" s="8"/>
      <c r="J18" s="8"/>
      <c r="K18" s="8"/>
      <c r="L18" s="8"/>
    </row>
    <row r="19" spans="2:12" ht="15.75" customHeight="1" x14ac:dyDescent="0.25">
      <c r="B19" s="9" t="s">
        <v>65</v>
      </c>
      <c r="C19" s="9" t="s">
        <v>11</v>
      </c>
      <c r="D19" s="26">
        <v>4.3</v>
      </c>
      <c r="E19" s="8"/>
      <c r="F19" s="9" t="s">
        <v>31</v>
      </c>
      <c r="G19" s="9" t="s">
        <v>9</v>
      </c>
      <c r="H19" s="27">
        <v>0.79</v>
      </c>
      <c r="I19" s="8"/>
      <c r="J19" s="8"/>
      <c r="K19" s="8"/>
      <c r="L19" s="8"/>
    </row>
    <row r="20" spans="2:12" ht="15.75" customHeight="1" x14ac:dyDescent="0.25">
      <c r="B20" s="34" t="s">
        <v>18</v>
      </c>
      <c r="C20" s="34" t="s">
        <v>13</v>
      </c>
      <c r="D20" s="39">
        <f>9.81*D17*(D18+D19)/3600</f>
        <v>2.6529509999999998</v>
      </c>
      <c r="E20" s="29"/>
      <c r="F20" s="34" t="s">
        <v>32</v>
      </c>
      <c r="G20" s="34" t="s">
        <v>13</v>
      </c>
      <c r="H20" s="39">
        <f>1.732*H17*H18*H19/1000</f>
        <v>4.8034016711999996</v>
      </c>
      <c r="I20" s="29"/>
      <c r="J20" s="8"/>
      <c r="K20" s="8"/>
      <c r="L20" s="8"/>
    </row>
    <row r="21" spans="2:12" ht="15.75" customHeight="1" x14ac:dyDescent="0.25">
      <c r="B21" s="34" t="s">
        <v>37</v>
      </c>
      <c r="C21" s="34" t="s">
        <v>13</v>
      </c>
      <c r="D21" s="39">
        <f>H22</f>
        <v>3.8139009269328001</v>
      </c>
      <c r="E21" s="29"/>
      <c r="F21" s="34" t="s">
        <v>33</v>
      </c>
      <c r="G21" s="34" t="s">
        <v>36</v>
      </c>
      <c r="H21" s="36">
        <f>H13</f>
        <v>79.400000000000006</v>
      </c>
      <c r="I21" s="29"/>
      <c r="J21" s="8"/>
      <c r="K21" s="8"/>
      <c r="L21" s="8"/>
    </row>
    <row r="22" spans="2:12" ht="15.75" customHeight="1" x14ac:dyDescent="0.25">
      <c r="B22" s="34" t="s">
        <v>38</v>
      </c>
      <c r="C22" s="34" t="s">
        <v>36</v>
      </c>
      <c r="D22" s="39">
        <f>D20*100/D21</f>
        <v>69.560039729022151</v>
      </c>
      <c r="E22" s="29"/>
      <c r="F22" s="34" t="s">
        <v>34</v>
      </c>
      <c r="G22" s="34" t="s">
        <v>13</v>
      </c>
      <c r="H22" s="39">
        <f>H20*H21/100</f>
        <v>3.8139009269328001</v>
      </c>
      <c r="I22" s="29"/>
      <c r="J22" s="8"/>
      <c r="K22" s="8"/>
      <c r="L22" s="8"/>
    </row>
    <row r="23" spans="2:12" ht="15.75" customHeight="1" x14ac:dyDescent="0.25">
      <c r="B23" s="34" t="s">
        <v>39</v>
      </c>
      <c r="C23" s="34" t="s">
        <v>36</v>
      </c>
      <c r="D23" s="39">
        <f>D20*100/H20</f>
        <v>55.230671544843595</v>
      </c>
      <c r="E23" s="29"/>
      <c r="F23" s="25"/>
      <c r="G23" s="25"/>
      <c r="H23" s="25"/>
      <c r="I23" s="25"/>
      <c r="J23" s="6"/>
    </row>
    <row r="24" spans="2:12" ht="15.75" customHeight="1" x14ac:dyDescent="0.25">
      <c r="E24" s="8"/>
      <c r="H24" s="6"/>
      <c r="J24" s="6"/>
    </row>
    <row r="25" spans="2:12" ht="15.75" customHeight="1" x14ac:dyDescent="0.25">
      <c r="B25" s="8"/>
      <c r="C25" s="8"/>
      <c r="D25" s="8"/>
      <c r="E25" s="8"/>
      <c r="F25" s="8"/>
      <c r="G25" s="8"/>
      <c r="H25" s="8"/>
      <c r="J25" s="6"/>
    </row>
    <row r="26" spans="2:12" ht="15.75" customHeight="1" x14ac:dyDescent="0.25">
      <c r="B26" s="8"/>
      <c r="C26" s="8"/>
      <c r="D26" s="8"/>
      <c r="E26" s="8"/>
      <c r="F26" s="8"/>
      <c r="G26" s="8"/>
      <c r="H26" s="8"/>
      <c r="J26" s="6"/>
    </row>
    <row r="27" spans="2:12" ht="15.75" customHeight="1" x14ac:dyDescent="0.25">
      <c r="B27" s="8"/>
      <c r="C27" s="8"/>
      <c r="D27" s="8"/>
      <c r="E27" s="8"/>
      <c r="F27" s="8"/>
      <c r="G27" s="8"/>
      <c r="H27" s="8"/>
      <c r="J27" s="13"/>
    </row>
    <row r="28" spans="2:12" ht="15.75" customHeight="1" x14ac:dyDescent="0.25">
      <c r="B28" s="8"/>
      <c r="C28" s="8"/>
      <c r="D28" s="8"/>
      <c r="E28" s="8"/>
      <c r="F28" s="8"/>
      <c r="G28" s="8"/>
      <c r="H28" s="8"/>
    </row>
    <row r="29" spans="2:12" ht="15.75" customHeight="1" x14ac:dyDescent="0.25">
      <c r="B29" s="8"/>
      <c r="C29" s="8"/>
      <c r="D29" s="8"/>
      <c r="E29" s="8"/>
      <c r="F29" s="8"/>
      <c r="G29" s="8"/>
      <c r="H29" s="8"/>
    </row>
    <row r="30" spans="2:12" ht="15.75" customHeight="1" x14ac:dyDescent="0.25">
      <c r="B30" s="8"/>
      <c r="C30" s="8"/>
      <c r="D30" s="8"/>
      <c r="E30" s="8"/>
      <c r="F30" s="8"/>
      <c r="G30" s="8"/>
      <c r="H30" s="8"/>
    </row>
    <row r="31" spans="2:12" ht="15.75" customHeight="1" x14ac:dyDescent="0.25">
      <c r="B31" s="8"/>
      <c r="C31" s="8"/>
      <c r="D31" s="8"/>
      <c r="E31" s="8"/>
      <c r="F31" s="8"/>
      <c r="G31" s="8"/>
      <c r="H31" s="8"/>
    </row>
    <row r="32" spans="2:12" ht="15.75" customHeight="1" x14ac:dyDescent="0.25">
      <c r="B32" s="8"/>
      <c r="C32" s="8"/>
      <c r="D32" s="8"/>
      <c r="E32" s="8"/>
      <c r="F32" s="8"/>
      <c r="G32" s="8"/>
      <c r="H32" s="8"/>
    </row>
    <row r="33" spans="2:8" ht="15.75" customHeight="1" x14ac:dyDescent="0.25">
      <c r="B33" s="8"/>
      <c r="C33" s="8"/>
      <c r="D33" s="8"/>
      <c r="E33" s="8"/>
      <c r="F33" s="8"/>
      <c r="G33" s="8"/>
      <c r="H33" s="8"/>
    </row>
    <row r="34" spans="2:8" ht="15.75" customHeight="1" x14ac:dyDescent="0.25">
      <c r="B34" s="8"/>
      <c r="C34" s="8"/>
      <c r="D34" s="8"/>
      <c r="E34" s="8"/>
      <c r="F34" s="8"/>
      <c r="G34" s="8"/>
      <c r="H34" s="8"/>
    </row>
    <row r="36" spans="2:8" ht="15.75" customHeight="1" x14ac:dyDescent="0.25">
      <c r="B36" s="8"/>
      <c r="C36" s="8"/>
      <c r="D36" s="8"/>
      <c r="E36" s="8"/>
      <c r="F36" s="8"/>
      <c r="G36" s="8"/>
      <c r="H36" s="8"/>
    </row>
    <row r="37" spans="2:8" ht="15.75" customHeight="1" x14ac:dyDescent="0.25">
      <c r="B37" s="8"/>
      <c r="C37" s="8"/>
      <c r="D37" s="8"/>
      <c r="E37" s="8"/>
      <c r="F37" s="8"/>
      <c r="G37" s="8"/>
      <c r="H37" s="8"/>
    </row>
    <row r="38" spans="2:8" ht="15.75" customHeight="1" x14ac:dyDescent="0.25">
      <c r="B38" s="8"/>
      <c r="C38" s="8"/>
      <c r="D38" s="8"/>
      <c r="E38" s="8"/>
      <c r="F38" s="8"/>
      <c r="G38" s="8"/>
      <c r="H38" s="8"/>
    </row>
    <row r="39" spans="2:8" ht="15.75" customHeight="1" x14ac:dyDescent="0.25">
      <c r="B39" s="8"/>
      <c r="C39" s="8"/>
      <c r="D39" s="8"/>
      <c r="E39" s="8"/>
      <c r="F39" s="8"/>
      <c r="G39" s="8"/>
      <c r="H39" s="8"/>
    </row>
    <row r="40" spans="2:8" ht="15.75" customHeight="1" x14ac:dyDescent="0.25">
      <c r="B40" s="8"/>
      <c r="C40" s="8"/>
      <c r="D40" s="8"/>
      <c r="E40" s="8"/>
      <c r="F40" s="8"/>
      <c r="G40" s="8"/>
      <c r="H40" s="8"/>
    </row>
    <row r="41" spans="2:8" ht="15.75" customHeight="1" x14ac:dyDescent="0.25">
      <c r="B41" s="8"/>
      <c r="C41" s="8"/>
      <c r="D41" s="8"/>
      <c r="E41" s="8"/>
      <c r="F41" s="8"/>
      <c r="G41" s="8"/>
      <c r="H41" s="8"/>
    </row>
    <row r="42" spans="2:8" ht="15.75" customHeight="1" x14ac:dyDescent="0.25">
      <c r="B42" s="8"/>
      <c r="C42" s="8"/>
      <c r="D42" s="8"/>
      <c r="E42" s="8"/>
      <c r="F42" s="8"/>
      <c r="G42" s="8"/>
      <c r="H42" s="8"/>
    </row>
    <row r="43" spans="2:8" ht="15.75" customHeight="1" x14ac:dyDescent="0.25">
      <c r="B43" s="8"/>
      <c r="C43" s="8"/>
      <c r="D43" s="8"/>
      <c r="E43" s="8"/>
      <c r="F43" s="8"/>
      <c r="G43" s="8"/>
      <c r="H43" s="8"/>
    </row>
    <row r="44" spans="2:8" ht="15.75" customHeight="1" x14ac:dyDescent="0.25">
      <c r="B44" s="8"/>
      <c r="C44" s="8"/>
      <c r="D44" s="8"/>
      <c r="E44" s="8"/>
      <c r="F44" s="8"/>
      <c r="G44" s="8"/>
      <c r="H44" s="8"/>
    </row>
    <row r="45" spans="2:8" ht="15.75" customHeight="1" x14ac:dyDescent="0.25">
      <c r="B45" s="8"/>
      <c r="C45" s="8"/>
      <c r="D45" s="8"/>
      <c r="E45" s="8"/>
      <c r="F45" s="8"/>
      <c r="G45" s="8"/>
      <c r="H45" s="8"/>
    </row>
    <row r="46" spans="2:8" ht="15.75" customHeight="1" x14ac:dyDescent="0.25">
      <c r="B46" s="8"/>
      <c r="C46" s="8"/>
      <c r="D46" s="8"/>
      <c r="E46" s="8"/>
      <c r="F46" s="8"/>
      <c r="G46" s="8"/>
      <c r="H46" s="8"/>
    </row>
    <row r="47" spans="2:8" ht="15.75" customHeight="1" x14ac:dyDescent="0.25">
      <c r="B47" s="8"/>
      <c r="C47" s="8"/>
      <c r="D47" s="8"/>
      <c r="E47" s="8"/>
      <c r="F47" s="8"/>
      <c r="G47" s="8"/>
      <c r="H47" s="8"/>
    </row>
    <row r="48" spans="2:8" ht="15.75" customHeight="1" x14ac:dyDescent="0.25">
      <c r="B48" s="8"/>
      <c r="C48" s="8"/>
      <c r="D48" s="8"/>
      <c r="E48" s="8"/>
      <c r="F48" s="8"/>
      <c r="G48" s="8"/>
      <c r="H48" s="8"/>
    </row>
    <row r="49" spans="2:8" ht="15.75" customHeight="1" x14ac:dyDescent="0.25">
      <c r="B49" s="8"/>
      <c r="C49" s="8"/>
      <c r="D49" s="8"/>
      <c r="E49" s="8"/>
      <c r="F49" s="8"/>
      <c r="G49" s="8"/>
      <c r="H49" s="8"/>
    </row>
    <row r="50" spans="2:8" ht="15.75" customHeight="1" x14ac:dyDescent="0.25">
      <c r="B50" s="8"/>
      <c r="C50" s="8"/>
      <c r="D50" s="8"/>
      <c r="E50" s="8"/>
      <c r="F50" s="8"/>
      <c r="G50" s="8"/>
      <c r="H50" s="8"/>
    </row>
    <row r="51" spans="2:8" ht="15.75" customHeight="1" x14ac:dyDescent="0.25">
      <c r="B51" s="8"/>
      <c r="C51" s="8"/>
      <c r="D51" s="8"/>
      <c r="E51" s="8"/>
      <c r="F51" s="8"/>
      <c r="G51" s="8"/>
      <c r="H51" s="8"/>
    </row>
    <row r="52" spans="2:8" ht="15.75" customHeight="1" x14ac:dyDescent="0.25">
      <c r="B52" s="8"/>
      <c r="C52" s="8"/>
      <c r="D52" s="8"/>
      <c r="E52" s="8"/>
      <c r="F52" s="8"/>
      <c r="G52" s="8"/>
      <c r="H52" s="8"/>
    </row>
  </sheetData>
  <sheetProtection sheet="1" objects="1" scenarios="1"/>
  <mergeCells count="4">
    <mergeCell ref="F3:H3"/>
    <mergeCell ref="B3:D3"/>
    <mergeCell ref="B15:D15"/>
    <mergeCell ref="F15:H1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"/>
  <sheetViews>
    <sheetView workbookViewId="0">
      <selection activeCell="E13" sqref="E13"/>
    </sheetView>
  </sheetViews>
  <sheetFormatPr defaultColWidth="9.140625" defaultRowHeight="15.75" customHeight="1" x14ac:dyDescent="0.25"/>
  <cols>
    <col min="1" max="1" width="11.28515625" style="6" customWidth="1"/>
    <col min="2" max="2" width="24.28515625" style="6" customWidth="1"/>
    <col min="3" max="3" width="9.140625" style="6"/>
    <col min="4" max="4" width="9.140625" style="7"/>
    <col min="5" max="5" width="9.5703125" style="7" bestFit="1" customWidth="1"/>
    <col min="6" max="16384" width="9.140625" style="6"/>
  </cols>
  <sheetData>
    <row r="1" spans="1:7" ht="15.75" customHeight="1" x14ac:dyDescent="0.25">
      <c r="A1" s="28" t="s">
        <v>140</v>
      </c>
    </row>
    <row r="3" spans="1:7" ht="15.75" customHeight="1" x14ac:dyDescent="0.25">
      <c r="B3" s="23" t="s">
        <v>7</v>
      </c>
      <c r="C3" s="23" t="s">
        <v>8</v>
      </c>
      <c r="D3" s="24" t="s">
        <v>67</v>
      </c>
      <c r="E3" s="24" t="s">
        <v>66</v>
      </c>
    </row>
    <row r="4" spans="1:7" ht="15.75" customHeight="1" x14ac:dyDescent="0.25">
      <c r="B4" s="9" t="s">
        <v>68</v>
      </c>
      <c r="C4" s="9" t="s">
        <v>9</v>
      </c>
      <c r="D4" s="10" t="s">
        <v>69</v>
      </c>
      <c r="E4" s="10" t="s">
        <v>70</v>
      </c>
    </row>
    <row r="5" spans="1:7" ht="15.75" customHeight="1" x14ac:dyDescent="0.25">
      <c r="B5" s="9" t="s">
        <v>71</v>
      </c>
      <c r="C5" s="9" t="s">
        <v>72</v>
      </c>
      <c r="D5" s="21">
        <v>36</v>
      </c>
      <c r="E5" s="21">
        <v>21</v>
      </c>
    </row>
    <row r="6" spans="1:7" ht="15.75" customHeight="1" x14ac:dyDescent="0.25">
      <c r="B6" s="9" t="s">
        <v>76</v>
      </c>
      <c r="C6" s="9" t="s">
        <v>72</v>
      </c>
      <c r="D6" s="21">
        <v>8</v>
      </c>
      <c r="E6" s="21">
        <v>0</v>
      </c>
    </row>
    <row r="7" spans="1:7" ht="15.75" customHeight="1" x14ac:dyDescent="0.25">
      <c r="B7" s="9" t="s">
        <v>73</v>
      </c>
      <c r="C7" s="9" t="s">
        <v>74</v>
      </c>
      <c r="D7" s="21">
        <v>24</v>
      </c>
      <c r="E7" s="21">
        <v>12</v>
      </c>
    </row>
    <row r="8" spans="1:7" ht="15.75" customHeight="1" x14ac:dyDescent="0.25">
      <c r="B8" s="9" t="s">
        <v>75</v>
      </c>
      <c r="C8" s="9" t="s">
        <v>72</v>
      </c>
      <c r="D8" s="30">
        <f>(D5+D6)*D7</f>
        <v>1056</v>
      </c>
      <c r="E8" s="30">
        <f>(E5+E6)*E7</f>
        <v>252</v>
      </c>
    </row>
    <row r="9" spans="1:7" ht="15.75" customHeight="1" x14ac:dyDescent="0.25">
      <c r="B9" s="9" t="s">
        <v>55</v>
      </c>
      <c r="C9" s="9" t="s">
        <v>77</v>
      </c>
      <c r="D9" s="21">
        <v>250</v>
      </c>
      <c r="E9" s="21">
        <v>250</v>
      </c>
    </row>
    <row r="10" spans="1:7" ht="15.75" customHeight="1" x14ac:dyDescent="0.25">
      <c r="B10" s="34" t="s">
        <v>78</v>
      </c>
      <c r="C10" s="34" t="s">
        <v>56</v>
      </c>
      <c r="D10" s="35">
        <f>D8*D9/1000</f>
        <v>264</v>
      </c>
      <c r="E10" s="35">
        <f>E8*E9/1000</f>
        <v>63</v>
      </c>
      <c r="G10" s="14"/>
    </row>
    <row r="11" spans="1:7" ht="15.75" customHeight="1" x14ac:dyDescent="0.25">
      <c r="B11" s="34" t="s">
        <v>79</v>
      </c>
      <c r="C11" s="34" t="s">
        <v>56</v>
      </c>
      <c r="D11" s="41"/>
      <c r="E11" s="35">
        <f>D10-E10</f>
        <v>201</v>
      </c>
    </row>
    <row r="12" spans="1:7" ht="15.75" customHeight="1" x14ac:dyDescent="0.25">
      <c r="B12" s="34" t="s">
        <v>57</v>
      </c>
      <c r="C12" s="34" t="s">
        <v>58</v>
      </c>
      <c r="D12" s="41"/>
      <c r="E12" s="37">
        <f>E11*5.48</f>
        <v>1101.48</v>
      </c>
    </row>
    <row r="13" spans="1:7" ht="15.75" customHeight="1" x14ac:dyDescent="0.25">
      <c r="B13" s="34"/>
      <c r="C13" s="34" t="s">
        <v>59</v>
      </c>
      <c r="D13" s="41"/>
      <c r="E13" s="42">
        <f>E11*0.68</f>
        <v>136.68</v>
      </c>
    </row>
    <row r="14" spans="1:7" ht="15.75" customHeight="1" x14ac:dyDescent="0.25">
      <c r="B14" s="34" t="s">
        <v>80</v>
      </c>
      <c r="C14" s="34" t="s">
        <v>81</v>
      </c>
      <c r="D14" s="41"/>
      <c r="E14" s="42">
        <f>20*E7</f>
        <v>240</v>
      </c>
    </row>
    <row r="15" spans="1:7" ht="15.75" customHeight="1" x14ac:dyDescent="0.25">
      <c r="B15" s="34" t="s">
        <v>82</v>
      </c>
      <c r="C15" s="34" t="s">
        <v>61</v>
      </c>
      <c r="D15" s="41"/>
      <c r="E15" s="39">
        <f>E14/E13</f>
        <v>1.7559262510974538</v>
      </c>
    </row>
  </sheetData>
  <sheetProtection sheet="1" objects="1" scenarios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5"/>
  <sheetViews>
    <sheetView workbookViewId="0">
      <selection activeCell="E21" sqref="E21:E22"/>
    </sheetView>
  </sheetViews>
  <sheetFormatPr defaultColWidth="9.140625" defaultRowHeight="12.75" x14ac:dyDescent="0.25"/>
  <cols>
    <col min="1" max="1" width="34.42578125" style="1" customWidth="1"/>
    <col min="2" max="14" width="6.28515625" style="3" customWidth="1"/>
    <col min="15" max="15" width="9.140625" style="1"/>
    <col min="16" max="16" width="39.85546875" style="1" customWidth="1"/>
    <col min="17" max="17" width="13.5703125" style="1" bestFit="1" customWidth="1"/>
    <col min="18" max="18" width="10" style="2" customWidth="1"/>
    <col min="19" max="19" width="15.42578125" style="2" bestFit="1" customWidth="1"/>
    <col min="20" max="20" width="9.140625" style="1"/>
    <col min="21" max="21" width="23.85546875" style="1" bestFit="1" customWidth="1"/>
    <col min="22" max="22" width="13.5703125" style="1" bestFit="1" customWidth="1"/>
    <col min="23" max="23" width="9.140625" style="1"/>
    <col min="24" max="24" width="9.140625" style="2"/>
    <col min="25" max="25" width="49.85546875" style="1" bestFit="1" customWidth="1"/>
    <col min="26" max="26" width="9.140625" style="2"/>
    <col min="27" max="16384" width="9.140625" style="1"/>
  </cols>
  <sheetData>
    <row r="1" spans="1:27" x14ac:dyDescent="0.25">
      <c r="A1" s="38" t="s">
        <v>142</v>
      </c>
    </row>
    <row r="3" spans="1:27" ht="15.75" customHeight="1" x14ac:dyDescent="0.25">
      <c r="A3" s="93" t="s">
        <v>115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6"/>
      <c r="P3" s="6"/>
      <c r="Q3" s="6"/>
      <c r="R3" s="7"/>
      <c r="S3" s="7"/>
      <c r="T3" s="6"/>
      <c r="U3" s="6"/>
      <c r="V3"/>
      <c r="W3"/>
      <c r="X3"/>
      <c r="Y3"/>
      <c r="Z3"/>
      <c r="AA3"/>
    </row>
    <row r="4" spans="1:27" ht="15.75" customHeight="1" x14ac:dyDescent="0.25">
      <c r="A4" s="17"/>
      <c r="B4" s="31" t="s">
        <v>91</v>
      </c>
      <c r="C4" s="31" t="s">
        <v>92</v>
      </c>
      <c r="D4" s="31" t="s">
        <v>93</v>
      </c>
      <c r="E4" s="31" t="s">
        <v>94</v>
      </c>
      <c r="F4" s="31" t="s">
        <v>95</v>
      </c>
      <c r="G4" s="31" t="s">
        <v>96</v>
      </c>
      <c r="H4" s="31" t="s">
        <v>97</v>
      </c>
      <c r="I4" s="31" t="s">
        <v>98</v>
      </c>
      <c r="J4" s="31" t="s">
        <v>99</v>
      </c>
      <c r="K4" s="31" t="s">
        <v>100</v>
      </c>
      <c r="L4" s="31" t="s">
        <v>101</v>
      </c>
      <c r="M4" s="31" t="s">
        <v>102</v>
      </c>
      <c r="N4" s="31" t="s">
        <v>103</v>
      </c>
      <c r="O4" s="6"/>
      <c r="P4" s="32" t="s">
        <v>7</v>
      </c>
      <c r="Q4" s="32" t="s">
        <v>8</v>
      </c>
      <c r="R4" s="24" t="s">
        <v>116</v>
      </c>
      <c r="S4" s="24" t="s">
        <v>117</v>
      </c>
      <c r="T4" s="6"/>
      <c r="U4" s="6"/>
      <c r="V4"/>
      <c r="W4"/>
      <c r="X4"/>
      <c r="Y4"/>
      <c r="Z4"/>
      <c r="AA4"/>
    </row>
    <row r="5" spans="1:27" ht="15.75" customHeight="1" x14ac:dyDescent="0.25">
      <c r="A5" s="33" t="s">
        <v>105</v>
      </c>
      <c r="B5" s="17">
        <v>5.25</v>
      </c>
      <c r="C5" s="17">
        <v>4.99</v>
      </c>
      <c r="D5" s="17">
        <v>5.05</v>
      </c>
      <c r="E5" s="17">
        <v>4.91</v>
      </c>
      <c r="F5" s="17">
        <v>4.3899999999999997</v>
      </c>
      <c r="G5" s="17">
        <v>4.1900000000000004</v>
      </c>
      <c r="H5" s="17">
        <v>4.12</v>
      </c>
      <c r="I5" s="17">
        <v>4.67</v>
      </c>
      <c r="J5" s="17">
        <v>5.21</v>
      </c>
      <c r="K5" s="17">
        <v>5.67</v>
      </c>
      <c r="L5" s="17">
        <v>5.64</v>
      </c>
      <c r="M5" s="17">
        <v>5.35</v>
      </c>
      <c r="N5" s="18">
        <f>AVERAGE(B5:M5)</f>
        <v>4.953333333333334</v>
      </c>
      <c r="O5" s="6"/>
      <c r="P5" s="9" t="s">
        <v>107</v>
      </c>
      <c r="Q5" s="9" t="s">
        <v>106</v>
      </c>
      <c r="R5" s="21">
        <v>160</v>
      </c>
      <c r="S5" s="21">
        <v>160</v>
      </c>
      <c r="T5" s="6"/>
      <c r="U5" s="6"/>
      <c r="V5"/>
      <c r="W5"/>
      <c r="X5"/>
      <c r="Y5"/>
      <c r="Z5"/>
      <c r="AA5"/>
    </row>
    <row r="6" spans="1:27" ht="15.75" customHeight="1" x14ac:dyDescent="0.25">
      <c r="A6" s="9" t="s">
        <v>104</v>
      </c>
      <c r="B6" s="18">
        <f>$N$5</f>
        <v>4.953333333333334</v>
      </c>
      <c r="C6" s="18">
        <f t="shared" ref="C6:M6" si="0">$N$5</f>
        <v>4.953333333333334</v>
      </c>
      <c r="D6" s="18">
        <f t="shared" si="0"/>
        <v>4.953333333333334</v>
      </c>
      <c r="E6" s="18">
        <f t="shared" si="0"/>
        <v>4.953333333333334</v>
      </c>
      <c r="F6" s="18">
        <f t="shared" si="0"/>
        <v>4.953333333333334</v>
      </c>
      <c r="G6" s="18">
        <f t="shared" si="0"/>
        <v>4.953333333333334</v>
      </c>
      <c r="H6" s="18">
        <f t="shared" si="0"/>
        <v>4.953333333333334</v>
      </c>
      <c r="I6" s="18">
        <f t="shared" si="0"/>
        <v>4.953333333333334</v>
      </c>
      <c r="J6" s="18">
        <f t="shared" si="0"/>
        <v>4.953333333333334</v>
      </c>
      <c r="K6" s="18">
        <f t="shared" si="0"/>
        <v>4.953333333333334</v>
      </c>
      <c r="L6" s="18">
        <f t="shared" si="0"/>
        <v>4.953333333333334</v>
      </c>
      <c r="M6" s="18">
        <f t="shared" si="0"/>
        <v>4.953333333333334</v>
      </c>
      <c r="N6" s="17"/>
      <c r="O6" s="6"/>
      <c r="P6" s="9" t="s">
        <v>108</v>
      </c>
      <c r="Q6" s="9" t="s">
        <v>106</v>
      </c>
      <c r="R6" s="21">
        <v>136</v>
      </c>
      <c r="S6" s="21">
        <v>136</v>
      </c>
      <c r="T6" s="6"/>
      <c r="U6" s="6"/>
      <c r="V6"/>
      <c r="W6"/>
      <c r="X6"/>
      <c r="Y6"/>
      <c r="Z6"/>
      <c r="AA6"/>
    </row>
    <row r="7" spans="1:27" ht="15.75" customHeight="1" x14ac:dyDescent="0.25">
      <c r="A7" s="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6"/>
      <c r="P7" s="34" t="s">
        <v>118</v>
      </c>
      <c r="Q7" s="34" t="s">
        <v>109</v>
      </c>
      <c r="R7" s="35">
        <f>R6/10</f>
        <v>13.6</v>
      </c>
      <c r="S7" s="36">
        <f>S6/6.24</f>
        <v>21.794871794871796</v>
      </c>
      <c r="T7" s="6"/>
      <c r="U7" s="16"/>
      <c r="V7"/>
      <c r="W7"/>
      <c r="X7"/>
      <c r="Y7"/>
      <c r="Z7"/>
      <c r="AA7"/>
    </row>
    <row r="8" spans="1:27" ht="15.75" customHeight="1" x14ac:dyDescent="0.25">
      <c r="A8" s="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6"/>
      <c r="P8" s="34" t="s">
        <v>119</v>
      </c>
      <c r="Q8" s="34" t="s">
        <v>141</v>
      </c>
      <c r="R8" s="35">
        <v>4.95</v>
      </c>
      <c r="S8" s="35">
        <v>4.95</v>
      </c>
      <c r="T8" s="6"/>
      <c r="U8" s="6"/>
      <c r="V8"/>
      <c r="W8"/>
      <c r="X8"/>
      <c r="Y8"/>
      <c r="Z8"/>
      <c r="AA8"/>
    </row>
    <row r="9" spans="1:27" ht="15.75" customHeight="1" x14ac:dyDescent="0.25">
      <c r="A9" s="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6"/>
      <c r="P9" s="34" t="s">
        <v>120</v>
      </c>
      <c r="Q9" s="34" t="s">
        <v>121</v>
      </c>
      <c r="R9" s="37">
        <v>10</v>
      </c>
      <c r="S9" s="37">
        <v>10</v>
      </c>
      <c r="T9" s="6"/>
      <c r="U9" s="6"/>
      <c r="V9"/>
      <c r="W9"/>
      <c r="X9"/>
      <c r="Y9"/>
      <c r="Z9"/>
      <c r="AA9"/>
    </row>
    <row r="10" spans="1:27" ht="15.75" customHeight="1" x14ac:dyDescent="0.25">
      <c r="A10" s="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  <c r="P10" s="34" t="s">
        <v>122</v>
      </c>
      <c r="Q10" s="34" t="s">
        <v>86</v>
      </c>
      <c r="R10" s="37">
        <f>R8*365*R7*(1-$Z$15)</f>
        <v>24571.8</v>
      </c>
      <c r="S10" s="37">
        <f>S8*365*S7*(1-$Z$15)</f>
        <v>39377.884615384617</v>
      </c>
      <c r="T10" s="20"/>
      <c r="U10" s="6"/>
      <c r="V10"/>
      <c r="W10"/>
      <c r="X10"/>
      <c r="Y10"/>
      <c r="Z10"/>
      <c r="AA10"/>
    </row>
    <row r="11" spans="1:27" ht="15.75" customHeight="1" x14ac:dyDescent="0.25">
      <c r="A11" s="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6"/>
      <c r="P11" s="9" t="s">
        <v>110</v>
      </c>
      <c r="Q11" s="9" t="s">
        <v>46</v>
      </c>
      <c r="R11" s="26">
        <v>2.65</v>
      </c>
      <c r="S11" s="26">
        <f>R11</f>
        <v>2.65</v>
      </c>
      <c r="T11" s="6"/>
      <c r="U11"/>
      <c r="V11"/>
      <c r="W11"/>
      <c r="X11"/>
      <c r="Y11"/>
      <c r="Z11"/>
      <c r="AA11"/>
    </row>
    <row r="12" spans="1:27" ht="15.75" customHeight="1" x14ac:dyDescent="0.25">
      <c r="A12" s="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6"/>
      <c r="P12" s="94" t="s">
        <v>57</v>
      </c>
      <c r="Q12" s="34" t="s">
        <v>111</v>
      </c>
      <c r="R12" s="37">
        <f>R10*R11</f>
        <v>65115.27</v>
      </c>
      <c r="S12" s="37">
        <f>S10*S11</f>
        <v>104351.39423076923</v>
      </c>
      <c r="T12" s="6"/>
      <c r="U12" s="6"/>
      <c r="V12"/>
      <c r="W12"/>
      <c r="X12"/>
      <c r="Y12"/>
      <c r="Z12"/>
      <c r="AA12"/>
    </row>
    <row r="13" spans="1:27" ht="15.75" customHeight="1" x14ac:dyDescent="0.25">
      <c r="A13" s="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6"/>
      <c r="P13" s="95"/>
      <c r="Q13" s="34" t="s">
        <v>89</v>
      </c>
      <c r="R13" s="37">
        <f>R12/8</f>
        <v>8139.4087499999996</v>
      </c>
      <c r="S13" s="37">
        <f>S12/8</f>
        <v>13043.924278846154</v>
      </c>
      <c r="T13" s="6"/>
      <c r="U13" s="6"/>
      <c r="V13"/>
      <c r="W13"/>
      <c r="X13"/>
      <c r="Y13"/>
      <c r="Z13"/>
      <c r="AA13"/>
    </row>
    <row r="14" spans="1:27" ht="15.75" customHeight="1" x14ac:dyDescent="0.25">
      <c r="A14" s="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6"/>
      <c r="P14" s="9" t="s">
        <v>123</v>
      </c>
      <c r="Q14" s="9" t="s">
        <v>81</v>
      </c>
      <c r="R14" s="21">
        <v>12716</v>
      </c>
      <c r="S14" s="21">
        <v>20346</v>
      </c>
      <c r="T14" s="14"/>
      <c r="U14" s="6"/>
      <c r="V14"/>
      <c r="W14"/>
      <c r="X14"/>
      <c r="Y14"/>
      <c r="Z14"/>
      <c r="AA14"/>
    </row>
    <row r="15" spans="1:27" ht="15.75" customHeight="1" x14ac:dyDescent="0.25">
      <c r="A15" s="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6"/>
      <c r="P15" s="9" t="s">
        <v>124</v>
      </c>
      <c r="Q15" s="9" t="s">
        <v>81</v>
      </c>
      <c r="R15" s="21">
        <v>15558</v>
      </c>
      <c r="S15" s="21">
        <v>15558</v>
      </c>
      <c r="T15" s="6"/>
      <c r="U15" s="6"/>
      <c r="V15"/>
      <c r="W15"/>
      <c r="X15"/>
      <c r="Y15"/>
      <c r="Z15"/>
      <c r="AA15"/>
    </row>
    <row r="16" spans="1:27" ht="15.75" customHeight="1" x14ac:dyDescent="0.25">
      <c r="A16" s="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6"/>
      <c r="P16" s="9" t="s">
        <v>125</v>
      </c>
      <c r="Q16" s="9" t="s">
        <v>81</v>
      </c>
      <c r="R16" s="21">
        <v>4787</v>
      </c>
      <c r="S16" s="21">
        <v>4787</v>
      </c>
      <c r="T16" s="6"/>
      <c r="U16" s="6"/>
      <c r="V16"/>
      <c r="W16"/>
      <c r="X16"/>
      <c r="Y16"/>
      <c r="Z16"/>
      <c r="AA16"/>
    </row>
    <row r="17" spans="1:27" ht="15.75" customHeight="1" x14ac:dyDescent="0.25">
      <c r="A17" s="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6"/>
      <c r="P17" s="9" t="s">
        <v>126</v>
      </c>
      <c r="Q17" s="9" t="s">
        <v>81</v>
      </c>
      <c r="R17" s="21">
        <v>18370</v>
      </c>
      <c r="S17" s="21">
        <v>26755</v>
      </c>
      <c r="T17" s="6"/>
      <c r="U17" s="6"/>
      <c r="V17"/>
      <c r="W17"/>
      <c r="X17"/>
      <c r="Y17"/>
      <c r="Z17"/>
      <c r="AA17"/>
    </row>
    <row r="18" spans="1:27" ht="15.75" customHeight="1" x14ac:dyDescent="0.25">
      <c r="A18" s="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6"/>
      <c r="P18" s="9" t="s">
        <v>84</v>
      </c>
      <c r="Q18" s="9" t="s">
        <v>81</v>
      </c>
      <c r="R18" s="30">
        <f>SUM(R14:R17)</f>
        <v>51431</v>
      </c>
      <c r="S18" s="30">
        <f>SUM(S14:S17)</f>
        <v>67446</v>
      </c>
      <c r="T18" s="6"/>
      <c r="U18" s="6"/>
      <c r="V18" s="6"/>
      <c r="W18" s="6"/>
      <c r="X18" s="7"/>
      <c r="Y18" s="6"/>
      <c r="Z18" s="7"/>
    </row>
    <row r="19" spans="1:27" ht="15.75" customHeight="1" x14ac:dyDescent="0.25">
      <c r="A19" s="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6"/>
      <c r="P19" s="9" t="s">
        <v>83</v>
      </c>
      <c r="Q19" s="9" t="s">
        <v>36</v>
      </c>
      <c r="R19" s="21">
        <v>10</v>
      </c>
      <c r="S19" s="21">
        <v>10</v>
      </c>
      <c r="T19" s="6"/>
      <c r="U19" s="6"/>
      <c r="V19" s="6"/>
      <c r="W19" s="6"/>
      <c r="X19" s="7"/>
      <c r="Y19" s="6"/>
      <c r="Z19" s="7"/>
    </row>
    <row r="20" spans="1:27" ht="15.75" customHeight="1" x14ac:dyDescent="0.25">
      <c r="A20" s="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6"/>
      <c r="P20" s="9" t="s">
        <v>85</v>
      </c>
      <c r="Q20" s="9" t="s">
        <v>36</v>
      </c>
      <c r="R20" s="21">
        <v>15</v>
      </c>
      <c r="S20" s="21">
        <v>15</v>
      </c>
      <c r="T20" s="6"/>
      <c r="U20" s="6"/>
      <c r="V20" s="6"/>
      <c r="W20" s="6"/>
      <c r="X20" s="7"/>
      <c r="Y20" s="19"/>
      <c r="Z20" s="7"/>
    </row>
    <row r="21" spans="1:27" ht="15.75" customHeight="1" x14ac:dyDescent="0.25">
      <c r="A21" s="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6"/>
      <c r="P21" s="34" t="s">
        <v>112</v>
      </c>
      <c r="Q21" s="34" t="s">
        <v>81</v>
      </c>
      <c r="R21" s="37">
        <f>(R18*(1+(R19+R20)/100))+(5000/8)</f>
        <v>64913.75</v>
      </c>
      <c r="S21" s="37">
        <f>(S18*(1+(S19+S20)/100))+(5000/8)</f>
        <v>84932.5</v>
      </c>
      <c r="T21" s="6"/>
      <c r="U21" s="6"/>
      <c r="V21" s="6"/>
      <c r="W21" s="6"/>
      <c r="X21" s="7"/>
      <c r="Y21" s="6"/>
      <c r="Z21" s="7"/>
    </row>
    <row r="22" spans="1:27" ht="15.75" customHeight="1" x14ac:dyDescent="0.25">
      <c r="A22" s="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6"/>
      <c r="P22" s="34" t="s">
        <v>60</v>
      </c>
      <c r="Q22" s="34" t="s">
        <v>61</v>
      </c>
      <c r="R22" s="36">
        <f>R21/R13</f>
        <v>7.975241444902248</v>
      </c>
      <c r="S22" s="36">
        <f>S21/S13</f>
        <v>6.5112690157009254</v>
      </c>
      <c r="T22" s="6"/>
      <c r="U22" s="6"/>
      <c r="V22" s="6"/>
      <c r="W22" s="6"/>
      <c r="X22" s="7"/>
      <c r="Y22" s="6"/>
      <c r="Z22" s="7"/>
    </row>
    <row r="23" spans="1:27" ht="15.75" customHeight="1" x14ac:dyDescent="0.25">
      <c r="R23" s="5"/>
      <c r="S23" s="5"/>
      <c r="Y23" s="4"/>
    </row>
    <row r="26" spans="1:27" x14ac:dyDescent="0.25">
      <c r="Y26" s="4"/>
    </row>
    <row r="29" spans="1:27" x14ac:dyDescent="0.25">
      <c r="Y29" s="4"/>
    </row>
    <row r="32" spans="1:27" x14ac:dyDescent="0.25">
      <c r="Y32" s="4"/>
    </row>
    <row r="35" spans="25:25" x14ac:dyDescent="0.25">
      <c r="Y35" s="4"/>
    </row>
  </sheetData>
  <sheetProtection sheet="1" objects="1" scenarios="1"/>
  <mergeCells count="2">
    <mergeCell ref="P12:P13"/>
    <mergeCell ref="A3:N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"/>
  <sheetViews>
    <sheetView zoomScaleNormal="100" workbookViewId="0">
      <selection activeCell="B4" sqref="B4"/>
    </sheetView>
  </sheetViews>
  <sheetFormatPr defaultRowHeight="12.75" x14ac:dyDescent="0.25"/>
  <cols>
    <col min="1" max="1" width="29.140625" style="60" bestFit="1" customWidth="1"/>
    <col min="2" max="5" width="14.28515625" style="1" customWidth="1"/>
    <col min="6" max="16384" width="9.140625" style="1"/>
  </cols>
  <sheetData>
    <row r="1" spans="1:4" x14ac:dyDescent="0.25">
      <c r="A1" s="59" t="s">
        <v>144</v>
      </c>
    </row>
    <row r="3" spans="1:4" ht="15.75" x14ac:dyDescent="0.25">
      <c r="A3" s="58" t="s">
        <v>90</v>
      </c>
      <c r="B3" s="63">
        <v>0.66</v>
      </c>
      <c r="C3" s="3" t="s">
        <v>146</v>
      </c>
      <c r="D3" s="57" t="s">
        <v>88</v>
      </c>
    </row>
    <row r="4" spans="1:4" x14ac:dyDescent="0.25">
      <c r="A4" s="61" t="s">
        <v>145</v>
      </c>
      <c r="B4" s="63">
        <f>40557</f>
        <v>40557</v>
      </c>
    </row>
    <row r="5" spans="1:4" x14ac:dyDescent="0.25">
      <c r="A5" s="58" t="s">
        <v>127</v>
      </c>
      <c r="B5" s="62">
        <f>B3*B4/1000</f>
        <v>26.767620000000001</v>
      </c>
    </row>
  </sheetData>
  <sheetProtection algorithmName="SHA-1" hashValue="8zYq+n9rLkgmPfelF+sGpW65BpY=" saltValue="7aZLemQ3hP8tH0m/j2Omnw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262C-C843-4727-A6D2-4A6867F63B9E}">
  <dimension ref="A1:N17"/>
  <sheetViews>
    <sheetView zoomScaleNormal="100" workbookViewId="0">
      <selection activeCell="I16" sqref="I16"/>
    </sheetView>
  </sheetViews>
  <sheetFormatPr defaultRowHeight="15" x14ac:dyDescent="0.25"/>
  <cols>
    <col min="1" max="1" width="18.140625" style="8" customWidth="1"/>
    <col min="2" max="2" width="14.85546875" style="8" bestFit="1" customWidth="1"/>
    <col min="3" max="3" width="14.140625" style="8" customWidth="1"/>
    <col min="4" max="4" width="20.140625" style="8" bestFit="1" customWidth="1"/>
    <col min="5" max="5" width="21" style="8" customWidth="1"/>
    <col min="6" max="6" width="20.42578125" style="8" bestFit="1" customWidth="1"/>
    <col min="7" max="7" width="9.140625" style="8"/>
    <col min="8" max="8" width="25.28515625" style="8" bestFit="1" customWidth="1"/>
    <col min="9" max="9" width="9.42578125" style="8" bestFit="1" customWidth="1"/>
    <col min="10" max="11" width="9.28515625" style="8" bestFit="1" customWidth="1"/>
    <col min="12" max="12" width="11" style="8" bestFit="1" customWidth="1"/>
    <col min="13" max="13" width="10.7109375" style="8" customWidth="1"/>
    <col min="14" max="16384" width="9.140625" style="8"/>
  </cols>
  <sheetData>
    <row r="1" spans="1:14" x14ac:dyDescent="0.25">
      <c r="A1" s="56" t="s">
        <v>143</v>
      </c>
    </row>
    <row r="3" spans="1:14" x14ac:dyDescent="0.25">
      <c r="B3" s="96" t="s">
        <v>143</v>
      </c>
      <c r="C3" s="96"/>
      <c r="D3" s="96"/>
      <c r="E3" s="96"/>
      <c r="F3" s="96"/>
      <c r="H3" s="51" t="s">
        <v>87</v>
      </c>
      <c r="I3" s="75">
        <f>-D6/D7</f>
        <v>2.6666666666666665</v>
      </c>
      <c r="J3" s="51" t="s">
        <v>135</v>
      </c>
    </row>
    <row r="4" spans="1:14" x14ac:dyDescent="0.25">
      <c r="B4" s="43" t="s">
        <v>44</v>
      </c>
      <c r="C4" s="44">
        <v>0.1</v>
      </c>
      <c r="D4" s="43" t="s">
        <v>128</v>
      </c>
      <c r="E4" s="45">
        <v>10</v>
      </c>
      <c r="F4" s="43" t="s">
        <v>129</v>
      </c>
      <c r="H4" s="51" t="s">
        <v>134</v>
      </c>
      <c r="I4" s="53">
        <f>E17</f>
        <v>26084.253292785103</v>
      </c>
      <c r="J4" s="51" t="s">
        <v>164</v>
      </c>
      <c r="L4" s="69">
        <f>SUM(E6:E15)</f>
        <v>23192.678622063617</v>
      </c>
      <c r="M4" s="69">
        <f>-E6-L4</f>
        <v>-3192.6786220636168</v>
      </c>
      <c r="N4" s="69">
        <f>M4/E16</f>
        <v>-1.1041314804666624</v>
      </c>
    </row>
    <row r="5" spans="1:14" x14ac:dyDescent="0.25">
      <c r="B5" s="46" t="s">
        <v>130</v>
      </c>
      <c r="C5" s="46" t="s">
        <v>131</v>
      </c>
      <c r="D5" s="46" t="s">
        <v>132</v>
      </c>
      <c r="E5" s="46" t="s">
        <v>133</v>
      </c>
      <c r="F5" s="46" t="s">
        <v>134</v>
      </c>
      <c r="H5" s="51" t="s">
        <v>136</v>
      </c>
      <c r="I5" s="54">
        <f>IRR(D6:D16, 0)</f>
        <v>0.35733279519979955</v>
      </c>
      <c r="J5" s="51"/>
    </row>
    <row r="6" spans="1:14" x14ac:dyDescent="0.25">
      <c r="B6" s="47">
        <v>0</v>
      </c>
      <c r="C6" s="52">
        <f t="shared" ref="C6:C16" si="0">1/(1+$C$4)^B6</f>
        <v>1</v>
      </c>
      <c r="D6" s="48">
        <v>-20000</v>
      </c>
      <c r="E6" s="77">
        <f>D6</f>
        <v>-20000</v>
      </c>
      <c r="F6" s="77">
        <f>E6</f>
        <v>-20000</v>
      </c>
      <c r="H6" s="51" t="s">
        <v>137</v>
      </c>
      <c r="I6" s="55">
        <f>1/I3</f>
        <v>0.375</v>
      </c>
      <c r="J6" s="55"/>
    </row>
    <row r="7" spans="1:14" x14ac:dyDescent="0.25">
      <c r="B7" s="47">
        <v>1</v>
      </c>
      <c r="C7" s="52">
        <f t="shared" si="0"/>
        <v>0.90909090909090906</v>
      </c>
      <c r="D7" s="49">
        <v>7500</v>
      </c>
      <c r="E7" s="77">
        <f>D7*C7</f>
        <v>6818.181818181818</v>
      </c>
      <c r="F7" s="77">
        <f t="shared" ref="F7:F16" si="1">F6+E7</f>
        <v>-13181.818181818182</v>
      </c>
    </row>
    <row r="8" spans="1:14" x14ac:dyDescent="0.25">
      <c r="B8" s="47">
        <v>2</v>
      </c>
      <c r="C8" s="52">
        <f t="shared" si="0"/>
        <v>0.82644628099173545</v>
      </c>
      <c r="D8" s="49">
        <v>7500</v>
      </c>
      <c r="E8" s="77">
        <f t="shared" ref="E8:E16" si="2">D8*C8</f>
        <v>6198.3471074380159</v>
      </c>
      <c r="F8" s="77">
        <f t="shared" si="1"/>
        <v>-6983.4710743801661</v>
      </c>
      <c r="I8" s="50"/>
    </row>
    <row r="9" spans="1:14" x14ac:dyDescent="0.25">
      <c r="B9" s="47">
        <v>3</v>
      </c>
      <c r="C9" s="52">
        <f t="shared" si="0"/>
        <v>0.75131480090157754</v>
      </c>
      <c r="D9" s="49">
        <v>7500</v>
      </c>
      <c r="E9" s="77">
        <f t="shared" si="2"/>
        <v>5634.861006761832</v>
      </c>
      <c r="F9" s="77">
        <f t="shared" si="1"/>
        <v>-1348.6100676183341</v>
      </c>
    </row>
    <row r="10" spans="1:14" x14ac:dyDescent="0.25">
      <c r="B10" s="47">
        <v>4</v>
      </c>
      <c r="C10" s="52">
        <f t="shared" si="0"/>
        <v>0.68301345536507052</v>
      </c>
      <c r="D10" s="49">
        <v>7500</v>
      </c>
      <c r="E10" s="77">
        <f t="shared" si="2"/>
        <v>5122.6009152380293</v>
      </c>
      <c r="F10" s="77">
        <f t="shared" si="1"/>
        <v>3773.9908476196952</v>
      </c>
    </row>
    <row r="11" spans="1:14" x14ac:dyDescent="0.25">
      <c r="B11" s="47">
        <v>5</v>
      </c>
      <c r="C11" s="52">
        <f t="shared" si="0"/>
        <v>0.62092132305915493</v>
      </c>
      <c r="D11" s="49">
        <v>7500</v>
      </c>
      <c r="E11" s="77">
        <f t="shared" si="2"/>
        <v>4656.9099229436615</v>
      </c>
      <c r="F11" s="77">
        <f t="shared" si="1"/>
        <v>8430.9007705633558</v>
      </c>
    </row>
    <row r="12" spans="1:14" x14ac:dyDescent="0.25">
      <c r="B12" s="47">
        <v>6</v>
      </c>
      <c r="C12" s="52">
        <f t="shared" si="0"/>
        <v>0.56447393005377722</v>
      </c>
      <c r="D12" s="49">
        <v>7500</v>
      </c>
      <c r="E12" s="77">
        <f t="shared" si="2"/>
        <v>4233.554475403329</v>
      </c>
      <c r="F12" s="77">
        <f t="shared" si="1"/>
        <v>12664.455245966685</v>
      </c>
    </row>
    <row r="13" spans="1:14" x14ac:dyDescent="0.25">
      <c r="B13" s="47">
        <v>7</v>
      </c>
      <c r="C13" s="52">
        <f t="shared" si="0"/>
        <v>0.51315811823070645</v>
      </c>
      <c r="D13" s="49">
        <v>7500</v>
      </c>
      <c r="E13" s="77">
        <f t="shared" si="2"/>
        <v>3848.6858867302985</v>
      </c>
      <c r="F13" s="77">
        <f t="shared" si="1"/>
        <v>16513.141132696983</v>
      </c>
    </row>
    <row r="14" spans="1:14" x14ac:dyDescent="0.25">
      <c r="B14" s="47">
        <v>8</v>
      </c>
      <c r="C14" s="52">
        <f t="shared" si="0"/>
        <v>0.46650738020973315</v>
      </c>
      <c r="D14" s="49">
        <v>7500</v>
      </c>
      <c r="E14" s="77">
        <f t="shared" si="2"/>
        <v>3498.8053515729985</v>
      </c>
      <c r="F14" s="77">
        <f t="shared" si="1"/>
        <v>20011.946484269982</v>
      </c>
    </row>
    <row r="15" spans="1:14" x14ac:dyDescent="0.25">
      <c r="B15" s="67">
        <v>9</v>
      </c>
      <c r="C15" s="68">
        <f t="shared" si="0"/>
        <v>0.42409761837248466</v>
      </c>
      <c r="D15" s="49">
        <v>7500</v>
      </c>
      <c r="E15" s="77">
        <f t="shared" si="2"/>
        <v>3180.732137793635</v>
      </c>
      <c r="F15" s="77">
        <f t="shared" si="1"/>
        <v>23192.678622063617</v>
      </c>
    </row>
    <row r="16" spans="1:14" x14ac:dyDescent="0.25">
      <c r="B16" s="67">
        <v>10</v>
      </c>
      <c r="C16" s="68">
        <f t="shared" si="0"/>
        <v>0.38554328942953148</v>
      </c>
      <c r="D16" s="49">
        <v>7500</v>
      </c>
      <c r="E16" s="77">
        <f t="shared" si="2"/>
        <v>2891.5746707214862</v>
      </c>
      <c r="F16" s="77">
        <f t="shared" si="1"/>
        <v>26084.253292785103</v>
      </c>
    </row>
    <row r="17" spans="2:6" x14ac:dyDescent="0.25">
      <c r="B17" s="64" t="s">
        <v>45</v>
      </c>
      <c r="C17" s="65"/>
      <c r="D17" s="66"/>
      <c r="E17" s="78">
        <f>SUM(E6:E16)</f>
        <v>26084.253292785103</v>
      </c>
      <c r="F17" s="76"/>
    </row>
  </sheetData>
  <sheetProtection sheet="1" objects="1" scenarios="1"/>
  <mergeCells count="1">
    <mergeCell ref="B3:F3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Transfer Pumps</vt:lpstr>
      <vt:lpstr>VFD</vt:lpstr>
      <vt:lpstr>Borepump</vt:lpstr>
      <vt:lpstr>Lighting</vt:lpstr>
      <vt:lpstr>Self-generation</vt:lpstr>
      <vt:lpstr>GHG emission factor</vt:lpstr>
      <vt:lpstr>Financial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2020-05-06T14:19:04Z</dcterms:modified>
</cp:coreProperties>
</file>