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2.xml" ContentType="application/vnd.openxmlformats-officedocument.drawing+xml"/>
  <Override PartName="/xl/comments2.xml" ContentType="application/vnd.openxmlformats-officedocument.spreadsheetml.comments+xml"/>
  <Override PartName="/xl/threadedComments/threadedComment2.xml" ContentType="application/vnd.ms-excel.threadedcomments+xml"/>
  <Override PartName="/xl/drawings/drawing3.xml" ContentType="application/vnd.openxmlformats-officedocument.drawing+xml"/>
  <Override PartName="/xl/comments3.xml" ContentType="application/vnd.openxmlformats-officedocument.spreadsheetml.comments+xml"/>
  <Override PartName="/xl/threadedComments/threadedComment3.xml" ContentType="application/vnd.ms-excel.threadedcomments+xml"/>
  <Override PartName="/xl/drawings/drawing4.xml" ContentType="application/vnd.openxmlformats-officedocument.drawing+xml"/>
  <Override PartName="/xl/comments4.xml" ContentType="application/vnd.openxmlformats-officedocument.spreadsheetml.comments+xml"/>
  <Override PartName="/xl/threadedComments/threadedComment4.xml" ContentType="application/vnd.ms-excel.threadedcomments+xml"/>
  <Override PartName="/xl/drawings/drawing5.xml" ContentType="application/vnd.openxmlformats-officedocument.drawing+xml"/>
  <Override PartName="/xl/comments5.xml" ContentType="application/vnd.openxmlformats-officedocument.spreadsheetml.comments+xml"/>
  <Override PartName="/xl/threadedComments/threadedComment5.xml" ContentType="application/vnd.ms-excel.threadedcomments+xml"/>
  <Override PartName="/xl/drawings/drawing6.xml" ContentType="application/vnd.openxmlformats-officedocument.drawing+xml"/>
  <Override PartName="/xl/comments6.xml" ContentType="application/vnd.openxmlformats-officedocument.spreadsheetml.comments+xml"/>
  <Override PartName="/xl/threadedComments/threadedComment6.xml" ContentType="application/vnd.ms-excel.threadedcomments+xml"/>
  <Override PartName="/xl/drawings/drawing7.xml" ContentType="application/vnd.openxmlformats-officedocument.drawing+xml"/>
  <Override PartName="/xl/comments7.xml" ContentType="application/vnd.openxmlformats-officedocument.spreadsheetml.comments+xml"/>
  <Override PartName="/xl/threadedComments/threadedComment7.xml" ContentType="application/vnd.ms-excel.threadedcomments+xml"/>
  <Override PartName="/xl/drawings/drawing8.xml" ContentType="application/vnd.openxmlformats-officedocument.drawing+xml"/>
  <Override PartName="/xl/comments8.xml" ContentType="application/vnd.openxmlformats-officedocument.spreadsheetml.comments+xml"/>
  <Override PartName="/xl/threadedComments/threadedComment8.xml" ContentType="application/vnd.ms-excel.threadedcomments+xml"/>
  <Override PartName="/xl/drawings/drawing9.xml" ContentType="application/vnd.openxmlformats-officedocument.drawing+xml"/>
  <Override PartName="/xl/comments9.xml" ContentType="application/vnd.openxmlformats-officedocument.spreadsheetml.comments+xml"/>
  <Override PartName="/xl/threadedComments/threadedComment9.xml" ContentType="application/vnd.ms-excel.threadedcomments+xml"/>
  <Override PartName="/xl/drawings/drawing10.xml" ContentType="application/vnd.openxmlformats-officedocument.drawing+xml"/>
  <Override PartName="/xl/comments10.xml" ContentType="application/vnd.openxmlformats-officedocument.spreadsheetml.comments+xml"/>
  <Override PartName="/xl/threadedComments/threadedComment10.xml" ContentType="application/vnd.ms-excel.threadedcomments+xml"/>
  <Override PartName="/xl/drawings/drawing11.xml" ContentType="application/vnd.openxmlformats-officedocument.drawing+xml"/>
  <Override PartName="/xl/comments11.xml" ContentType="application/vnd.openxmlformats-officedocument.spreadsheetml.comments+xml"/>
  <Override PartName="/xl/threadedComments/threadedComment11.xml" ContentType="application/vnd.ms-excel.threadedcomments+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comments12.xml" ContentType="application/vnd.openxmlformats-officedocument.spreadsheetml.comments+xml"/>
  <Override PartName="/xl/threadedComments/threadedComment12.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127"/>
  <workbookPr defaultThemeVersion="124226"/>
  <mc:AlternateContent xmlns:mc="http://schemas.openxmlformats.org/markup-compatibility/2006">
    <mc:Choice Requires="x15">
      <x15ac:absPath xmlns:x15ac="http://schemas.microsoft.com/office/spreadsheetml/2010/11/ac" url="C:\Judy\CTCN\CTCN Documents\CTCN 2021\Active TA's\Geothermal - multi-country request\deliverables\Reviewed\Deliverable 5_Training\Ethiopia\"/>
    </mc:Choice>
  </mc:AlternateContent>
  <xr:revisionPtr revIDLastSave="0" documentId="8_{C7B21DAC-BDBD-4D64-B502-1C6DAA40654B}" xr6:coauthVersionLast="45" xr6:coauthVersionMax="45" xr10:uidLastSave="{00000000-0000-0000-0000-000000000000}"/>
  <bookViews>
    <workbookView xWindow="2484" yWindow="348" windowWidth="13344" windowHeight="11700" activeTab="3" xr2:uid="{00000000-000D-0000-FFFF-FFFF00000000}"/>
  </bookViews>
  <sheets>
    <sheet name="Summary" sheetId="17" r:id="rId1"/>
    <sheet name="Fish_Inputs" sheetId="1" r:id="rId2"/>
    <sheet name="Fruit_Inputs" sheetId="45" r:id="rId3"/>
    <sheet name="Veg_Inputs" sheetId="46" r:id="rId4"/>
    <sheet name="Rice_Inputs" sheetId="32" r:id="rId5"/>
    <sheet name="Pyre_Inputs" sheetId="48" r:id="rId6"/>
    <sheet name="Spas_Inputs" sheetId="41" r:id="rId7"/>
    <sheet name="Tea_Retrofit" sheetId="62" r:id="rId8"/>
    <sheet name="Tobacco_Retrofit" sheetId="60" r:id="rId9"/>
    <sheet name="Milk_Retrofit" sheetId="68" r:id="rId10"/>
    <sheet name="Hatchery_Retrofit" sheetId="69" r:id="rId11"/>
    <sheet name="Greenhouse_Retrofit" sheetId="70" r:id="rId12"/>
    <sheet name="Tea_Retro_CashFlows" sheetId="64" r:id="rId13"/>
    <sheet name="Tob_Retro_CashFlows" sheetId="61" r:id="rId14"/>
    <sheet name="Milk_Retro_CashFlows" sheetId="65" r:id="rId15"/>
    <sheet name="Greenhouse_Retro_CashFlows" sheetId="66" r:id="rId16"/>
    <sheet name="Hatchery_Retro_CashFlows" sheetId="67" r:id="rId17"/>
    <sheet name="Fish_CashFlows" sheetId="13" r:id="rId18"/>
    <sheet name="Fruit_CashFlows" sheetId="50" r:id="rId19"/>
    <sheet name="Veg_CashFlows" sheetId="51" r:id="rId20"/>
    <sheet name="Rice_CashFlows" sheetId="52" r:id="rId21"/>
    <sheet name="Pyre_CashFlows" sheetId="53" r:id="rId22"/>
    <sheet name="Spa_CashFlows" sheetId="56" r:id="rId23"/>
    <sheet name="Debt_Calc" sheetId="15" r:id="rId24"/>
    <sheet name="Deprec" sheetId="16" r:id="rId25"/>
    <sheet name="Currency" sheetId="8" r:id="rId26"/>
    <sheet name="Data Sources" sheetId="18" r:id="rId27"/>
    <sheet name=" Nairobi Fruit_Veg Prices" sheetId="37" r:id="rId28"/>
    <sheet name="Export Prices" sheetId="39" r:id="rId29"/>
    <sheet name="Rwanda Prices" sheetId="38" r:id="rId30"/>
    <sheet name="Spa Prices" sheetId="42" r:id="rId31"/>
  </sheets>
  <externalReferences>
    <externalReference r:id="rId32"/>
  </externalReferences>
  <definedNames>
    <definedName name="Debt_Limit">[1]Inputs!$I$52</definedName>
    <definedName name="Starting_Guess">[1]Debt_Sizing!#REF!</definedName>
  </definedNames>
  <calcPr calcId="191029" calcMode="autoNoTabl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25" i="46" l="1"/>
  <c r="G25" i="32"/>
  <c r="G25" i="48"/>
  <c r="G25" i="1"/>
  <c r="C42" i="60"/>
  <c r="C44" i="60" s="1"/>
  <c r="C45" i="60" s="1"/>
  <c r="C46" i="60" s="1"/>
  <c r="C47" i="60" s="1"/>
  <c r="C37" i="60"/>
  <c r="C38" i="60" s="1"/>
  <c r="C48" i="60" s="1"/>
  <c r="C42" i="62"/>
  <c r="C44" i="62" s="1"/>
  <c r="C45" i="62" s="1"/>
  <c r="C46" i="62" s="1"/>
  <c r="C47" i="62" s="1"/>
  <c r="C37" i="62"/>
  <c r="C38" i="62" s="1"/>
  <c r="C44" i="48"/>
  <c r="C45" i="48" s="1"/>
  <c r="C38" i="48"/>
  <c r="C37" i="48"/>
  <c r="C43" i="32"/>
  <c r="C44" i="32" s="1"/>
  <c r="C45" i="32" s="1"/>
  <c r="C37" i="32"/>
  <c r="C38" i="32" s="1"/>
  <c r="C42" i="46"/>
  <c r="C44" i="46" s="1"/>
  <c r="C45" i="46" s="1"/>
  <c r="C37" i="46"/>
  <c r="C38" i="46" s="1"/>
  <c r="C44" i="45"/>
  <c r="C45" i="45" s="1"/>
  <c r="C38" i="45"/>
  <c r="C37" i="45"/>
  <c r="C44" i="1"/>
  <c r="C45" i="1" s="1"/>
  <c r="C37" i="1"/>
  <c r="C38" i="1" s="1"/>
  <c r="K12" i="56"/>
  <c r="K13" i="56" s="1"/>
  <c r="K14" i="56" s="1"/>
  <c r="K15" i="56" s="1"/>
  <c r="K16" i="56" s="1"/>
  <c r="K17" i="56" s="1"/>
  <c r="K18" i="56" s="1"/>
  <c r="K19" i="56" s="1"/>
  <c r="K20" i="56" s="1"/>
  <c r="K21" i="56" s="1"/>
  <c r="K22" i="56" s="1"/>
  <c r="K23" i="56" s="1"/>
  <c r="K24" i="56" s="1"/>
  <c r="K25" i="56" s="1"/>
  <c r="K26" i="56" s="1"/>
  <c r="K27" i="56" s="1"/>
  <c r="K28" i="56" s="1"/>
  <c r="K29" i="56" s="1"/>
  <c r="K30" i="56" s="1"/>
  <c r="K31" i="56" s="1"/>
  <c r="K32" i="56" s="1"/>
  <c r="K33" i="56" s="1"/>
  <c r="K34" i="56" s="1"/>
  <c r="K35" i="56" s="1"/>
  <c r="K36" i="56" s="1"/>
  <c r="K37" i="56" s="1"/>
  <c r="K38" i="56" s="1"/>
  <c r="K39" i="56" s="1"/>
  <c r="K40" i="56" s="1"/>
  <c r="K41" i="56" s="1"/>
  <c r="K42" i="56" s="1"/>
  <c r="K43" i="56" s="1"/>
  <c r="K44" i="56" s="1"/>
  <c r="J11" i="41"/>
  <c r="J10" i="41"/>
  <c r="R19" i="41" s="1"/>
  <c r="M12" i="56" s="1"/>
  <c r="M13" i="56" s="1"/>
  <c r="M14" i="56" s="1"/>
  <c r="M15" i="56" s="1"/>
  <c r="M16" i="56" s="1"/>
  <c r="M17" i="56" s="1"/>
  <c r="M18" i="56" s="1"/>
  <c r="M19" i="56" s="1"/>
  <c r="M20" i="56" s="1"/>
  <c r="M21" i="56" s="1"/>
  <c r="M22" i="56" s="1"/>
  <c r="M23" i="56" s="1"/>
  <c r="M24" i="56" s="1"/>
  <c r="M25" i="56" s="1"/>
  <c r="M26" i="56" s="1"/>
  <c r="M27" i="56" s="1"/>
  <c r="M28" i="56" s="1"/>
  <c r="M29" i="56" s="1"/>
  <c r="M30" i="56" s="1"/>
  <c r="M31" i="56" s="1"/>
  <c r="M32" i="56" s="1"/>
  <c r="M33" i="56" s="1"/>
  <c r="M34" i="56" s="1"/>
  <c r="M35" i="56" s="1"/>
  <c r="M36" i="56" s="1"/>
  <c r="M37" i="56" s="1"/>
  <c r="M38" i="56" s="1"/>
  <c r="M39" i="56" s="1"/>
  <c r="M40" i="56" s="1"/>
  <c r="M41" i="56" s="1"/>
  <c r="M42" i="56" s="1"/>
  <c r="M43" i="56" s="1"/>
  <c r="M44" i="56" s="1"/>
  <c r="J9" i="41"/>
  <c r="J8" i="41"/>
  <c r="R17" i="41" s="1"/>
  <c r="J7" i="41"/>
  <c r="J6" i="41"/>
  <c r="R15" i="41" s="1"/>
  <c r="R16" i="41"/>
  <c r="J12" i="56" s="1"/>
  <c r="J13" i="56" s="1"/>
  <c r="J14" i="56" s="1"/>
  <c r="J15" i="56" s="1"/>
  <c r="J16" i="56" s="1"/>
  <c r="J17" i="56" s="1"/>
  <c r="J18" i="56" s="1"/>
  <c r="J19" i="56" s="1"/>
  <c r="J20" i="56" s="1"/>
  <c r="J21" i="56" s="1"/>
  <c r="J22" i="56" s="1"/>
  <c r="J23" i="56" s="1"/>
  <c r="J24" i="56" s="1"/>
  <c r="J25" i="56" s="1"/>
  <c r="J26" i="56" s="1"/>
  <c r="J27" i="56" s="1"/>
  <c r="J28" i="56" s="1"/>
  <c r="J29" i="56" s="1"/>
  <c r="J30" i="56" s="1"/>
  <c r="J31" i="56" s="1"/>
  <c r="J32" i="56" s="1"/>
  <c r="J33" i="56" s="1"/>
  <c r="J34" i="56" s="1"/>
  <c r="J35" i="56" s="1"/>
  <c r="J36" i="56" s="1"/>
  <c r="J37" i="56" s="1"/>
  <c r="J38" i="56" s="1"/>
  <c r="J39" i="56" s="1"/>
  <c r="J40" i="56" s="1"/>
  <c r="J41" i="56" s="1"/>
  <c r="J42" i="56" s="1"/>
  <c r="J43" i="56" s="1"/>
  <c r="J44" i="56" s="1"/>
  <c r="R18" i="41"/>
  <c r="L12" i="56" s="1"/>
  <c r="L13" i="56" s="1"/>
  <c r="L14" i="56" s="1"/>
  <c r="L15" i="56" s="1"/>
  <c r="L16" i="56" s="1"/>
  <c r="L17" i="56" s="1"/>
  <c r="L18" i="56" s="1"/>
  <c r="L19" i="56" s="1"/>
  <c r="L20" i="56" s="1"/>
  <c r="L21" i="56" s="1"/>
  <c r="L22" i="56" s="1"/>
  <c r="L23" i="56" s="1"/>
  <c r="L24" i="56" s="1"/>
  <c r="L25" i="56" s="1"/>
  <c r="L26" i="56" s="1"/>
  <c r="L27" i="56" s="1"/>
  <c r="L28" i="56" s="1"/>
  <c r="L29" i="56" s="1"/>
  <c r="L30" i="56" s="1"/>
  <c r="L31" i="56" s="1"/>
  <c r="L32" i="56" s="1"/>
  <c r="L33" i="56" s="1"/>
  <c r="L34" i="56" s="1"/>
  <c r="L35" i="56" s="1"/>
  <c r="L36" i="56" s="1"/>
  <c r="L37" i="56" s="1"/>
  <c r="L38" i="56" s="1"/>
  <c r="L39" i="56" s="1"/>
  <c r="L40" i="56" s="1"/>
  <c r="L41" i="56" s="1"/>
  <c r="L42" i="56" s="1"/>
  <c r="L43" i="56" s="1"/>
  <c r="L44" i="56" s="1"/>
  <c r="R20" i="41"/>
  <c r="N12" i="56" s="1"/>
  <c r="N13" i="56" s="1"/>
  <c r="N14" i="56" s="1"/>
  <c r="N15" i="56" s="1"/>
  <c r="N16" i="56" s="1"/>
  <c r="N17" i="56" s="1"/>
  <c r="N18" i="56" s="1"/>
  <c r="N19" i="56" s="1"/>
  <c r="N20" i="56" s="1"/>
  <c r="N21" i="56" s="1"/>
  <c r="N22" i="56" s="1"/>
  <c r="N23" i="56" s="1"/>
  <c r="N24" i="56" s="1"/>
  <c r="N25" i="56" s="1"/>
  <c r="N26" i="56" s="1"/>
  <c r="N27" i="56" s="1"/>
  <c r="N28" i="56" s="1"/>
  <c r="N29" i="56" s="1"/>
  <c r="N30" i="56" s="1"/>
  <c r="N31" i="56" s="1"/>
  <c r="N32" i="56" s="1"/>
  <c r="N33" i="56" s="1"/>
  <c r="N34" i="56" s="1"/>
  <c r="N35" i="56" s="1"/>
  <c r="N36" i="56" s="1"/>
  <c r="N37" i="56" s="1"/>
  <c r="N38" i="56" s="1"/>
  <c r="N39" i="56" s="1"/>
  <c r="N40" i="56" s="1"/>
  <c r="N41" i="56" s="1"/>
  <c r="N42" i="56" s="1"/>
  <c r="N43" i="56" s="1"/>
  <c r="N44" i="56" s="1"/>
  <c r="J7" i="48"/>
  <c r="R15" i="48" s="1"/>
  <c r="R16" i="32"/>
  <c r="L12" i="52" s="1"/>
  <c r="L13" i="52" s="1"/>
  <c r="L14" i="52" s="1"/>
  <c r="L15" i="52" s="1"/>
  <c r="L16" i="52" s="1"/>
  <c r="L17" i="52" s="1"/>
  <c r="L18" i="52" s="1"/>
  <c r="L19" i="52" s="1"/>
  <c r="L20" i="52" s="1"/>
  <c r="L21" i="52" s="1"/>
  <c r="L22" i="52" s="1"/>
  <c r="L23" i="52" s="1"/>
  <c r="L24" i="52" s="1"/>
  <c r="L25" i="52" s="1"/>
  <c r="L26" i="52" s="1"/>
  <c r="L27" i="52" s="1"/>
  <c r="L28" i="52" s="1"/>
  <c r="L29" i="52" s="1"/>
  <c r="L30" i="52" s="1"/>
  <c r="L31" i="52" s="1"/>
  <c r="L32" i="52" s="1"/>
  <c r="L33" i="52" s="1"/>
  <c r="L34" i="52" s="1"/>
  <c r="L35" i="52" s="1"/>
  <c r="L36" i="52" s="1"/>
  <c r="L37" i="52" s="1"/>
  <c r="L38" i="52" s="1"/>
  <c r="L39" i="52" s="1"/>
  <c r="L40" i="52" s="1"/>
  <c r="L41" i="52" s="1"/>
  <c r="L42" i="52" s="1"/>
  <c r="L43" i="52" s="1"/>
  <c r="L44" i="52" s="1"/>
  <c r="R15" i="32"/>
  <c r="K12" i="52" s="1"/>
  <c r="K13" i="52" s="1"/>
  <c r="K14" i="52" s="1"/>
  <c r="K15" i="52" s="1"/>
  <c r="K16" i="52" s="1"/>
  <c r="K17" i="52" s="1"/>
  <c r="K18" i="52" s="1"/>
  <c r="K19" i="52" s="1"/>
  <c r="K20" i="52" s="1"/>
  <c r="K21" i="52" s="1"/>
  <c r="K22" i="52" s="1"/>
  <c r="K23" i="52" s="1"/>
  <c r="K24" i="52" s="1"/>
  <c r="K25" i="52" s="1"/>
  <c r="K26" i="52" s="1"/>
  <c r="K27" i="52" s="1"/>
  <c r="K28" i="52" s="1"/>
  <c r="K29" i="52" s="1"/>
  <c r="K30" i="52" s="1"/>
  <c r="K31" i="52" s="1"/>
  <c r="K32" i="52" s="1"/>
  <c r="K33" i="52" s="1"/>
  <c r="K34" i="52" s="1"/>
  <c r="K35" i="52" s="1"/>
  <c r="K36" i="52" s="1"/>
  <c r="K37" i="52" s="1"/>
  <c r="K38" i="52" s="1"/>
  <c r="K39" i="52" s="1"/>
  <c r="K40" i="52" s="1"/>
  <c r="K41" i="52" s="1"/>
  <c r="K42" i="52" s="1"/>
  <c r="K43" i="52" s="1"/>
  <c r="K44" i="52" s="1"/>
  <c r="J7" i="32"/>
  <c r="J8" i="46"/>
  <c r="J7" i="46"/>
  <c r="R16" i="46"/>
  <c r="L12" i="51" s="1"/>
  <c r="L13" i="51" s="1"/>
  <c r="L14" i="51" s="1"/>
  <c r="L15" i="51" s="1"/>
  <c r="L16" i="51" s="1"/>
  <c r="L17" i="51" s="1"/>
  <c r="L18" i="51" s="1"/>
  <c r="L19" i="51" s="1"/>
  <c r="L20" i="51" s="1"/>
  <c r="L21" i="51" s="1"/>
  <c r="L22" i="51" s="1"/>
  <c r="L23" i="51" s="1"/>
  <c r="L24" i="51" s="1"/>
  <c r="L25" i="51" s="1"/>
  <c r="L26" i="51" s="1"/>
  <c r="L27" i="51" s="1"/>
  <c r="L28" i="51" s="1"/>
  <c r="L29" i="51" s="1"/>
  <c r="L30" i="51" s="1"/>
  <c r="L31" i="51" s="1"/>
  <c r="L32" i="51" s="1"/>
  <c r="L33" i="51" s="1"/>
  <c r="L34" i="51" s="1"/>
  <c r="L35" i="51" s="1"/>
  <c r="L36" i="51" s="1"/>
  <c r="L37" i="51" s="1"/>
  <c r="L38" i="51" s="1"/>
  <c r="L39" i="51" s="1"/>
  <c r="L40" i="51" s="1"/>
  <c r="L41" i="51" s="1"/>
  <c r="L42" i="51" s="1"/>
  <c r="L43" i="51" s="1"/>
  <c r="L44" i="51" s="1"/>
  <c r="R15" i="46"/>
  <c r="AD34" i="46" s="1"/>
  <c r="C29" i="41"/>
  <c r="C17" i="41"/>
  <c r="C29" i="46"/>
  <c r="C29" i="48"/>
  <c r="C20" i="48"/>
  <c r="C21" i="32"/>
  <c r="C20" i="46"/>
  <c r="C29" i="1"/>
  <c r="C21" i="1"/>
  <c r="J8" i="1"/>
  <c r="J7" i="1"/>
  <c r="R16" i="1"/>
  <c r="L12" i="13" s="1"/>
  <c r="L13" i="13" s="1"/>
  <c r="L14" i="13" s="1"/>
  <c r="L15" i="13" s="1"/>
  <c r="L16" i="13" s="1"/>
  <c r="L17" i="13" s="1"/>
  <c r="L18" i="13" s="1"/>
  <c r="L19" i="13" s="1"/>
  <c r="L20" i="13" s="1"/>
  <c r="L21" i="13" s="1"/>
  <c r="L22" i="13" s="1"/>
  <c r="L23" i="13" s="1"/>
  <c r="L24" i="13" s="1"/>
  <c r="L25" i="13" s="1"/>
  <c r="L26" i="13" s="1"/>
  <c r="L27" i="13" s="1"/>
  <c r="L28" i="13" s="1"/>
  <c r="L29" i="13" s="1"/>
  <c r="L30" i="13" s="1"/>
  <c r="L31" i="13" s="1"/>
  <c r="L32" i="13" s="1"/>
  <c r="L33" i="13" s="1"/>
  <c r="L34" i="13" s="1"/>
  <c r="L35" i="13" s="1"/>
  <c r="L36" i="13" s="1"/>
  <c r="L37" i="13" s="1"/>
  <c r="L38" i="13" s="1"/>
  <c r="L39" i="13" s="1"/>
  <c r="L40" i="13" s="1"/>
  <c r="L41" i="13" s="1"/>
  <c r="L42" i="13" s="1"/>
  <c r="L43" i="13" s="1"/>
  <c r="L44" i="13" s="1"/>
  <c r="R15" i="1"/>
  <c r="K12" i="13" s="1"/>
  <c r="K13" i="13" s="1"/>
  <c r="K14" i="13" s="1"/>
  <c r="K15" i="13" s="1"/>
  <c r="K16" i="13" s="1"/>
  <c r="K17" i="13" s="1"/>
  <c r="K18" i="13" s="1"/>
  <c r="K19" i="13" s="1"/>
  <c r="K20" i="13" s="1"/>
  <c r="K21" i="13" s="1"/>
  <c r="K22" i="13" s="1"/>
  <c r="K23" i="13" s="1"/>
  <c r="K24" i="13" s="1"/>
  <c r="K25" i="13" s="1"/>
  <c r="K26" i="13" s="1"/>
  <c r="K27" i="13" s="1"/>
  <c r="K28" i="13" s="1"/>
  <c r="K29" i="13" s="1"/>
  <c r="K30" i="13" s="1"/>
  <c r="K31" i="13" s="1"/>
  <c r="K32" i="13" s="1"/>
  <c r="K33" i="13" s="1"/>
  <c r="K34" i="13" s="1"/>
  <c r="K35" i="13" s="1"/>
  <c r="K36" i="13" s="1"/>
  <c r="K37" i="13" s="1"/>
  <c r="K38" i="13" s="1"/>
  <c r="K39" i="13" s="1"/>
  <c r="K40" i="13" s="1"/>
  <c r="K41" i="13" s="1"/>
  <c r="K42" i="13" s="1"/>
  <c r="K43" i="13" s="1"/>
  <c r="K44" i="13" s="1"/>
  <c r="C29" i="45"/>
  <c r="C20" i="45"/>
  <c r="R16" i="45"/>
  <c r="L12" i="50" s="1"/>
  <c r="L13" i="50" s="1"/>
  <c r="L14" i="50" s="1"/>
  <c r="L15" i="50" s="1"/>
  <c r="L16" i="50" s="1"/>
  <c r="L17" i="50" s="1"/>
  <c r="L18" i="50" s="1"/>
  <c r="L19" i="50" s="1"/>
  <c r="L20" i="50" s="1"/>
  <c r="L21" i="50" s="1"/>
  <c r="L22" i="50" s="1"/>
  <c r="L23" i="50" s="1"/>
  <c r="L24" i="50" s="1"/>
  <c r="L25" i="50" s="1"/>
  <c r="L26" i="50" s="1"/>
  <c r="L27" i="50" s="1"/>
  <c r="L28" i="50" s="1"/>
  <c r="L29" i="50" s="1"/>
  <c r="L30" i="50" s="1"/>
  <c r="L31" i="50" s="1"/>
  <c r="L32" i="50" s="1"/>
  <c r="L33" i="50" s="1"/>
  <c r="L34" i="50" s="1"/>
  <c r="L35" i="50" s="1"/>
  <c r="L36" i="50" s="1"/>
  <c r="L37" i="50" s="1"/>
  <c r="L38" i="50" s="1"/>
  <c r="L39" i="50" s="1"/>
  <c r="L40" i="50" s="1"/>
  <c r="L41" i="50" s="1"/>
  <c r="L42" i="50" s="1"/>
  <c r="L43" i="50" s="1"/>
  <c r="L44" i="50" s="1"/>
  <c r="R15" i="45"/>
  <c r="J8" i="45"/>
  <c r="J7" i="45"/>
  <c r="F13" i="66"/>
  <c r="F14" i="66"/>
  <c r="F15" i="66"/>
  <c r="F16" i="66"/>
  <c r="F17" i="66"/>
  <c r="F18" i="66"/>
  <c r="F19" i="66"/>
  <c r="F20" i="66"/>
  <c r="F21" i="66"/>
  <c r="F22" i="66"/>
  <c r="F23" i="66"/>
  <c r="F24" i="66"/>
  <c r="F25" i="66"/>
  <c r="F26" i="66"/>
  <c r="F27" i="66"/>
  <c r="F28" i="66"/>
  <c r="F29" i="66"/>
  <c r="F30" i="66"/>
  <c r="F31" i="66"/>
  <c r="F32" i="66"/>
  <c r="F33" i="66"/>
  <c r="F34" i="66"/>
  <c r="F35" i="66"/>
  <c r="F36" i="66"/>
  <c r="F37" i="66"/>
  <c r="F38" i="66"/>
  <c r="F39" i="66"/>
  <c r="F40" i="66"/>
  <c r="F41" i="66"/>
  <c r="F42" i="66"/>
  <c r="F43" i="66"/>
  <c r="F44" i="66"/>
  <c r="F12" i="66"/>
  <c r="F13" i="67"/>
  <c r="F14" i="67"/>
  <c r="F15" i="67"/>
  <c r="F16" i="67"/>
  <c r="F17" i="67"/>
  <c r="F18" i="67"/>
  <c r="F19" i="67"/>
  <c r="F20" i="67"/>
  <c r="F21" i="67"/>
  <c r="F22" i="67"/>
  <c r="F23" i="67"/>
  <c r="F24" i="67"/>
  <c r="F25" i="67"/>
  <c r="F26" i="67"/>
  <c r="F27" i="67"/>
  <c r="F28" i="67"/>
  <c r="F29" i="67"/>
  <c r="F30" i="67"/>
  <c r="F31" i="67"/>
  <c r="F32" i="67"/>
  <c r="F33" i="67"/>
  <c r="F34" i="67"/>
  <c r="F35" i="67"/>
  <c r="F36" i="67"/>
  <c r="F37" i="67"/>
  <c r="F38" i="67"/>
  <c r="F39" i="67"/>
  <c r="F40" i="67"/>
  <c r="F41" i="67"/>
  <c r="F42" i="67"/>
  <c r="F43" i="67"/>
  <c r="F44" i="67"/>
  <c r="F12" i="67"/>
  <c r="F13" i="65"/>
  <c r="F14" i="65"/>
  <c r="F15" i="65"/>
  <c r="F16" i="65"/>
  <c r="F17" i="65"/>
  <c r="F18" i="65"/>
  <c r="F19" i="65"/>
  <c r="F20" i="65"/>
  <c r="F21" i="65"/>
  <c r="F22" i="65"/>
  <c r="F23" i="65"/>
  <c r="F24" i="65"/>
  <c r="F25" i="65"/>
  <c r="F26" i="65"/>
  <c r="F27" i="65"/>
  <c r="F28" i="65"/>
  <c r="F29" i="65"/>
  <c r="F30" i="65"/>
  <c r="F31" i="65"/>
  <c r="F32" i="65"/>
  <c r="F33" i="65"/>
  <c r="F34" i="65"/>
  <c r="F35" i="65"/>
  <c r="F36" i="65"/>
  <c r="F37" i="65"/>
  <c r="F38" i="65"/>
  <c r="F39" i="65"/>
  <c r="F40" i="65"/>
  <c r="F41" i="65"/>
  <c r="F42" i="65"/>
  <c r="F43" i="65"/>
  <c r="F44" i="65"/>
  <c r="F12" i="65"/>
  <c r="F13" i="61"/>
  <c r="F14" i="61"/>
  <c r="F15" i="61"/>
  <c r="F16" i="61"/>
  <c r="F17" i="61"/>
  <c r="F18" i="61"/>
  <c r="F19" i="61"/>
  <c r="F20" i="61"/>
  <c r="F21" i="61"/>
  <c r="F22" i="61"/>
  <c r="F23" i="61"/>
  <c r="F24" i="61"/>
  <c r="F25" i="61"/>
  <c r="F26" i="61"/>
  <c r="F27" i="61"/>
  <c r="F28" i="61"/>
  <c r="F29" i="61"/>
  <c r="F30" i="61"/>
  <c r="F31" i="61"/>
  <c r="F32" i="61"/>
  <c r="F33" i="61"/>
  <c r="F34" i="61"/>
  <c r="F35" i="61"/>
  <c r="F36" i="61"/>
  <c r="F37" i="61"/>
  <c r="F38" i="61"/>
  <c r="F39" i="61"/>
  <c r="F40" i="61"/>
  <c r="F41" i="61"/>
  <c r="F42" i="61"/>
  <c r="F43" i="61"/>
  <c r="F44" i="61"/>
  <c r="F12" i="61"/>
  <c r="F13" i="64"/>
  <c r="F14" i="64"/>
  <c r="F15" i="64"/>
  <c r="F16" i="64"/>
  <c r="F17" i="64"/>
  <c r="F18" i="64"/>
  <c r="F19" i="64"/>
  <c r="F20" i="64"/>
  <c r="F21" i="64"/>
  <c r="F22" i="64"/>
  <c r="F23" i="64"/>
  <c r="F24" i="64"/>
  <c r="F25" i="64"/>
  <c r="F26" i="64"/>
  <c r="F27" i="64"/>
  <c r="F28" i="64"/>
  <c r="F29" i="64"/>
  <c r="F30" i="64"/>
  <c r="F31" i="64"/>
  <c r="F32" i="64"/>
  <c r="F33" i="64"/>
  <c r="F34" i="64"/>
  <c r="F35" i="64"/>
  <c r="F36" i="64"/>
  <c r="F37" i="64"/>
  <c r="F38" i="64"/>
  <c r="F39" i="64"/>
  <c r="F40" i="64"/>
  <c r="F41" i="64"/>
  <c r="F42" i="64"/>
  <c r="F43" i="64"/>
  <c r="F44" i="64"/>
  <c r="F12" i="64"/>
  <c r="F13" i="56"/>
  <c r="F14" i="56"/>
  <c r="F15" i="56"/>
  <c r="F16" i="56"/>
  <c r="F17" i="56"/>
  <c r="F18" i="56"/>
  <c r="F19" i="56"/>
  <c r="F20" i="56"/>
  <c r="F21" i="56"/>
  <c r="F22" i="56"/>
  <c r="F23" i="56"/>
  <c r="F24" i="56"/>
  <c r="F25" i="56"/>
  <c r="F26" i="56"/>
  <c r="F27" i="56"/>
  <c r="F28" i="56"/>
  <c r="F29" i="56"/>
  <c r="F30" i="56"/>
  <c r="F31" i="56"/>
  <c r="F32" i="56"/>
  <c r="F33" i="56"/>
  <c r="F34" i="56"/>
  <c r="F35" i="56"/>
  <c r="F36" i="56"/>
  <c r="F37" i="56"/>
  <c r="F38" i="56"/>
  <c r="F39" i="56"/>
  <c r="F40" i="56"/>
  <c r="F41" i="56"/>
  <c r="F42" i="56"/>
  <c r="F43" i="56"/>
  <c r="F44" i="56"/>
  <c r="F12" i="56"/>
  <c r="F13" i="53"/>
  <c r="F14" i="53"/>
  <c r="F15" i="53"/>
  <c r="F16" i="53"/>
  <c r="F17" i="53"/>
  <c r="F18" i="53"/>
  <c r="F19" i="53"/>
  <c r="F20" i="53"/>
  <c r="F21" i="53"/>
  <c r="F22" i="53"/>
  <c r="F23" i="53"/>
  <c r="F24" i="53"/>
  <c r="F25" i="53"/>
  <c r="F26" i="53"/>
  <c r="F27" i="53"/>
  <c r="F28" i="53"/>
  <c r="F29" i="53"/>
  <c r="F30" i="53"/>
  <c r="F31" i="53"/>
  <c r="F32" i="53"/>
  <c r="F33" i="53"/>
  <c r="F34" i="53"/>
  <c r="F35" i="53"/>
  <c r="F36" i="53"/>
  <c r="F37" i="53"/>
  <c r="F38" i="53"/>
  <c r="F39" i="53"/>
  <c r="F40" i="53"/>
  <c r="F41" i="53"/>
  <c r="F42" i="53"/>
  <c r="F43" i="53"/>
  <c r="F44" i="53"/>
  <c r="F12" i="53"/>
  <c r="F13" i="52"/>
  <c r="F14" i="52"/>
  <c r="F15" i="52"/>
  <c r="F16" i="52"/>
  <c r="F17" i="52"/>
  <c r="F18" i="52"/>
  <c r="F19" i="52"/>
  <c r="F20" i="52"/>
  <c r="F21" i="52"/>
  <c r="F22" i="52"/>
  <c r="F23" i="52"/>
  <c r="F24" i="52"/>
  <c r="F25" i="52"/>
  <c r="F26" i="52"/>
  <c r="F27" i="52"/>
  <c r="F28" i="52"/>
  <c r="F29" i="52"/>
  <c r="F30" i="52"/>
  <c r="F31" i="52"/>
  <c r="F32" i="52"/>
  <c r="F33" i="52"/>
  <c r="F34" i="52"/>
  <c r="F35" i="52"/>
  <c r="F36" i="52"/>
  <c r="F37" i="52"/>
  <c r="F38" i="52"/>
  <c r="F39" i="52"/>
  <c r="F40" i="52"/>
  <c r="F41" i="52"/>
  <c r="F42" i="52"/>
  <c r="F43" i="52"/>
  <c r="F44" i="52"/>
  <c r="F12" i="52"/>
  <c r="F13" i="51"/>
  <c r="F14" i="51"/>
  <c r="F15" i="51"/>
  <c r="F16" i="51"/>
  <c r="F17" i="51"/>
  <c r="F18" i="51"/>
  <c r="F19" i="51"/>
  <c r="F20" i="51"/>
  <c r="F21" i="51"/>
  <c r="F22" i="51"/>
  <c r="F23" i="51"/>
  <c r="F24" i="51"/>
  <c r="F25" i="51"/>
  <c r="F26" i="51"/>
  <c r="F27" i="51"/>
  <c r="F28" i="51"/>
  <c r="F29" i="51"/>
  <c r="F30" i="51"/>
  <c r="F31" i="51"/>
  <c r="F32" i="51"/>
  <c r="F33" i="51"/>
  <c r="F34" i="51"/>
  <c r="F35" i="51"/>
  <c r="F36" i="51"/>
  <c r="F37" i="51"/>
  <c r="F38" i="51"/>
  <c r="F39" i="51"/>
  <c r="F40" i="51"/>
  <c r="F41" i="51"/>
  <c r="F42" i="51"/>
  <c r="F43" i="51"/>
  <c r="F44" i="51"/>
  <c r="F12" i="51"/>
  <c r="F13" i="50"/>
  <c r="F14" i="50"/>
  <c r="F15" i="50"/>
  <c r="F16" i="50"/>
  <c r="F17" i="50"/>
  <c r="F18" i="50"/>
  <c r="F19" i="50"/>
  <c r="F20" i="50"/>
  <c r="F21" i="50"/>
  <c r="F22" i="50"/>
  <c r="F23" i="50"/>
  <c r="F24" i="50"/>
  <c r="F25" i="50"/>
  <c r="F26" i="50"/>
  <c r="F27" i="50"/>
  <c r="F28" i="50"/>
  <c r="F29" i="50"/>
  <c r="F30" i="50"/>
  <c r="F31" i="50"/>
  <c r="F32" i="50"/>
  <c r="F33" i="50"/>
  <c r="F34" i="50"/>
  <c r="F35" i="50"/>
  <c r="F36" i="50"/>
  <c r="F37" i="50"/>
  <c r="F38" i="50"/>
  <c r="F39" i="50"/>
  <c r="F40" i="50"/>
  <c r="F41" i="50"/>
  <c r="F42" i="50"/>
  <c r="F43" i="50"/>
  <c r="F44" i="50"/>
  <c r="F12" i="50"/>
  <c r="F13" i="13"/>
  <c r="F14" i="13"/>
  <c r="F15" i="13"/>
  <c r="F16" i="13"/>
  <c r="F17" i="13"/>
  <c r="F18" i="13"/>
  <c r="F19" i="13"/>
  <c r="F20" i="13"/>
  <c r="F21" i="13"/>
  <c r="F22" i="13"/>
  <c r="F23" i="13"/>
  <c r="F24" i="13"/>
  <c r="F25" i="13"/>
  <c r="F26" i="13"/>
  <c r="F27" i="13"/>
  <c r="F28" i="13"/>
  <c r="F29" i="13"/>
  <c r="F30" i="13"/>
  <c r="F31" i="13"/>
  <c r="F32" i="13"/>
  <c r="F33" i="13"/>
  <c r="F34" i="13"/>
  <c r="F35" i="13"/>
  <c r="F36" i="13"/>
  <c r="F37" i="13"/>
  <c r="F38" i="13"/>
  <c r="F39" i="13"/>
  <c r="F40" i="13"/>
  <c r="F41" i="13"/>
  <c r="F42" i="13"/>
  <c r="F43" i="13"/>
  <c r="F44" i="13"/>
  <c r="F12" i="13"/>
  <c r="N7" i="46"/>
  <c r="N7" i="45"/>
  <c r="N7" i="1"/>
  <c r="N13" i="69"/>
  <c r="M13" i="69"/>
  <c r="M9" i="69"/>
  <c r="M11" i="69" s="1"/>
  <c r="N8" i="69"/>
  <c r="N9" i="69" s="1"/>
  <c r="N11" i="69" s="1"/>
  <c r="N6" i="69"/>
  <c r="M6" i="69"/>
  <c r="M14" i="69" s="1"/>
  <c r="C48" i="62" l="1"/>
  <c r="AD34" i="41"/>
  <c r="AA34" i="32"/>
  <c r="Y34" i="32"/>
  <c r="AE34" i="46"/>
  <c r="Y34" i="46"/>
  <c r="AB34" i="46"/>
  <c r="Z34" i="32"/>
  <c r="Z34" i="1"/>
  <c r="AA34" i="46"/>
  <c r="K12" i="51"/>
  <c r="K13" i="51" s="1"/>
  <c r="K14" i="51" s="1"/>
  <c r="K15" i="51" s="1"/>
  <c r="K16" i="51" s="1"/>
  <c r="K17" i="51" s="1"/>
  <c r="K18" i="51" s="1"/>
  <c r="K19" i="51" s="1"/>
  <c r="K20" i="51" s="1"/>
  <c r="K21" i="51" s="1"/>
  <c r="K22" i="51" s="1"/>
  <c r="K23" i="51" s="1"/>
  <c r="K24" i="51" s="1"/>
  <c r="K25" i="51" s="1"/>
  <c r="K26" i="51" s="1"/>
  <c r="K27" i="51" s="1"/>
  <c r="K28" i="51" s="1"/>
  <c r="K29" i="51" s="1"/>
  <c r="K30" i="51" s="1"/>
  <c r="K31" i="51" s="1"/>
  <c r="K32" i="51" s="1"/>
  <c r="K33" i="51" s="1"/>
  <c r="K34" i="51" s="1"/>
  <c r="K35" i="51" s="1"/>
  <c r="K36" i="51" s="1"/>
  <c r="K37" i="51" s="1"/>
  <c r="K38" i="51" s="1"/>
  <c r="K39" i="51" s="1"/>
  <c r="K40" i="51" s="1"/>
  <c r="K41" i="51" s="1"/>
  <c r="K42" i="51" s="1"/>
  <c r="K43" i="51" s="1"/>
  <c r="K44" i="51" s="1"/>
  <c r="AB34" i="41"/>
  <c r="Z34" i="46"/>
  <c r="AC34" i="46"/>
  <c r="Z34" i="41"/>
  <c r="AA34" i="41"/>
  <c r="AC34" i="41"/>
  <c r="I12" i="56"/>
  <c r="I13" i="56" s="1"/>
  <c r="I14" i="56" s="1"/>
  <c r="I15" i="56" s="1"/>
  <c r="I16" i="56" s="1"/>
  <c r="I17" i="56" s="1"/>
  <c r="I18" i="56" s="1"/>
  <c r="I19" i="56" s="1"/>
  <c r="I20" i="56" s="1"/>
  <c r="I21" i="56" s="1"/>
  <c r="I22" i="56" s="1"/>
  <c r="I23" i="56" s="1"/>
  <c r="I24" i="56" s="1"/>
  <c r="I25" i="56" s="1"/>
  <c r="I26" i="56" s="1"/>
  <c r="I27" i="56" s="1"/>
  <c r="I28" i="56" s="1"/>
  <c r="I29" i="56" s="1"/>
  <c r="I30" i="56" s="1"/>
  <c r="I31" i="56" s="1"/>
  <c r="I32" i="56" s="1"/>
  <c r="I33" i="56" s="1"/>
  <c r="I34" i="56" s="1"/>
  <c r="I35" i="56" s="1"/>
  <c r="I36" i="56" s="1"/>
  <c r="I37" i="56" s="1"/>
  <c r="I38" i="56" s="1"/>
  <c r="I39" i="56" s="1"/>
  <c r="I40" i="56" s="1"/>
  <c r="I41" i="56" s="1"/>
  <c r="I42" i="56" s="1"/>
  <c r="I43" i="56" s="1"/>
  <c r="I44" i="56" s="1"/>
  <c r="AE34" i="41"/>
  <c r="Y34" i="41"/>
  <c r="AB34" i="32"/>
  <c r="AC34" i="32"/>
  <c r="AD34" i="32"/>
  <c r="AE34" i="32"/>
  <c r="K12" i="53"/>
  <c r="K13" i="53" s="1"/>
  <c r="K14" i="53" s="1"/>
  <c r="K15" i="53" s="1"/>
  <c r="K16" i="53" s="1"/>
  <c r="K17" i="53" s="1"/>
  <c r="K18" i="53" s="1"/>
  <c r="K19" i="53" s="1"/>
  <c r="K20" i="53" s="1"/>
  <c r="K21" i="53" s="1"/>
  <c r="K22" i="53" s="1"/>
  <c r="K23" i="53" s="1"/>
  <c r="K24" i="53" s="1"/>
  <c r="K25" i="53" s="1"/>
  <c r="K26" i="53" s="1"/>
  <c r="K27" i="53" s="1"/>
  <c r="K28" i="53" s="1"/>
  <c r="K29" i="53" s="1"/>
  <c r="K30" i="53" s="1"/>
  <c r="K31" i="53" s="1"/>
  <c r="K32" i="53" s="1"/>
  <c r="K33" i="53" s="1"/>
  <c r="K34" i="53" s="1"/>
  <c r="K35" i="53" s="1"/>
  <c r="K36" i="53" s="1"/>
  <c r="K37" i="53" s="1"/>
  <c r="K38" i="53" s="1"/>
  <c r="K39" i="53" s="1"/>
  <c r="K40" i="53" s="1"/>
  <c r="K41" i="53" s="1"/>
  <c r="K42" i="53" s="1"/>
  <c r="K43" i="53" s="1"/>
  <c r="K44" i="53" s="1"/>
  <c r="AA34" i="45"/>
  <c r="AB34" i="45"/>
  <c r="AA34" i="1"/>
  <c r="AB34" i="1"/>
  <c r="AC34" i="1"/>
  <c r="AD34" i="1"/>
  <c r="AE34" i="1"/>
  <c r="Y34" i="1"/>
  <c r="AC34" i="45"/>
  <c r="AD34" i="45"/>
  <c r="AE34" i="45"/>
  <c r="K12" i="50"/>
  <c r="K13" i="50" s="1"/>
  <c r="K14" i="50" s="1"/>
  <c r="K15" i="50" s="1"/>
  <c r="K16" i="50" s="1"/>
  <c r="K17" i="50" s="1"/>
  <c r="K18" i="50" s="1"/>
  <c r="K19" i="50" s="1"/>
  <c r="K20" i="50" s="1"/>
  <c r="K21" i="50" s="1"/>
  <c r="K22" i="50" s="1"/>
  <c r="K23" i="50" s="1"/>
  <c r="K24" i="50" s="1"/>
  <c r="K25" i="50" s="1"/>
  <c r="K26" i="50" s="1"/>
  <c r="K27" i="50" s="1"/>
  <c r="K28" i="50" s="1"/>
  <c r="K29" i="50" s="1"/>
  <c r="K30" i="50" s="1"/>
  <c r="K31" i="50" s="1"/>
  <c r="K32" i="50" s="1"/>
  <c r="K33" i="50" s="1"/>
  <c r="K34" i="50" s="1"/>
  <c r="K35" i="50" s="1"/>
  <c r="K36" i="50" s="1"/>
  <c r="K37" i="50" s="1"/>
  <c r="K38" i="50" s="1"/>
  <c r="K39" i="50" s="1"/>
  <c r="K40" i="50" s="1"/>
  <c r="K41" i="50" s="1"/>
  <c r="K42" i="50" s="1"/>
  <c r="K43" i="50" s="1"/>
  <c r="K44" i="50" s="1"/>
  <c r="Y34" i="45"/>
  <c r="Z34" i="45"/>
  <c r="N14" i="69"/>
  <c r="O6" i="62" l="1"/>
  <c r="N6" i="62"/>
  <c r="M6" i="62"/>
  <c r="N21" i="60"/>
  <c r="M21" i="60"/>
  <c r="N12" i="60"/>
  <c r="M12" i="60"/>
  <c r="X15" i="70"/>
  <c r="X7" i="70"/>
  <c r="X8" i="70" s="1"/>
  <c r="X9" i="70" s="1"/>
  <c r="X10" i="70" s="1"/>
  <c r="X11" i="70" s="1"/>
  <c r="X12" i="70" s="1"/>
  <c r="X13" i="70" s="1"/>
  <c r="X14" i="70" s="1"/>
  <c r="X6" i="70"/>
  <c r="X15" i="69"/>
  <c r="X7" i="69"/>
  <c r="X8" i="69" s="1"/>
  <c r="X9" i="69" s="1"/>
  <c r="X10" i="69" s="1"/>
  <c r="X11" i="69" s="1"/>
  <c r="X12" i="69" s="1"/>
  <c r="X13" i="69" s="1"/>
  <c r="X14" i="69" s="1"/>
  <c r="X6" i="69"/>
  <c r="X15" i="62"/>
  <c r="X7" i="62"/>
  <c r="X8" i="62" s="1"/>
  <c r="X9" i="62" s="1"/>
  <c r="X10" i="62" s="1"/>
  <c r="X11" i="62" s="1"/>
  <c r="X12" i="62" s="1"/>
  <c r="X13" i="62" s="1"/>
  <c r="X14" i="62" s="1"/>
  <c r="X6" i="62"/>
  <c r="G39" i="69"/>
  <c r="C13" i="69"/>
  <c r="DG11" i="15" l="1"/>
  <c r="DG12" i="15"/>
  <c r="DG13" i="15"/>
  <c r="DG14" i="15"/>
  <c r="DG15" i="15"/>
  <c r="DG16" i="15"/>
  <c r="DG17" i="15"/>
  <c r="DG18" i="15"/>
  <c r="DG19" i="15"/>
  <c r="DG20" i="15"/>
  <c r="DG21" i="15"/>
  <c r="DG22" i="15"/>
  <c r="DG23" i="15"/>
  <c r="DG24" i="15"/>
  <c r="DG25" i="15"/>
  <c r="DG26" i="15"/>
  <c r="DG27" i="15"/>
  <c r="DG28" i="15"/>
  <c r="DG29" i="15"/>
  <c r="DG30" i="15"/>
  <c r="DG31" i="15"/>
  <c r="DG32" i="15"/>
  <c r="DG33" i="15"/>
  <c r="DG34" i="15"/>
  <c r="DG35" i="15"/>
  <c r="DG36" i="15"/>
  <c r="DG37" i="15"/>
  <c r="DG38" i="15"/>
  <c r="DG39" i="15"/>
  <c r="DG40" i="15"/>
  <c r="DG41" i="15"/>
  <c r="DG42" i="15"/>
  <c r="DG43" i="15"/>
  <c r="DG44" i="15"/>
  <c r="DG10" i="15"/>
  <c r="DF9" i="15"/>
  <c r="DE10" i="15"/>
  <c r="DE11" i="15"/>
  <c r="DE12" i="15"/>
  <c r="DE13" i="15"/>
  <c r="DE14" i="15"/>
  <c r="DE15" i="15"/>
  <c r="DE16" i="15"/>
  <c r="DE17" i="15"/>
  <c r="DE18" i="15"/>
  <c r="DE19" i="15"/>
  <c r="DE20" i="15"/>
  <c r="DE21" i="15"/>
  <c r="DE22" i="15"/>
  <c r="DE23" i="15"/>
  <c r="DE24" i="15"/>
  <c r="DE25" i="15"/>
  <c r="DE26" i="15"/>
  <c r="DE27" i="15"/>
  <c r="DE28" i="15"/>
  <c r="DE29" i="15"/>
  <c r="DE30" i="15"/>
  <c r="DE31" i="15"/>
  <c r="DE32" i="15"/>
  <c r="DE33" i="15"/>
  <c r="DE34" i="15"/>
  <c r="DE35" i="15"/>
  <c r="DE36" i="15"/>
  <c r="DE37" i="15"/>
  <c r="DE38" i="15"/>
  <c r="DE39" i="15"/>
  <c r="DE40" i="15"/>
  <c r="DE41" i="15"/>
  <c r="DE42" i="15"/>
  <c r="DE43" i="15"/>
  <c r="DE44" i="15"/>
  <c r="CW11" i="15"/>
  <c r="CW12" i="15"/>
  <c r="CW13" i="15"/>
  <c r="CW14" i="15"/>
  <c r="CW15" i="15"/>
  <c r="CW16" i="15"/>
  <c r="CW17" i="15"/>
  <c r="CW18" i="15"/>
  <c r="CW19" i="15"/>
  <c r="CW20" i="15"/>
  <c r="CW21" i="15"/>
  <c r="CW22" i="15"/>
  <c r="CW23" i="15"/>
  <c r="CW24" i="15"/>
  <c r="CW25" i="15"/>
  <c r="CW26" i="15"/>
  <c r="CW27" i="15"/>
  <c r="CW28" i="15"/>
  <c r="CW29" i="15"/>
  <c r="CW30" i="15"/>
  <c r="CW31" i="15"/>
  <c r="CW32" i="15"/>
  <c r="CW33" i="15"/>
  <c r="CW34" i="15"/>
  <c r="CW35" i="15"/>
  <c r="CW36" i="15"/>
  <c r="CW37" i="15"/>
  <c r="CW38" i="15"/>
  <c r="CW39" i="15"/>
  <c r="CW40" i="15"/>
  <c r="CW41" i="15"/>
  <c r="CW42" i="15"/>
  <c r="CW43" i="15"/>
  <c r="CW44" i="15"/>
  <c r="CW10" i="15"/>
  <c r="CV9" i="15"/>
  <c r="CU10" i="15"/>
  <c r="CU11" i="15"/>
  <c r="CU12" i="15"/>
  <c r="CU13" i="15"/>
  <c r="CU14" i="15"/>
  <c r="CU15" i="15"/>
  <c r="CU16" i="15"/>
  <c r="CU17" i="15"/>
  <c r="CU18" i="15"/>
  <c r="CU19" i="15"/>
  <c r="CU20" i="15"/>
  <c r="CU21" i="15"/>
  <c r="CU22" i="15"/>
  <c r="CU23" i="15"/>
  <c r="CU24" i="15"/>
  <c r="CU25" i="15"/>
  <c r="CU26" i="15"/>
  <c r="CU27" i="15"/>
  <c r="CU28" i="15"/>
  <c r="CU29" i="15"/>
  <c r="CU30" i="15"/>
  <c r="CU31" i="15"/>
  <c r="CU32" i="15"/>
  <c r="CU33" i="15"/>
  <c r="CU34" i="15"/>
  <c r="CU35" i="15"/>
  <c r="CU36" i="15"/>
  <c r="CU37" i="15"/>
  <c r="CU38" i="15"/>
  <c r="CU39" i="15"/>
  <c r="CU40" i="15"/>
  <c r="CU41" i="15"/>
  <c r="CU42" i="15"/>
  <c r="CU43" i="15"/>
  <c r="CU44" i="15"/>
  <c r="CM11" i="15"/>
  <c r="CM12" i="15"/>
  <c r="CM13" i="15"/>
  <c r="CM14" i="15"/>
  <c r="CM15" i="15"/>
  <c r="CM16" i="15"/>
  <c r="CM17" i="15"/>
  <c r="CM18" i="15"/>
  <c r="CM19" i="15"/>
  <c r="CM20" i="15"/>
  <c r="CM21" i="15"/>
  <c r="CM22" i="15"/>
  <c r="CM23" i="15"/>
  <c r="CM24" i="15"/>
  <c r="CM25" i="15"/>
  <c r="CM26" i="15"/>
  <c r="CM27" i="15"/>
  <c r="CM28" i="15"/>
  <c r="CM29" i="15"/>
  <c r="CM30" i="15"/>
  <c r="CM31" i="15"/>
  <c r="CM32" i="15"/>
  <c r="CM33" i="15"/>
  <c r="CM34" i="15"/>
  <c r="CM35" i="15"/>
  <c r="CM36" i="15"/>
  <c r="CM37" i="15"/>
  <c r="CM38" i="15"/>
  <c r="CM39" i="15"/>
  <c r="CM40" i="15"/>
  <c r="CM41" i="15"/>
  <c r="CM42" i="15"/>
  <c r="CM43" i="15"/>
  <c r="CM44" i="15"/>
  <c r="CM10" i="15"/>
  <c r="CL9" i="15"/>
  <c r="CK10" i="15"/>
  <c r="CK11" i="15"/>
  <c r="CK12" i="15"/>
  <c r="CK13" i="15"/>
  <c r="CK14" i="15"/>
  <c r="CK15" i="15"/>
  <c r="CK16" i="15"/>
  <c r="CK17" i="15"/>
  <c r="CK18" i="15"/>
  <c r="CK19" i="15"/>
  <c r="CK20" i="15"/>
  <c r="CK21" i="15"/>
  <c r="CK22" i="15"/>
  <c r="CK23" i="15"/>
  <c r="CK24" i="15"/>
  <c r="CK25" i="15"/>
  <c r="CK26" i="15"/>
  <c r="CK27" i="15"/>
  <c r="CK28" i="15"/>
  <c r="CK29" i="15"/>
  <c r="CK30" i="15"/>
  <c r="CK31" i="15"/>
  <c r="CK32" i="15"/>
  <c r="CK33" i="15"/>
  <c r="CK34" i="15"/>
  <c r="CK35" i="15"/>
  <c r="CK36" i="15"/>
  <c r="CK37" i="15"/>
  <c r="CK38" i="15"/>
  <c r="CK39" i="15"/>
  <c r="CK40" i="15"/>
  <c r="CK41" i="15"/>
  <c r="CK42" i="15"/>
  <c r="CK43" i="15"/>
  <c r="CK44" i="15"/>
  <c r="AG36" i="16"/>
  <c r="AG37" i="16"/>
  <c r="AG38" i="16"/>
  <c r="AG39" i="16"/>
  <c r="AG40" i="16"/>
  <c r="AG41" i="16"/>
  <c r="AG42" i="16"/>
  <c r="AG43" i="16"/>
  <c r="AG44" i="16"/>
  <c r="AG45" i="16"/>
  <c r="AD36" i="16"/>
  <c r="AD37" i="16"/>
  <c r="AD38" i="16"/>
  <c r="AD39" i="16"/>
  <c r="AD40" i="16"/>
  <c r="AD41" i="16"/>
  <c r="AD42" i="16"/>
  <c r="AD43" i="16"/>
  <c r="AD44" i="16"/>
  <c r="AD45" i="16"/>
  <c r="AA36" i="16"/>
  <c r="AA37" i="16"/>
  <c r="AA38" i="16"/>
  <c r="AA39" i="16"/>
  <c r="AA40" i="16"/>
  <c r="AA41" i="16"/>
  <c r="AA42" i="16"/>
  <c r="AA43" i="16"/>
  <c r="AA44" i="16"/>
  <c r="AA45" i="16"/>
  <c r="U36" i="16"/>
  <c r="U37" i="16"/>
  <c r="U38" i="16"/>
  <c r="U39" i="16"/>
  <c r="U40" i="16"/>
  <c r="U41" i="16"/>
  <c r="U42" i="16"/>
  <c r="U43" i="16"/>
  <c r="U44" i="16"/>
  <c r="U45" i="16"/>
  <c r="R36" i="16"/>
  <c r="R37" i="16"/>
  <c r="R38" i="16"/>
  <c r="R39" i="16"/>
  <c r="R40" i="16"/>
  <c r="R41" i="16"/>
  <c r="R42" i="16"/>
  <c r="R43" i="16"/>
  <c r="R44" i="16"/>
  <c r="R45" i="16"/>
  <c r="G38" i="32" l="1"/>
  <c r="G40" i="46"/>
  <c r="G43" i="48"/>
  <c r="O11" i="70"/>
  <c r="N4" i="70"/>
  <c r="N13" i="70" s="1"/>
  <c r="M4" i="70"/>
  <c r="M6" i="70" s="1"/>
  <c r="C13" i="70"/>
  <c r="M13" i="70" l="1"/>
  <c r="N6" i="70"/>
  <c r="G38" i="69"/>
  <c r="G30" i="68"/>
  <c r="G32" i="68" s="1"/>
  <c r="M4" i="68" s="1"/>
  <c r="M14" i="68" s="1"/>
  <c r="G26" i="70"/>
  <c r="G28" i="70" s="1"/>
  <c r="G29" i="70" s="1"/>
  <c r="G33" i="70" s="1"/>
  <c r="O11" i="69"/>
  <c r="C29" i="69"/>
  <c r="O4" i="69" s="1"/>
  <c r="G29" i="69"/>
  <c r="G28" i="69"/>
  <c r="G26" i="69" s="1"/>
  <c r="N14" i="68"/>
  <c r="N12" i="68"/>
  <c r="N6" i="68"/>
  <c r="O12" i="68"/>
  <c r="G35" i="68"/>
  <c r="G36" i="68" s="1"/>
  <c r="G31" i="68"/>
  <c r="N15" i="68" l="1"/>
  <c r="C13" i="68"/>
  <c r="O7" i="70"/>
  <c r="N7" i="70"/>
  <c r="N9" i="70" s="1"/>
  <c r="N11" i="70" s="1"/>
  <c r="N14" i="70" s="1"/>
  <c r="M7" i="70"/>
  <c r="M9" i="70" s="1"/>
  <c r="M11" i="70" s="1"/>
  <c r="M14" i="70" s="1"/>
  <c r="M6" i="68"/>
  <c r="G37" i="68"/>
  <c r="O6" i="69"/>
  <c r="O13" i="69"/>
  <c r="G32" i="69"/>
  <c r="G33" i="69" s="1"/>
  <c r="O14" i="69" l="1"/>
  <c r="M7" i="68"/>
  <c r="M10" i="68" s="1"/>
  <c r="M12" i="68" s="1"/>
  <c r="M15" i="68" s="1"/>
  <c r="N7" i="68"/>
  <c r="O7" i="68"/>
  <c r="O7" i="69"/>
  <c r="G36" i="69"/>
  <c r="M15" i="69" l="1"/>
  <c r="N15" i="69"/>
  <c r="N16" i="69" s="1"/>
  <c r="H16" i="67" l="1"/>
  <c r="H24" i="67"/>
  <c r="H32" i="67"/>
  <c r="H40" i="67"/>
  <c r="H17" i="67"/>
  <c r="H25" i="67"/>
  <c r="H33" i="67"/>
  <c r="H41" i="67"/>
  <c r="H18" i="67"/>
  <c r="H26" i="67"/>
  <c r="H34" i="67"/>
  <c r="H42" i="67"/>
  <c r="H19" i="67"/>
  <c r="H27" i="67"/>
  <c r="H35" i="67"/>
  <c r="H43" i="67"/>
  <c r="H20" i="67"/>
  <c r="H28" i="67"/>
  <c r="H36" i="67"/>
  <c r="H44" i="67"/>
  <c r="H13" i="67"/>
  <c r="H21" i="67"/>
  <c r="H29" i="67"/>
  <c r="H37" i="67"/>
  <c r="H12" i="67"/>
  <c r="H14" i="67"/>
  <c r="H22" i="67"/>
  <c r="H30" i="67"/>
  <c r="H38" i="67"/>
  <c r="H15" i="67"/>
  <c r="H23" i="67"/>
  <c r="H31" i="67"/>
  <c r="H39" i="67"/>
  <c r="M16" i="69"/>
  <c r="AB4" i="69" s="1"/>
  <c r="AA4" i="69"/>
  <c r="Y13" i="67"/>
  <c r="Z13" i="67"/>
  <c r="Y14" i="67"/>
  <c r="Z14" i="67"/>
  <c r="Y15" i="67"/>
  <c r="Z15" i="67"/>
  <c r="Y16" i="67"/>
  <c r="Z16" i="67"/>
  <c r="Y17" i="67"/>
  <c r="Z17" i="67"/>
  <c r="Y18" i="67"/>
  <c r="Z18" i="67"/>
  <c r="Y19" i="67"/>
  <c r="Z19" i="67"/>
  <c r="Y20" i="67"/>
  <c r="Z20" i="67"/>
  <c r="Y21" i="67"/>
  <c r="Z21" i="67"/>
  <c r="Y22" i="67"/>
  <c r="Z22" i="67"/>
  <c r="Y23" i="67"/>
  <c r="Z23" i="67"/>
  <c r="Y24" i="67"/>
  <c r="Z24" i="67"/>
  <c r="Y25" i="67"/>
  <c r="Z25" i="67"/>
  <c r="Y26" i="67"/>
  <c r="Z26" i="67"/>
  <c r="Y27" i="67"/>
  <c r="Z27" i="67"/>
  <c r="Y28" i="67"/>
  <c r="Z28" i="67"/>
  <c r="Y29" i="67"/>
  <c r="Z29" i="67"/>
  <c r="Y30" i="67"/>
  <c r="Z30" i="67"/>
  <c r="Y31" i="67"/>
  <c r="Z31" i="67"/>
  <c r="Y32" i="67"/>
  <c r="Z32" i="67"/>
  <c r="Y33" i="67"/>
  <c r="Z33" i="67"/>
  <c r="Y34" i="67"/>
  <c r="Z34" i="67"/>
  <c r="Y35" i="67"/>
  <c r="Z35" i="67"/>
  <c r="Y36" i="67"/>
  <c r="Z36" i="67"/>
  <c r="Y37" i="67"/>
  <c r="Z37" i="67"/>
  <c r="Y38" i="67"/>
  <c r="Z38" i="67"/>
  <c r="Y39" i="67"/>
  <c r="Z39" i="67"/>
  <c r="Y40" i="67"/>
  <c r="Z40" i="67"/>
  <c r="Y41" i="67"/>
  <c r="Z41" i="67"/>
  <c r="Y42" i="67"/>
  <c r="Z42" i="67"/>
  <c r="Y43" i="67"/>
  <c r="Z43" i="67"/>
  <c r="Y44" i="67"/>
  <c r="Z44" i="67"/>
  <c r="Y12" i="67"/>
  <c r="Z12" i="67"/>
  <c r="V13" i="67"/>
  <c r="W13" i="67" s="1"/>
  <c r="V14" i="67"/>
  <c r="W14" i="67" s="1"/>
  <c r="V15" i="67"/>
  <c r="W15" i="67" s="1"/>
  <c r="V16" i="67"/>
  <c r="W16" i="67" s="1"/>
  <c r="V17" i="67"/>
  <c r="W17" i="67" s="1"/>
  <c r="V18" i="67"/>
  <c r="W18" i="67" s="1"/>
  <c r="V19" i="67"/>
  <c r="W19" i="67" s="1"/>
  <c r="V20" i="67"/>
  <c r="W20" i="67" s="1"/>
  <c r="V21" i="67"/>
  <c r="W21" i="67" s="1"/>
  <c r="V22" i="67"/>
  <c r="W22" i="67" s="1"/>
  <c r="V23" i="67"/>
  <c r="W23" i="67" s="1"/>
  <c r="V24" i="67"/>
  <c r="W24" i="67" s="1"/>
  <c r="V25" i="67"/>
  <c r="W25" i="67" s="1"/>
  <c r="V26" i="67"/>
  <c r="W26" i="67" s="1"/>
  <c r="V27" i="67"/>
  <c r="W27" i="67" s="1"/>
  <c r="V28" i="67"/>
  <c r="W28" i="67" s="1"/>
  <c r="V29" i="67"/>
  <c r="W29" i="67" s="1"/>
  <c r="V30" i="67"/>
  <c r="W30" i="67" s="1"/>
  <c r="V31" i="67"/>
  <c r="W31" i="67" s="1"/>
  <c r="V32" i="67"/>
  <c r="W32" i="67" s="1"/>
  <c r="V33" i="67"/>
  <c r="W33" i="67" s="1"/>
  <c r="V34" i="67"/>
  <c r="W34" i="67" s="1"/>
  <c r="V35" i="67"/>
  <c r="W35" i="67" s="1"/>
  <c r="V36" i="67"/>
  <c r="W36" i="67" s="1"/>
  <c r="V37" i="67"/>
  <c r="W37" i="67" s="1"/>
  <c r="V38" i="67"/>
  <c r="W38" i="67" s="1"/>
  <c r="V39" i="67"/>
  <c r="W39" i="67" s="1"/>
  <c r="V40" i="67"/>
  <c r="W40" i="67" s="1"/>
  <c r="V41" i="67"/>
  <c r="W41" i="67" s="1"/>
  <c r="V42" i="67"/>
  <c r="W42" i="67" s="1"/>
  <c r="V43" i="67"/>
  <c r="W43" i="67" s="1"/>
  <c r="V44" i="67"/>
  <c r="W44" i="67" s="1"/>
  <c r="V12" i="67"/>
  <c r="W12" i="67" s="1"/>
  <c r="K37" i="67"/>
  <c r="K38" i="67"/>
  <c r="K39" i="67"/>
  <c r="K40" i="67"/>
  <c r="K41" i="67"/>
  <c r="K42" i="67"/>
  <c r="K43" i="67"/>
  <c r="K44" i="67"/>
  <c r="Y13" i="66"/>
  <c r="Y14" i="66"/>
  <c r="Y15" i="66"/>
  <c r="Y16" i="66"/>
  <c r="Y17" i="66"/>
  <c r="Y18" i="66"/>
  <c r="Y19" i="66"/>
  <c r="Y20" i="66"/>
  <c r="Y21" i="66"/>
  <c r="Y22" i="66"/>
  <c r="Y23" i="66"/>
  <c r="Y24" i="66"/>
  <c r="Y25" i="66"/>
  <c r="Y26" i="66"/>
  <c r="Y27" i="66"/>
  <c r="Y28" i="66"/>
  <c r="Y29" i="66"/>
  <c r="Y30" i="66"/>
  <c r="Y31" i="66"/>
  <c r="Y32" i="66"/>
  <c r="Y33" i="66"/>
  <c r="Y34" i="66"/>
  <c r="Y35" i="66"/>
  <c r="Y36" i="66"/>
  <c r="Y37" i="66"/>
  <c r="Y38" i="66"/>
  <c r="Y39" i="66"/>
  <c r="Y40" i="66"/>
  <c r="Y41" i="66"/>
  <c r="Y42" i="66"/>
  <c r="Y43" i="66"/>
  <c r="Y44" i="66"/>
  <c r="Y12" i="66"/>
  <c r="Z13" i="66"/>
  <c r="Z14" i="66"/>
  <c r="Z15" i="66"/>
  <c r="Z16" i="66"/>
  <c r="Z17" i="66"/>
  <c r="Z18" i="66"/>
  <c r="Z19" i="66"/>
  <c r="Z20" i="66"/>
  <c r="Z21" i="66"/>
  <c r="Z22" i="66"/>
  <c r="Z23" i="66"/>
  <c r="Z24" i="66"/>
  <c r="Z25" i="66"/>
  <c r="Z26" i="66"/>
  <c r="AA26" i="66" s="1"/>
  <c r="Z27" i="66"/>
  <c r="Z28" i="66"/>
  <c r="Z29" i="66"/>
  <c r="Z30" i="66"/>
  <c r="Z31" i="66"/>
  <c r="Z32" i="66"/>
  <c r="Z33" i="66"/>
  <c r="Z34" i="66"/>
  <c r="Z35" i="66"/>
  <c r="Z36" i="66"/>
  <c r="Z37" i="66"/>
  <c r="Z38" i="66"/>
  <c r="Z39" i="66"/>
  <c r="Z40" i="66"/>
  <c r="Z41" i="66"/>
  <c r="Z42" i="66"/>
  <c r="Z43" i="66"/>
  <c r="Z44" i="66"/>
  <c r="Z12" i="66"/>
  <c r="V13" i="66"/>
  <c r="W13" i="66" s="1"/>
  <c r="V14" i="66"/>
  <c r="W14" i="66" s="1"/>
  <c r="V15" i="66"/>
  <c r="W15" i="66" s="1"/>
  <c r="V16" i="66"/>
  <c r="W16" i="66" s="1"/>
  <c r="V17" i="66"/>
  <c r="W17" i="66" s="1"/>
  <c r="V18" i="66"/>
  <c r="W18" i="66" s="1"/>
  <c r="V19" i="66"/>
  <c r="W19" i="66" s="1"/>
  <c r="V20" i="66"/>
  <c r="W20" i="66" s="1"/>
  <c r="V21" i="66"/>
  <c r="W21" i="66" s="1"/>
  <c r="V22" i="66"/>
  <c r="W22" i="66" s="1"/>
  <c r="V23" i="66"/>
  <c r="W23" i="66" s="1"/>
  <c r="V24" i="66"/>
  <c r="W24" i="66" s="1"/>
  <c r="V25" i="66"/>
  <c r="W25" i="66" s="1"/>
  <c r="V26" i="66"/>
  <c r="W26" i="66" s="1"/>
  <c r="V27" i="66"/>
  <c r="W27" i="66" s="1"/>
  <c r="V28" i="66"/>
  <c r="W28" i="66" s="1"/>
  <c r="V29" i="66"/>
  <c r="W29" i="66" s="1"/>
  <c r="V30" i="66"/>
  <c r="W30" i="66" s="1"/>
  <c r="V31" i="66"/>
  <c r="W31" i="66" s="1"/>
  <c r="V32" i="66"/>
  <c r="W32" i="66" s="1"/>
  <c r="V33" i="66"/>
  <c r="W33" i="66" s="1"/>
  <c r="V34" i="66"/>
  <c r="W34" i="66" s="1"/>
  <c r="V35" i="66"/>
  <c r="W35" i="66" s="1"/>
  <c r="V36" i="66"/>
  <c r="W36" i="66" s="1"/>
  <c r="V37" i="66"/>
  <c r="W37" i="66" s="1"/>
  <c r="V38" i="66"/>
  <c r="W38" i="66" s="1"/>
  <c r="V39" i="66"/>
  <c r="W39" i="66" s="1"/>
  <c r="V40" i="66"/>
  <c r="W40" i="66" s="1"/>
  <c r="V41" i="66"/>
  <c r="W41" i="66" s="1"/>
  <c r="V42" i="66"/>
  <c r="W42" i="66" s="1"/>
  <c r="V43" i="66"/>
  <c r="W43" i="66" s="1"/>
  <c r="V44" i="66"/>
  <c r="W44" i="66" s="1"/>
  <c r="V12" i="66"/>
  <c r="K37" i="66"/>
  <c r="K38" i="66"/>
  <c r="K39" i="66"/>
  <c r="K40" i="66"/>
  <c r="K41" i="66"/>
  <c r="K42" i="66"/>
  <c r="K43" i="66"/>
  <c r="K44" i="66"/>
  <c r="Y13" i="65"/>
  <c r="Y14" i="65"/>
  <c r="Y15" i="65"/>
  <c r="Y16" i="65"/>
  <c r="Y17" i="65"/>
  <c r="Y18" i="65"/>
  <c r="Y19" i="65"/>
  <c r="Y20" i="65"/>
  <c r="Y21" i="65"/>
  <c r="Y22" i="65"/>
  <c r="Y23" i="65"/>
  <c r="Y24" i="65"/>
  <c r="Y25" i="65"/>
  <c r="Y26" i="65"/>
  <c r="Y27" i="65"/>
  <c r="Y28" i="65"/>
  <c r="Y29" i="65"/>
  <c r="Y30" i="65"/>
  <c r="Y31" i="65"/>
  <c r="Y32" i="65"/>
  <c r="Y33" i="65"/>
  <c r="Y34" i="65"/>
  <c r="Y35" i="65"/>
  <c r="Y36" i="65"/>
  <c r="Y37" i="65"/>
  <c r="Y38" i="65"/>
  <c r="Y39" i="65"/>
  <c r="Y40" i="65"/>
  <c r="Y41" i="65"/>
  <c r="Y42" i="65"/>
  <c r="Y43" i="65"/>
  <c r="Y44" i="65"/>
  <c r="Y12" i="65"/>
  <c r="Z13" i="65"/>
  <c r="Z14" i="65"/>
  <c r="Z15" i="65"/>
  <c r="Z16" i="65"/>
  <c r="Z17" i="65"/>
  <c r="Z18" i="65"/>
  <c r="Z19" i="65"/>
  <c r="Z20" i="65"/>
  <c r="Z21" i="65"/>
  <c r="Z22" i="65"/>
  <c r="Z23" i="65"/>
  <c r="Z24" i="65"/>
  <c r="Z25" i="65"/>
  <c r="Z26" i="65"/>
  <c r="Z27" i="65"/>
  <c r="Z28" i="65"/>
  <c r="Z29" i="65"/>
  <c r="Z30" i="65"/>
  <c r="Z31" i="65"/>
  <c r="Z32" i="65"/>
  <c r="Z33" i="65"/>
  <c r="Z34" i="65"/>
  <c r="Z35" i="65"/>
  <c r="Z36" i="65"/>
  <c r="Z37" i="65"/>
  <c r="Z38" i="65"/>
  <c r="Z39" i="65"/>
  <c r="Z40" i="65"/>
  <c r="Z41" i="65"/>
  <c r="Z42" i="65"/>
  <c r="Z43" i="65"/>
  <c r="Z44" i="65"/>
  <c r="Z12" i="65"/>
  <c r="V13" i="65"/>
  <c r="W13" i="65" s="1"/>
  <c r="V14" i="65"/>
  <c r="W14" i="65" s="1"/>
  <c r="V15" i="65"/>
  <c r="W15" i="65" s="1"/>
  <c r="V16" i="65"/>
  <c r="W16" i="65" s="1"/>
  <c r="V17" i="65"/>
  <c r="W17" i="65" s="1"/>
  <c r="V18" i="65"/>
  <c r="W18" i="65" s="1"/>
  <c r="V19" i="65"/>
  <c r="W19" i="65" s="1"/>
  <c r="V20" i="65"/>
  <c r="W20" i="65" s="1"/>
  <c r="V21" i="65"/>
  <c r="W21" i="65" s="1"/>
  <c r="V22" i="65"/>
  <c r="W22" i="65" s="1"/>
  <c r="V23" i="65"/>
  <c r="W23" i="65" s="1"/>
  <c r="V24" i="65"/>
  <c r="W24" i="65" s="1"/>
  <c r="V25" i="65"/>
  <c r="W25" i="65" s="1"/>
  <c r="V26" i="65"/>
  <c r="W26" i="65" s="1"/>
  <c r="V27" i="65"/>
  <c r="W27" i="65" s="1"/>
  <c r="V28" i="65"/>
  <c r="W28" i="65" s="1"/>
  <c r="V29" i="65"/>
  <c r="W29" i="65" s="1"/>
  <c r="V30" i="65"/>
  <c r="W30" i="65" s="1"/>
  <c r="V31" i="65"/>
  <c r="W31" i="65" s="1"/>
  <c r="V32" i="65"/>
  <c r="W32" i="65" s="1"/>
  <c r="V33" i="65"/>
  <c r="W33" i="65" s="1"/>
  <c r="V34" i="65"/>
  <c r="W34" i="65" s="1"/>
  <c r="V35" i="65"/>
  <c r="W35" i="65" s="1"/>
  <c r="V36" i="65"/>
  <c r="W36" i="65" s="1"/>
  <c r="V37" i="65"/>
  <c r="W37" i="65" s="1"/>
  <c r="V38" i="65"/>
  <c r="W38" i="65" s="1"/>
  <c r="V39" i="65"/>
  <c r="W39" i="65" s="1"/>
  <c r="V40" i="65"/>
  <c r="W40" i="65" s="1"/>
  <c r="V41" i="65"/>
  <c r="W41" i="65" s="1"/>
  <c r="V42" i="65"/>
  <c r="W42" i="65" s="1"/>
  <c r="V43" i="65"/>
  <c r="W43" i="65" s="1"/>
  <c r="V44" i="65"/>
  <c r="W44" i="65" s="1"/>
  <c r="V12" i="65"/>
  <c r="K37" i="65"/>
  <c r="K38" i="65"/>
  <c r="K39" i="65"/>
  <c r="K40" i="65"/>
  <c r="K41" i="65"/>
  <c r="K42" i="65"/>
  <c r="K43" i="65"/>
  <c r="K44" i="65"/>
  <c r="B13" i="67"/>
  <c r="D13" i="67"/>
  <c r="C13" i="67" s="1"/>
  <c r="E13" i="67"/>
  <c r="D14" i="67"/>
  <c r="C14" i="67" s="1"/>
  <c r="E14" i="67"/>
  <c r="D15" i="67"/>
  <c r="C15" i="67" s="1"/>
  <c r="E15" i="67"/>
  <c r="D16" i="67"/>
  <c r="C16" i="67" s="1"/>
  <c r="E16" i="67"/>
  <c r="D17" i="67"/>
  <c r="C17" i="67" s="1"/>
  <c r="E17" i="67"/>
  <c r="D18" i="67"/>
  <c r="C18" i="67" s="1"/>
  <c r="E18" i="67"/>
  <c r="D19" i="67"/>
  <c r="C19" i="67" s="1"/>
  <c r="E19" i="67"/>
  <c r="D20" i="67"/>
  <c r="C20" i="67" s="1"/>
  <c r="E20" i="67"/>
  <c r="D21" i="67"/>
  <c r="C21" i="67" s="1"/>
  <c r="E21" i="67"/>
  <c r="D22" i="67"/>
  <c r="C22" i="67" s="1"/>
  <c r="E22" i="67"/>
  <c r="D23" i="67"/>
  <c r="C23" i="67" s="1"/>
  <c r="E23" i="67"/>
  <c r="D24" i="67"/>
  <c r="C24" i="67" s="1"/>
  <c r="E24" i="67"/>
  <c r="D25" i="67"/>
  <c r="C25" i="67" s="1"/>
  <c r="E25" i="67"/>
  <c r="D26" i="67"/>
  <c r="C26" i="67" s="1"/>
  <c r="E26" i="67"/>
  <c r="D27" i="67"/>
  <c r="C27" i="67" s="1"/>
  <c r="E27" i="67"/>
  <c r="D28" i="67"/>
  <c r="C28" i="67" s="1"/>
  <c r="E28" i="67"/>
  <c r="D29" i="67"/>
  <c r="C29" i="67" s="1"/>
  <c r="E29" i="67"/>
  <c r="D30" i="67"/>
  <c r="C30" i="67" s="1"/>
  <c r="E30" i="67"/>
  <c r="D31" i="67"/>
  <c r="C31" i="67" s="1"/>
  <c r="E31" i="67"/>
  <c r="D32" i="67"/>
  <c r="C32" i="67" s="1"/>
  <c r="E32" i="67"/>
  <c r="D33" i="67"/>
  <c r="C33" i="67" s="1"/>
  <c r="E33" i="67"/>
  <c r="D34" i="67"/>
  <c r="C34" i="67" s="1"/>
  <c r="E34" i="67"/>
  <c r="D35" i="67"/>
  <c r="C35" i="67" s="1"/>
  <c r="E35" i="67"/>
  <c r="D36" i="67"/>
  <c r="C36" i="67" s="1"/>
  <c r="E36" i="67"/>
  <c r="D37" i="67"/>
  <c r="C37" i="67" s="1"/>
  <c r="E37" i="67"/>
  <c r="D38" i="67"/>
  <c r="C38" i="67" s="1"/>
  <c r="E38" i="67"/>
  <c r="D39" i="67"/>
  <c r="C39" i="67" s="1"/>
  <c r="E39" i="67"/>
  <c r="D40" i="67"/>
  <c r="C40" i="67" s="1"/>
  <c r="E40" i="67"/>
  <c r="D41" i="67"/>
  <c r="C41" i="67" s="1"/>
  <c r="E41" i="67"/>
  <c r="D42" i="67"/>
  <c r="C42" i="67" s="1"/>
  <c r="E42" i="67"/>
  <c r="D43" i="67"/>
  <c r="C43" i="67" s="1"/>
  <c r="E43" i="67"/>
  <c r="D44" i="67"/>
  <c r="C44" i="67" s="1"/>
  <c r="E44" i="67"/>
  <c r="AA27" i="66"/>
  <c r="E13" i="66"/>
  <c r="E14" i="66" s="1"/>
  <c r="E15" i="66" s="1"/>
  <c r="E16" i="66" s="1"/>
  <c r="E17" i="66" s="1"/>
  <c r="E18" i="66" s="1"/>
  <c r="E19" i="66" s="1"/>
  <c r="E20" i="66" s="1"/>
  <c r="E21" i="66" s="1"/>
  <c r="E22" i="66" s="1"/>
  <c r="E23" i="66" s="1"/>
  <c r="E24" i="66" s="1"/>
  <c r="E25" i="66" s="1"/>
  <c r="E26" i="66" s="1"/>
  <c r="E27" i="66" s="1"/>
  <c r="E28" i="66" s="1"/>
  <c r="E29" i="66" s="1"/>
  <c r="E30" i="66" s="1"/>
  <c r="E31" i="66" s="1"/>
  <c r="E32" i="66" s="1"/>
  <c r="E33" i="66" s="1"/>
  <c r="E34" i="66" s="1"/>
  <c r="E35" i="66" s="1"/>
  <c r="E36" i="66" s="1"/>
  <c r="E37" i="66" s="1"/>
  <c r="E38" i="66" s="1"/>
  <c r="E39" i="66" s="1"/>
  <c r="E40" i="66" s="1"/>
  <c r="E41" i="66" s="1"/>
  <c r="E42" i="66" s="1"/>
  <c r="E43" i="66" s="1"/>
  <c r="E44" i="66" s="1"/>
  <c r="D13" i="66"/>
  <c r="D14" i="66" s="1"/>
  <c r="B13" i="66"/>
  <c r="B14" i="66" s="1"/>
  <c r="B13" i="65"/>
  <c r="B14" i="65" s="1"/>
  <c r="B15" i="65" s="1"/>
  <c r="B16" i="65" s="1"/>
  <c r="B17" i="65" s="1"/>
  <c r="B18" i="65" s="1"/>
  <c r="B19" i="65" s="1"/>
  <c r="B20" i="65" s="1"/>
  <c r="B21" i="65" s="1"/>
  <c r="B22" i="65" s="1"/>
  <c r="B23" i="65" s="1"/>
  <c r="B24" i="65" s="1"/>
  <c r="B25" i="65" s="1"/>
  <c r="B26" i="65" s="1"/>
  <c r="B27" i="65" s="1"/>
  <c r="B28" i="65" s="1"/>
  <c r="B29" i="65" s="1"/>
  <c r="B30" i="65" s="1"/>
  <c r="B31" i="65" s="1"/>
  <c r="B32" i="65" s="1"/>
  <c r="B33" i="65" s="1"/>
  <c r="B34" i="65" s="1"/>
  <c r="B35" i="65" s="1"/>
  <c r="B36" i="65" s="1"/>
  <c r="B37" i="65" s="1"/>
  <c r="B38" i="65" s="1"/>
  <c r="B39" i="65" s="1"/>
  <c r="B40" i="65" s="1"/>
  <c r="B41" i="65" s="1"/>
  <c r="B42" i="65" s="1"/>
  <c r="B43" i="65" s="1"/>
  <c r="B44" i="65" s="1"/>
  <c r="C13" i="65"/>
  <c r="D13" i="65"/>
  <c r="D14" i="65" s="1"/>
  <c r="E13" i="65"/>
  <c r="E14" i="65" s="1"/>
  <c r="E15" i="65" s="1"/>
  <c r="E16" i="65" s="1"/>
  <c r="E17" i="65" s="1"/>
  <c r="E18" i="65" s="1"/>
  <c r="E19" i="65" s="1"/>
  <c r="E20" i="65" s="1"/>
  <c r="E21" i="65" s="1"/>
  <c r="E22" i="65" s="1"/>
  <c r="E23" i="65" s="1"/>
  <c r="E24" i="65" s="1"/>
  <c r="E25" i="65" s="1"/>
  <c r="E26" i="65" s="1"/>
  <c r="E27" i="65" s="1"/>
  <c r="E28" i="65" s="1"/>
  <c r="E29" i="65" s="1"/>
  <c r="E30" i="65" s="1"/>
  <c r="E31" i="65" s="1"/>
  <c r="E32" i="65" s="1"/>
  <c r="E33" i="65" s="1"/>
  <c r="E34" i="65" s="1"/>
  <c r="E35" i="65" s="1"/>
  <c r="E36" i="65" s="1"/>
  <c r="E37" i="65" s="1"/>
  <c r="E38" i="65" s="1"/>
  <c r="E39" i="65" s="1"/>
  <c r="E40" i="65" s="1"/>
  <c r="E41" i="65" s="1"/>
  <c r="E42" i="65" s="1"/>
  <c r="E43" i="65" s="1"/>
  <c r="E44" i="65" s="1"/>
  <c r="G20" i="70"/>
  <c r="F17" i="70"/>
  <c r="G11" i="70"/>
  <c r="G10" i="70"/>
  <c r="F11" i="70" s="1"/>
  <c r="G9" i="70"/>
  <c r="J7" i="70"/>
  <c r="G20" i="69"/>
  <c r="F17" i="69"/>
  <c r="G11" i="69"/>
  <c r="G10" i="69"/>
  <c r="F11" i="69" s="1"/>
  <c r="G9" i="69"/>
  <c r="J7" i="69"/>
  <c r="G20" i="68"/>
  <c r="F17" i="68"/>
  <c r="G11" i="68"/>
  <c r="G10" i="68"/>
  <c r="F11" i="68" s="1"/>
  <c r="G9" i="68"/>
  <c r="X7" i="68"/>
  <c r="X8" i="68" s="1"/>
  <c r="J7" i="68"/>
  <c r="X6" i="68"/>
  <c r="BR9" i="15"/>
  <c r="BQ10" i="15"/>
  <c r="BG10" i="15"/>
  <c r="BH9" i="15"/>
  <c r="BG11" i="15"/>
  <c r="BG12" i="15"/>
  <c r="BG13" i="15"/>
  <c r="BG14" i="15"/>
  <c r="BG15" i="15"/>
  <c r="BG16" i="15"/>
  <c r="BG17" i="15"/>
  <c r="BG18" i="15"/>
  <c r="BG19" i="15"/>
  <c r="BG20" i="15"/>
  <c r="BG21" i="15"/>
  <c r="BG22" i="15"/>
  <c r="BG23" i="15"/>
  <c r="BG24" i="15"/>
  <c r="BG25" i="15"/>
  <c r="BG26" i="15"/>
  <c r="BG27" i="15"/>
  <c r="BG28" i="15"/>
  <c r="BG29" i="15"/>
  <c r="BG30" i="15"/>
  <c r="BG31" i="15"/>
  <c r="BG32" i="15"/>
  <c r="BG33" i="15"/>
  <c r="BG34" i="15"/>
  <c r="BG35" i="15"/>
  <c r="BG36" i="15"/>
  <c r="BG37" i="15"/>
  <c r="BG38" i="15"/>
  <c r="BG39" i="15"/>
  <c r="BG40" i="15"/>
  <c r="BG41" i="15"/>
  <c r="BG42" i="15"/>
  <c r="BG43" i="15"/>
  <c r="BG44" i="15"/>
  <c r="Y12" i="64"/>
  <c r="Y13" i="64"/>
  <c r="Y14" i="64"/>
  <c r="Y15" i="64"/>
  <c r="Y16" i="64"/>
  <c r="Y17" i="64"/>
  <c r="Y18" i="64"/>
  <c r="Y19" i="64"/>
  <c r="Y20" i="64"/>
  <c r="Y21" i="64"/>
  <c r="Y22" i="64"/>
  <c r="Y23" i="64"/>
  <c r="Y24" i="64"/>
  <c r="Y25" i="64"/>
  <c r="Y26" i="64"/>
  <c r="Y27" i="64"/>
  <c r="Y28" i="64"/>
  <c r="Y29" i="64"/>
  <c r="Y30" i="64"/>
  <c r="Y31" i="64"/>
  <c r="Y32" i="64"/>
  <c r="Y33" i="64"/>
  <c r="Y34" i="64"/>
  <c r="Y35" i="64"/>
  <c r="Y36" i="64"/>
  <c r="Y37" i="64"/>
  <c r="Y38" i="64"/>
  <c r="Y39" i="64"/>
  <c r="Y40" i="64"/>
  <c r="Y41" i="64"/>
  <c r="Y42" i="64"/>
  <c r="Y43" i="64"/>
  <c r="Y44" i="64"/>
  <c r="Z13" i="64"/>
  <c r="Z14" i="64"/>
  <c r="Z15" i="64"/>
  <c r="Z16" i="64"/>
  <c r="Z17" i="64"/>
  <c r="Z18" i="64"/>
  <c r="Z19" i="64"/>
  <c r="Z20" i="64"/>
  <c r="Z21" i="64"/>
  <c r="Z22" i="64"/>
  <c r="Z23" i="64"/>
  <c r="Z24" i="64"/>
  <c r="Z25" i="64"/>
  <c r="Z26" i="64"/>
  <c r="Z27" i="64"/>
  <c r="AA27" i="64" s="1"/>
  <c r="Z28" i="64"/>
  <c r="Z29" i="64"/>
  <c r="Z30" i="64"/>
  <c r="Z31" i="64"/>
  <c r="Z32" i="64"/>
  <c r="Z33" i="64"/>
  <c r="Z34" i="64"/>
  <c r="Z35" i="64"/>
  <c r="Z36" i="64"/>
  <c r="Z37" i="64"/>
  <c r="Z38" i="64"/>
  <c r="Z39" i="64"/>
  <c r="Z40" i="64"/>
  <c r="Z41" i="64"/>
  <c r="Z42" i="64"/>
  <c r="Z43" i="64"/>
  <c r="Z44" i="64"/>
  <c r="Z12" i="64"/>
  <c r="V13" i="64"/>
  <c r="W13" i="64" s="1"/>
  <c r="V14" i="64"/>
  <c r="W14" i="64" s="1"/>
  <c r="V15" i="64"/>
  <c r="W15" i="64" s="1"/>
  <c r="V16" i="64"/>
  <c r="W16" i="64" s="1"/>
  <c r="V17" i="64"/>
  <c r="W17" i="64" s="1"/>
  <c r="V18" i="64"/>
  <c r="W18" i="64" s="1"/>
  <c r="V19" i="64"/>
  <c r="W19" i="64" s="1"/>
  <c r="V20" i="64"/>
  <c r="W20" i="64" s="1"/>
  <c r="V21" i="64"/>
  <c r="W21" i="64" s="1"/>
  <c r="V22" i="64"/>
  <c r="W22" i="64" s="1"/>
  <c r="V23" i="64"/>
  <c r="W23" i="64" s="1"/>
  <c r="V24" i="64"/>
  <c r="W24" i="64" s="1"/>
  <c r="V25" i="64"/>
  <c r="W25" i="64" s="1"/>
  <c r="V26" i="64"/>
  <c r="W26" i="64" s="1"/>
  <c r="V27" i="64"/>
  <c r="W27" i="64" s="1"/>
  <c r="V28" i="64"/>
  <c r="W28" i="64" s="1"/>
  <c r="V29" i="64"/>
  <c r="W29" i="64" s="1"/>
  <c r="V30" i="64"/>
  <c r="W30" i="64" s="1"/>
  <c r="V31" i="64"/>
  <c r="W31" i="64" s="1"/>
  <c r="V32" i="64"/>
  <c r="W32" i="64" s="1"/>
  <c r="V33" i="64"/>
  <c r="W33" i="64" s="1"/>
  <c r="V34" i="64"/>
  <c r="W34" i="64" s="1"/>
  <c r="V35" i="64"/>
  <c r="W35" i="64" s="1"/>
  <c r="V36" i="64"/>
  <c r="W36" i="64" s="1"/>
  <c r="V37" i="64"/>
  <c r="W37" i="64" s="1"/>
  <c r="V38" i="64"/>
  <c r="W38" i="64" s="1"/>
  <c r="V39" i="64"/>
  <c r="W39" i="64" s="1"/>
  <c r="V40" i="64"/>
  <c r="W40" i="64" s="1"/>
  <c r="V41" i="64"/>
  <c r="W41" i="64" s="1"/>
  <c r="V42" i="64"/>
  <c r="W42" i="64" s="1"/>
  <c r="V43" i="64"/>
  <c r="W43" i="64" s="1"/>
  <c r="V44" i="64"/>
  <c r="W44" i="64" s="1"/>
  <c r="V12" i="64"/>
  <c r="B12" i="67"/>
  <c r="AD11" i="67"/>
  <c r="D11" i="67"/>
  <c r="E11" i="67" s="1"/>
  <c r="E12" i="67" s="1"/>
  <c r="B12" i="66"/>
  <c r="AD11" i="66"/>
  <c r="D11" i="66"/>
  <c r="E11" i="66" s="1"/>
  <c r="E12" i="66" s="1"/>
  <c r="B12" i="65"/>
  <c r="AD11" i="65"/>
  <c r="E11" i="65"/>
  <c r="E12" i="65" s="1"/>
  <c r="D11" i="65"/>
  <c r="D12" i="65" s="1"/>
  <c r="C12" i="65" s="1"/>
  <c r="B13" i="64"/>
  <c r="B14" i="64" s="1"/>
  <c r="B15" i="64" s="1"/>
  <c r="B16" i="64" s="1"/>
  <c r="B17" i="64" s="1"/>
  <c r="B18" i="64" s="1"/>
  <c r="B19" i="64" s="1"/>
  <c r="B20" i="64" s="1"/>
  <c r="B21" i="64" s="1"/>
  <c r="B22" i="64" s="1"/>
  <c r="B23" i="64" s="1"/>
  <c r="B24" i="64" s="1"/>
  <c r="B25" i="64" s="1"/>
  <c r="B26" i="64" s="1"/>
  <c r="B27" i="64" s="1"/>
  <c r="B28" i="64" s="1"/>
  <c r="B29" i="64" s="1"/>
  <c r="B30" i="64" s="1"/>
  <c r="B31" i="64" s="1"/>
  <c r="B32" i="64" s="1"/>
  <c r="B33" i="64" s="1"/>
  <c r="B34" i="64" s="1"/>
  <c r="B35" i="64" s="1"/>
  <c r="B36" i="64" s="1"/>
  <c r="B37" i="64" s="1"/>
  <c r="B38" i="64" s="1"/>
  <c r="B39" i="64" s="1"/>
  <c r="B40" i="64" s="1"/>
  <c r="B41" i="64" s="1"/>
  <c r="B42" i="64" s="1"/>
  <c r="B43" i="64" s="1"/>
  <c r="B44" i="64" s="1"/>
  <c r="D13" i="64"/>
  <c r="C13" i="64" s="1"/>
  <c r="E13" i="64"/>
  <c r="E14" i="64"/>
  <c r="E15" i="64" s="1"/>
  <c r="E16" i="64" s="1"/>
  <c r="E17" i="64" s="1"/>
  <c r="E18" i="64" s="1"/>
  <c r="E19" i="64" s="1"/>
  <c r="E20" i="64" s="1"/>
  <c r="E21" i="64" s="1"/>
  <c r="E22" i="64" s="1"/>
  <c r="E23" i="64" s="1"/>
  <c r="E24" i="64" s="1"/>
  <c r="E25" i="64" s="1"/>
  <c r="E26" i="64" s="1"/>
  <c r="E27" i="64" s="1"/>
  <c r="E28" i="64" s="1"/>
  <c r="E29" i="64" s="1"/>
  <c r="E30" i="64" s="1"/>
  <c r="E31" i="64" s="1"/>
  <c r="E32" i="64" s="1"/>
  <c r="E33" i="64" s="1"/>
  <c r="E34" i="64" s="1"/>
  <c r="E35" i="64" s="1"/>
  <c r="E36" i="64" s="1"/>
  <c r="E37" i="64" s="1"/>
  <c r="E38" i="64" s="1"/>
  <c r="E39" i="64" s="1"/>
  <c r="E40" i="64" s="1"/>
  <c r="E41" i="64" s="1"/>
  <c r="E42" i="64" s="1"/>
  <c r="E43" i="64" s="1"/>
  <c r="E44" i="64" s="1"/>
  <c r="D12" i="64"/>
  <c r="C12" i="64"/>
  <c r="B12" i="64"/>
  <c r="AD11" i="64"/>
  <c r="E11" i="64"/>
  <c r="E12" i="64" s="1"/>
  <c r="D11" i="64"/>
  <c r="C11" i="64"/>
  <c r="AA19" i="66" l="1"/>
  <c r="AA23" i="64"/>
  <c r="AA15" i="64"/>
  <c r="AA34" i="66"/>
  <c r="AA18" i="66"/>
  <c r="AA35" i="66"/>
  <c r="AA41" i="66"/>
  <c r="AA33" i="66"/>
  <c r="AA25" i="66"/>
  <c r="AA42" i="66"/>
  <c r="AA39" i="64"/>
  <c r="AA40" i="66"/>
  <c r="AA37" i="66"/>
  <c r="AA29" i="66"/>
  <c r="AA21" i="66"/>
  <c r="AA13" i="66"/>
  <c r="AA24" i="66"/>
  <c r="AA43" i="66"/>
  <c r="AA17" i="66"/>
  <c r="AA32" i="66"/>
  <c r="AA16" i="66"/>
  <c r="AA14" i="66"/>
  <c r="AA33" i="64"/>
  <c r="AA35" i="67"/>
  <c r="AA38" i="67"/>
  <c r="AA18" i="67"/>
  <c r="AA14" i="67"/>
  <c r="AA42" i="67"/>
  <c r="AA34" i="67"/>
  <c r="AA30" i="67"/>
  <c r="AA26" i="67"/>
  <c r="AA22" i="67"/>
  <c r="AA41" i="67"/>
  <c r="AA37" i="67"/>
  <c r="AA33" i="67"/>
  <c r="AA29" i="67"/>
  <c r="AA25" i="67"/>
  <c r="AA21" i="67"/>
  <c r="AA13" i="67"/>
  <c r="AA43" i="67"/>
  <c r="AA27" i="67"/>
  <c r="AA19" i="67"/>
  <c r="AA38" i="65"/>
  <c r="AA30" i="65"/>
  <c r="AA22" i="65"/>
  <c r="AA14" i="65"/>
  <c r="AA17" i="67"/>
  <c r="AA44" i="67"/>
  <c r="AA40" i="67"/>
  <c r="AA36" i="67"/>
  <c r="AA32" i="67"/>
  <c r="AA28" i="67"/>
  <c r="AA24" i="67"/>
  <c r="AA20" i="67"/>
  <c r="AA16" i="67"/>
  <c r="AA31" i="64"/>
  <c r="AA37" i="65"/>
  <c r="AA34" i="65"/>
  <c r="AA23" i="65"/>
  <c r="AA15" i="65"/>
  <c r="AA17" i="65"/>
  <c r="AA39" i="65"/>
  <c r="AA27" i="65"/>
  <c r="AA40" i="65"/>
  <c r="AA32" i="65"/>
  <c r="AA42" i="65"/>
  <c r="AA26" i="65"/>
  <c r="AA41" i="65"/>
  <c r="AA33" i="65"/>
  <c r="AA25" i="65"/>
  <c r="AA19" i="65"/>
  <c r="AA29" i="65"/>
  <c r="AA21" i="65"/>
  <c r="AA13" i="65"/>
  <c r="AA24" i="65"/>
  <c r="AA16" i="65"/>
  <c r="AA31" i="65"/>
  <c r="AA44" i="65"/>
  <c r="AA43" i="65"/>
  <c r="AA35" i="65"/>
  <c r="W12" i="65"/>
  <c r="AA18" i="65"/>
  <c r="AA21" i="64"/>
  <c r="AA15" i="66"/>
  <c r="AA44" i="66"/>
  <c r="AA36" i="66"/>
  <c r="AA28" i="66"/>
  <c r="AA20" i="66"/>
  <c r="AA36" i="65"/>
  <c r="AA20" i="65"/>
  <c r="AA28" i="65"/>
  <c r="AA31" i="67"/>
  <c r="AA15" i="67"/>
  <c r="AA39" i="67"/>
  <c r="AA23" i="67"/>
  <c r="B14" i="67"/>
  <c r="AA38" i="66"/>
  <c r="AA30" i="66"/>
  <c r="AA39" i="66"/>
  <c r="AA31" i="66"/>
  <c r="AA22" i="66"/>
  <c r="AA23" i="66"/>
  <c r="D15" i="66"/>
  <c r="C14" i="66"/>
  <c r="B15" i="66"/>
  <c r="C13" i="66"/>
  <c r="D15" i="65"/>
  <c r="C14" i="65"/>
  <c r="AA12" i="65"/>
  <c r="AA16" i="64"/>
  <c r="AA37" i="64"/>
  <c r="AA24" i="64"/>
  <c r="AA38" i="64"/>
  <c r="X9" i="68"/>
  <c r="AA19" i="64"/>
  <c r="AA35" i="64"/>
  <c r="AA41" i="64"/>
  <c r="AA25" i="64"/>
  <c r="AA17" i="64"/>
  <c r="AA40" i="64"/>
  <c r="AA32" i="64"/>
  <c r="AA30" i="64"/>
  <c r="AA14" i="64"/>
  <c r="AA29" i="64"/>
  <c r="AA13" i="64"/>
  <c r="AA22" i="64"/>
  <c r="AA42" i="64"/>
  <c r="AA43" i="64"/>
  <c r="AA34" i="64"/>
  <c r="AA26" i="64"/>
  <c r="AA18" i="64"/>
  <c r="AA44" i="64"/>
  <c r="AA36" i="64"/>
  <c r="AA28" i="64"/>
  <c r="AA20" i="64"/>
  <c r="D12" i="67"/>
  <c r="C11" i="67"/>
  <c r="AA12" i="67"/>
  <c r="AA12" i="66"/>
  <c r="C11" i="66"/>
  <c r="D12" i="66"/>
  <c r="W12" i="66"/>
  <c r="C11" i="65"/>
  <c r="D14" i="64"/>
  <c r="AA12" i="64"/>
  <c r="B15" i="67" l="1"/>
  <c r="D16" i="66"/>
  <c r="C15" i="66"/>
  <c r="B16" i="66"/>
  <c r="C15" i="65"/>
  <c r="D16" i="65"/>
  <c r="W7" i="70"/>
  <c r="W5" i="70"/>
  <c r="C29" i="70"/>
  <c r="W6" i="70"/>
  <c r="W5" i="69"/>
  <c r="W7" i="69"/>
  <c r="W6" i="69"/>
  <c r="W8" i="69"/>
  <c r="W9" i="69"/>
  <c r="W5" i="68"/>
  <c r="W6" i="68"/>
  <c r="C29" i="68"/>
  <c r="W7" i="68"/>
  <c r="W9" i="68"/>
  <c r="X10" i="68"/>
  <c r="W8" i="68"/>
  <c r="C12" i="67"/>
  <c r="C12" i="66"/>
  <c r="D15" i="64"/>
  <c r="C14" i="64"/>
  <c r="W12" i="64"/>
  <c r="G39" i="62"/>
  <c r="G41" i="62" s="1"/>
  <c r="G25" i="62"/>
  <c r="G28" i="62" s="1"/>
  <c r="G20" i="62"/>
  <c r="F17" i="62"/>
  <c r="J7" i="62"/>
  <c r="G11" i="62"/>
  <c r="G10" i="62"/>
  <c r="F11" i="62" s="1"/>
  <c r="G9" i="62"/>
  <c r="Y13" i="61"/>
  <c r="Y14" i="61"/>
  <c r="Y15" i="61"/>
  <c r="Y16" i="61"/>
  <c r="Y17" i="61"/>
  <c r="Y18" i="61"/>
  <c r="Y19" i="61"/>
  <c r="Y20" i="61"/>
  <c r="Y21" i="61"/>
  <c r="Y22" i="61"/>
  <c r="Y23" i="61"/>
  <c r="Y24" i="61"/>
  <c r="Y25" i="61"/>
  <c r="Y26" i="61"/>
  <c r="Y27" i="61"/>
  <c r="Y28" i="61"/>
  <c r="Y29" i="61"/>
  <c r="Y30" i="61"/>
  <c r="Y31" i="61"/>
  <c r="Y32" i="61"/>
  <c r="Y33" i="61"/>
  <c r="Y34" i="61"/>
  <c r="Y35" i="61"/>
  <c r="Y36" i="61"/>
  <c r="Y37" i="61"/>
  <c r="Y38" i="61"/>
  <c r="Y39" i="61"/>
  <c r="Y40" i="61"/>
  <c r="Y41" i="61"/>
  <c r="Y42" i="61"/>
  <c r="Y43" i="61"/>
  <c r="Y44" i="61"/>
  <c r="Y12" i="61"/>
  <c r="Z13" i="61"/>
  <c r="Z14" i="61"/>
  <c r="Z15" i="61"/>
  <c r="Z16" i="61"/>
  <c r="Z17" i="61"/>
  <c r="Z18" i="61"/>
  <c r="Z19" i="61"/>
  <c r="Z20" i="61"/>
  <c r="Z21" i="61"/>
  <c r="Z22" i="61"/>
  <c r="Z23" i="61"/>
  <c r="Z24" i="61"/>
  <c r="Z25" i="61"/>
  <c r="Z26" i="61"/>
  <c r="Z27" i="61"/>
  <c r="Z28" i="61"/>
  <c r="Z29" i="61"/>
  <c r="Z30" i="61"/>
  <c r="Z31" i="61"/>
  <c r="Z32" i="61"/>
  <c r="Z33" i="61"/>
  <c r="Z34" i="61"/>
  <c r="Z35" i="61"/>
  <c r="Z36" i="61"/>
  <c r="Z37" i="61"/>
  <c r="Z38" i="61"/>
  <c r="Z39" i="61"/>
  <c r="Z40" i="61"/>
  <c r="Z41" i="61"/>
  <c r="Z42" i="61"/>
  <c r="Z43" i="61"/>
  <c r="Z44" i="61"/>
  <c r="Z12" i="61"/>
  <c r="V13" i="61"/>
  <c r="W13" i="61" s="1"/>
  <c r="V14" i="61"/>
  <c r="W14" i="61" s="1"/>
  <c r="V15" i="61"/>
  <c r="W15" i="61" s="1"/>
  <c r="V16" i="61"/>
  <c r="W16" i="61" s="1"/>
  <c r="V17" i="61"/>
  <c r="W17" i="61" s="1"/>
  <c r="V18" i="61"/>
  <c r="W18" i="61" s="1"/>
  <c r="V19" i="61"/>
  <c r="W19" i="61" s="1"/>
  <c r="V20" i="61"/>
  <c r="W20" i="61" s="1"/>
  <c r="V21" i="61"/>
  <c r="W21" i="61" s="1"/>
  <c r="V22" i="61"/>
  <c r="W22" i="61" s="1"/>
  <c r="V23" i="61"/>
  <c r="W23" i="61" s="1"/>
  <c r="V24" i="61"/>
  <c r="W24" i="61" s="1"/>
  <c r="V25" i="61"/>
  <c r="W25" i="61" s="1"/>
  <c r="V26" i="61"/>
  <c r="W26" i="61" s="1"/>
  <c r="V27" i="61"/>
  <c r="W27" i="61" s="1"/>
  <c r="V28" i="61"/>
  <c r="W28" i="61" s="1"/>
  <c r="V29" i="61"/>
  <c r="W29" i="61" s="1"/>
  <c r="V30" i="61"/>
  <c r="W30" i="61" s="1"/>
  <c r="V31" i="61"/>
  <c r="W31" i="61" s="1"/>
  <c r="V32" i="61"/>
  <c r="W32" i="61" s="1"/>
  <c r="V33" i="61"/>
  <c r="W33" i="61" s="1"/>
  <c r="V34" i="61"/>
  <c r="W34" i="61" s="1"/>
  <c r="V35" i="61"/>
  <c r="W35" i="61" s="1"/>
  <c r="V36" i="61"/>
  <c r="W36" i="61" s="1"/>
  <c r="V37" i="61"/>
  <c r="W37" i="61" s="1"/>
  <c r="V38" i="61"/>
  <c r="W38" i="61" s="1"/>
  <c r="V39" i="61"/>
  <c r="W39" i="61" s="1"/>
  <c r="V40" i="61"/>
  <c r="W40" i="61" s="1"/>
  <c r="V41" i="61"/>
  <c r="W41" i="61" s="1"/>
  <c r="V42" i="61"/>
  <c r="W42" i="61" s="1"/>
  <c r="V43" i="61"/>
  <c r="W43" i="61" s="1"/>
  <c r="V44" i="61"/>
  <c r="W44" i="61" s="1"/>
  <c r="V12" i="61"/>
  <c r="BQ11" i="15"/>
  <c r="BQ12" i="15"/>
  <c r="BQ13" i="15"/>
  <c r="BQ14" i="15"/>
  <c r="BQ15" i="15"/>
  <c r="BQ16" i="15"/>
  <c r="BQ17" i="15"/>
  <c r="BQ18" i="15"/>
  <c r="BQ19" i="15"/>
  <c r="BQ20" i="15"/>
  <c r="BQ21" i="15"/>
  <c r="BQ22" i="15"/>
  <c r="BQ23" i="15"/>
  <c r="BQ24" i="15"/>
  <c r="BQ25" i="15"/>
  <c r="BQ26" i="15"/>
  <c r="BQ27" i="15"/>
  <c r="BQ28" i="15"/>
  <c r="BQ29" i="15"/>
  <c r="BQ30" i="15"/>
  <c r="BQ31" i="15"/>
  <c r="BQ32" i="15"/>
  <c r="BQ33" i="15"/>
  <c r="BQ34" i="15"/>
  <c r="BQ35" i="15"/>
  <c r="BQ36" i="15"/>
  <c r="BQ37" i="15"/>
  <c r="BQ38" i="15"/>
  <c r="BQ39" i="15"/>
  <c r="BQ40" i="15"/>
  <c r="BQ41" i="15"/>
  <c r="BQ42" i="15"/>
  <c r="BQ43" i="15"/>
  <c r="BQ44" i="15"/>
  <c r="X6" i="60"/>
  <c r="X7" i="60" s="1"/>
  <c r="B12" i="61"/>
  <c r="AD11" i="61"/>
  <c r="D11" i="61"/>
  <c r="E11" i="61" s="1"/>
  <c r="E12" i="61" s="1"/>
  <c r="E13" i="61" s="1"/>
  <c r="E14" i="61" s="1"/>
  <c r="E15" i="61" s="1"/>
  <c r="E16" i="61" s="1"/>
  <c r="E17" i="61" s="1"/>
  <c r="E18" i="61" s="1"/>
  <c r="E19" i="61" s="1"/>
  <c r="E20" i="61" s="1"/>
  <c r="E21" i="61" s="1"/>
  <c r="E22" i="61" s="1"/>
  <c r="E23" i="61" s="1"/>
  <c r="E24" i="61" s="1"/>
  <c r="E25" i="61" s="1"/>
  <c r="E26" i="61" s="1"/>
  <c r="E27" i="61" s="1"/>
  <c r="E28" i="61" s="1"/>
  <c r="E29" i="61" s="1"/>
  <c r="E30" i="61" s="1"/>
  <c r="E31" i="61" s="1"/>
  <c r="E32" i="61" s="1"/>
  <c r="E33" i="61" s="1"/>
  <c r="E34" i="61" s="1"/>
  <c r="E35" i="61" s="1"/>
  <c r="E36" i="61" s="1"/>
  <c r="E37" i="61" s="1"/>
  <c r="E38" i="61" s="1"/>
  <c r="E39" i="61" s="1"/>
  <c r="E40" i="61" s="1"/>
  <c r="E41" i="61" s="1"/>
  <c r="E42" i="61" s="1"/>
  <c r="E43" i="61" s="1"/>
  <c r="E44" i="61" s="1"/>
  <c r="N9" i="60"/>
  <c r="N14" i="60"/>
  <c r="M14" i="60"/>
  <c r="O9" i="60"/>
  <c r="M9" i="60"/>
  <c r="BI14" i="15" l="1"/>
  <c r="BI22" i="15"/>
  <c r="BI30" i="15"/>
  <c r="BI38" i="15"/>
  <c r="BI15" i="15"/>
  <c r="BI23" i="15"/>
  <c r="BI31" i="15"/>
  <c r="BI39" i="15"/>
  <c r="BI16" i="15"/>
  <c r="BI24" i="15"/>
  <c r="BI32" i="15"/>
  <c r="BI40" i="15"/>
  <c r="BI17" i="15"/>
  <c r="BI25" i="15"/>
  <c r="BI33" i="15"/>
  <c r="BI41" i="15"/>
  <c r="BI18" i="15"/>
  <c r="BI26" i="15"/>
  <c r="BI34" i="15"/>
  <c r="BI42" i="15"/>
  <c r="BI11" i="15"/>
  <c r="BI19" i="15"/>
  <c r="BI27" i="15"/>
  <c r="BI35" i="15"/>
  <c r="BI43" i="15"/>
  <c r="BI12" i="15"/>
  <c r="BI20" i="15"/>
  <c r="BI28" i="15"/>
  <c r="BI36" i="15"/>
  <c r="BI44" i="15"/>
  <c r="BI13" i="15"/>
  <c r="BI21" i="15"/>
  <c r="BI29" i="15"/>
  <c r="BI37" i="15"/>
  <c r="BI10" i="15"/>
  <c r="G42" i="62"/>
  <c r="V11" i="66"/>
  <c r="W11" i="66" s="1"/>
  <c r="X11" i="66" s="1"/>
  <c r="O4" i="70"/>
  <c r="V11" i="67"/>
  <c r="W11" i="67" s="1"/>
  <c r="X11" i="67" s="1"/>
  <c r="V11" i="65"/>
  <c r="W11" i="65" s="1"/>
  <c r="X11" i="65" s="1"/>
  <c r="AG11" i="65" s="1"/>
  <c r="O4" i="68"/>
  <c r="B16" i="67"/>
  <c r="D17" i="66"/>
  <c r="C16" i="66"/>
  <c r="B17" i="66"/>
  <c r="D17" i="65"/>
  <c r="C16" i="65"/>
  <c r="G15" i="70"/>
  <c r="G14" i="70"/>
  <c r="CR8" i="15" s="1"/>
  <c r="J11" i="70"/>
  <c r="G16" i="70"/>
  <c r="W8" i="70"/>
  <c r="W10" i="69"/>
  <c r="G14" i="69"/>
  <c r="DB8" i="15" s="1"/>
  <c r="G15" i="69"/>
  <c r="J11" i="69"/>
  <c r="G16" i="69"/>
  <c r="W10" i="68"/>
  <c r="X11" i="68"/>
  <c r="G14" i="68"/>
  <c r="DL8" i="15" s="1"/>
  <c r="G16" i="68"/>
  <c r="G15" i="68"/>
  <c r="J11" i="68"/>
  <c r="AA41" i="61"/>
  <c r="AA32" i="61"/>
  <c r="AA24" i="61"/>
  <c r="AA16" i="61"/>
  <c r="AA40" i="61"/>
  <c r="AA33" i="61"/>
  <c r="AA25" i="61"/>
  <c r="AA17" i="61"/>
  <c r="AA42" i="61"/>
  <c r="AA34" i="61"/>
  <c r="AA26" i="61"/>
  <c r="AA18" i="61"/>
  <c r="AA43" i="61"/>
  <c r="AA35" i="61"/>
  <c r="AA27" i="61"/>
  <c r="AA19" i="61"/>
  <c r="AA38" i="61"/>
  <c r="AA30" i="61"/>
  <c r="AA22" i="61"/>
  <c r="AA14" i="61"/>
  <c r="AA37" i="61"/>
  <c r="AA29" i="61"/>
  <c r="AA21" i="61"/>
  <c r="AA13" i="61"/>
  <c r="C15" i="64"/>
  <c r="D16" i="64"/>
  <c r="G34" i="62"/>
  <c r="G43" i="62"/>
  <c r="G29" i="62"/>
  <c r="AA39" i="61"/>
  <c r="AA31" i="61"/>
  <c r="AA23" i="61"/>
  <c r="AA15" i="61"/>
  <c r="AA44" i="61"/>
  <c r="AA36" i="61"/>
  <c r="AA28" i="61"/>
  <c r="AA20" i="61"/>
  <c r="X8" i="60"/>
  <c r="B13" i="61"/>
  <c r="D12" i="61"/>
  <c r="C11" i="61"/>
  <c r="G37" i="60"/>
  <c r="G39" i="60" s="1"/>
  <c r="G40" i="60"/>
  <c r="G38" i="60" s="1"/>
  <c r="G28" i="60"/>
  <c r="G29" i="60" s="1"/>
  <c r="G20" i="60"/>
  <c r="F17" i="60"/>
  <c r="J7" i="60"/>
  <c r="G11" i="60"/>
  <c r="G10" i="60"/>
  <c r="F11" i="60" s="1"/>
  <c r="G9" i="60"/>
  <c r="M39" i="32"/>
  <c r="M40" i="32"/>
  <c r="H11" i="18"/>
  <c r="H12" i="18"/>
  <c r="X37" i="48"/>
  <c r="X38" i="48" s="1"/>
  <c r="X39" i="48" s="1"/>
  <c r="X40" i="48" s="1"/>
  <c r="X41" i="48" s="1"/>
  <c r="X42" i="48" s="1"/>
  <c r="X27" i="48"/>
  <c r="X28" i="48" s="1"/>
  <c r="X29" i="48" s="1"/>
  <c r="X30" i="48" s="1"/>
  <c r="X31" i="48" s="1"/>
  <c r="X32" i="48" s="1"/>
  <c r="C3" i="39"/>
  <c r="X27" i="45"/>
  <c r="X28" i="45" s="1"/>
  <c r="X29" i="45" s="1"/>
  <c r="X30" i="45" s="1"/>
  <c r="X31" i="45" s="1"/>
  <c r="X32" i="45" s="1"/>
  <c r="X17" i="45"/>
  <c r="X18" i="45" s="1"/>
  <c r="X19" i="45" s="1"/>
  <c r="X20" i="45" s="1"/>
  <c r="X21" i="45" s="1"/>
  <c r="X22" i="45" s="1"/>
  <c r="H32" i="18"/>
  <c r="G20" i="41"/>
  <c r="G20" i="48"/>
  <c r="G20" i="32"/>
  <c r="G20" i="46"/>
  <c r="G20" i="45"/>
  <c r="G20" i="1"/>
  <c r="J14" i="1"/>
  <c r="X38" i="1"/>
  <c r="X39" i="1" s="1"/>
  <c r="X40" i="1" s="1"/>
  <c r="X41" i="1" s="1"/>
  <c r="X42" i="1" s="1"/>
  <c r="X37" i="1"/>
  <c r="X27" i="1"/>
  <c r="X28" i="1" s="1"/>
  <c r="X29" i="1" s="1"/>
  <c r="X30" i="1" s="1"/>
  <c r="X31" i="1" s="1"/>
  <c r="X32" i="1" s="1"/>
  <c r="X17" i="1"/>
  <c r="X18" i="1" s="1"/>
  <c r="X19" i="1" s="1"/>
  <c r="X20" i="1" s="1"/>
  <c r="X21" i="1" s="1"/>
  <c r="X22" i="1" s="1"/>
  <c r="O22" i="48"/>
  <c r="O21" i="48"/>
  <c r="O20" i="48"/>
  <c r="O19" i="48"/>
  <c r="O18" i="48"/>
  <c r="O13" i="48"/>
  <c r="O22" i="32"/>
  <c r="O21" i="32"/>
  <c r="O20" i="32"/>
  <c r="O19" i="32"/>
  <c r="O18" i="32"/>
  <c r="O13" i="32"/>
  <c r="O22" i="46"/>
  <c r="O21" i="46"/>
  <c r="O20" i="46"/>
  <c r="O19" i="46"/>
  <c r="O18" i="46"/>
  <c r="O13" i="46"/>
  <c r="O22" i="45"/>
  <c r="O21" i="45"/>
  <c r="O20" i="45"/>
  <c r="O19" i="45"/>
  <c r="O18" i="45"/>
  <c r="O13" i="45"/>
  <c r="O22" i="1"/>
  <c r="O21" i="1"/>
  <c r="O20" i="1"/>
  <c r="O19" i="1"/>
  <c r="O18" i="1"/>
  <c r="O13" i="1"/>
  <c r="O7" i="41"/>
  <c r="X17" i="32"/>
  <c r="X18" i="32" s="1"/>
  <c r="X19" i="32" s="1"/>
  <c r="X20" i="32" s="1"/>
  <c r="X21" i="32" s="1"/>
  <c r="X22" i="32" s="1"/>
  <c r="X27" i="32"/>
  <c r="X28" i="32" s="1"/>
  <c r="X29" i="32" s="1"/>
  <c r="X30" i="32" s="1"/>
  <c r="X31" i="32" s="1"/>
  <c r="X32" i="32" s="1"/>
  <c r="X37" i="32"/>
  <c r="X38" i="32" s="1"/>
  <c r="X39" i="32" s="1"/>
  <c r="X40" i="32" s="1"/>
  <c r="X41" i="32" s="1"/>
  <c r="X42" i="32" s="1"/>
  <c r="X17" i="48"/>
  <c r="X18" i="48" s="1"/>
  <c r="X19" i="48" s="1"/>
  <c r="X20" i="48" s="1"/>
  <c r="X21" i="48" s="1"/>
  <c r="X22" i="48" s="1"/>
  <c r="X37" i="46"/>
  <c r="X38" i="46" s="1"/>
  <c r="X39" i="46" s="1"/>
  <c r="X40" i="46" s="1"/>
  <c r="X41" i="46" s="1"/>
  <c r="X42" i="46" s="1"/>
  <c r="X27" i="46"/>
  <c r="X28" i="46" s="1"/>
  <c r="X29" i="46" s="1"/>
  <c r="X30" i="46" s="1"/>
  <c r="X31" i="46" s="1"/>
  <c r="X32" i="46" s="1"/>
  <c r="X17" i="46"/>
  <c r="X18" i="46" s="1"/>
  <c r="X19" i="46" s="1"/>
  <c r="X20" i="46" s="1"/>
  <c r="X21" i="46" s="1"/>
  <c r="X22" i="46" s="1"/>
  <c r="X37" i="45"/>
  <c r="X38" i="45" s="1"/>
  <c r="X39" i="45" s="1"/>
  <c r="X40" i="45" s="1"/>
  <c r="X41" i="45" s="1"/>
  <c r="X42" i="45" s="1"/>
  <c r="X37" i="41"/>
  <c r="X38" i="41" s="1"/>
  <c r="X39" i="41" s="1"/>
  <c r="X40" i="41" s="1"/>
  <c r="X41" i="41" s="1"/>
  <c r="X42" i="41" s="1"/>
  <c r="X27" i="41"/>
  <c r="X28" i="41" s="1"/>
  <c r="X29" i="41" s="1"/>
  <c r="X30" i="41" s="1"/>
  <c r="X31" i="41" s="1"/>
  <c r="X32" i="41" s="1"/>
  <c r="X17" i="41"/>
  <c r="X18" i="41" s="1"/>
  <c r="X19" i="41" s="1"/>
  <c r="X20" i="41" s="1"/>
  <c r="X21" i="41" s="1"/>
  <c r="X22" i="41" s="1"/>
  <c r="O22" i="41"/>
  <c r="O21" i="41"/>
  <c r="O20" i="41"/>
  <c r="O19" i="41"/>
  <c r="O18" i="41"/>
  <c r="O17" i="41"/>
  <c r="O16" i="41"/>
  <c r="N9" i="8"/>
  <c r="F9" i="8" s="1"/>
  <c r="N8" i="8"/>
  <c r="F8" i="8" s="1"/>
  <c r="AD14" i="16" l="1"/>
  <c r="K15" i="65" s="1"/>
  <c r="AD22" i="16"/>
  <c r="K23" i="65" s="1"/>
  <c r="AD30" i="16"/>
  <c r="K31" i="65" s="1"/>
  <c r="AD11" i="16"/>
  <c r="K12" i="65" s="1"/>
  <c r="AD15" i="16"/>
  <c r="K16" i="65" s="1"/>
  <c r="AD23" i="16"/>
  <c r="K24" i="65" s="1"/>
  <c r="AD31" i="16"/>
  <c r="K32" i="65" s="1"/>
  <c r="AD16" i="16"/>
  <c r="K17" i="65" s="1"/>
  <c r="AD24" i="16"/>
  <c r="K25" i="65" s="1"/>
  <c r="AD32" i="16"/>
  <c r="K33" i="65" s="1"/>
  <c r="AD17" i="16"/>
  <c r="K18" i="65" s="1"/>
  <c r="AD25" i="16"/>
  <c r="K26" i="65" s="1"/>
  <c r="AD33" i="16"/>
  <c r="K34" i="65" s="1"/>
  <c r="AD18" i="16"/>
  <c r="K19" i="65" s="1"/>
  <c r="AD26" i="16"/>
  <c r="K27" i="65" s="1"/>
  <c r="AD34" i="16"/>
  <c r="K35" i="65" s="1"/>
  <c r="AD19" i="16"/>
  <c r="K20" i="65" s="1"/>
  <c r="AD27" i="16"/>
  <c r="K28" i="65" s="1"/>
  <c r="AD35" i="16"/>
  <c r="K36" i="65" s="1"/>
  <c r="AD12" i="16"/>
  <c r="K13" i="65" s="1"/>
  <c r="AD20" i="16"/>
  <c r="K21" i="65" s="1"/>
  <c r="AD28" i="16"/>
  <c r="K29" i="65" s="1"/>
  <c r="AD13" i="16"/>
  <c r="K14" i="65" s="1"/>
  <c r="AD21" i="16"/>
  <c r="K22" i="65" s="1"/>
  <c r="AD29" i="16"/>
  <c r="K30" i="65" s="1"/>
  <c r="AA15" i="16"/>
  <c r="K16" i="67" s="1"/>
  <c r="AA23" i="16"/>
  <c r="K24" i="67" s="1"/>
  <c r="AA31" i="16"/>
  <c r="K32" i="67" s="1"/>
  <c r="AA32" i="16"/>
  <c r="K33" i="67" s="1"/>
  <c r="AA16" i="16"/>
  <c r="K17" i="67" s="1"/>
  <c r="AA24" i="16"/>
  <c r="K25" i="67" s="1"/>
  <c r="AA17" i="16"/>
  <c r="K18" i="67" s="1"/>
  <c r="AA25" i="16"/>
  <c r="K26" i="67" s="1"/>
  <c r="AA18" i="16"/>
  <c r="K19" i="67" s="1"/>
  <c r="AA26" i="16"/>
  <c r="K27" i="67" s="1"/>
  <c r="AA34" i="16"/>
  <c r="K35" i="67" s="1"/>
  <c r="AA19" i="16"/>
  <c r="K20" i="67" s="1"/>
  <c r="AA27" i="16"/>
  <c r="K28" i="67" s="1"/>
  <c r="AA35" i="16"/>
  <c r="K36" i="67" s="1"/>
  <c r="AA12" i="16"/>
  <c r="K13" i="67" s="1"/>
  <c r="AA20" i="16"/>
  <c r="K21" i="67" s="1"/>
  <c r="AA28" i="16"/>
  <c r="K29" i="67" s="1"/>
  <c r="AA13" i="16"/>
  <c r="K14" i="67" s="1"/>
  <c r="AA21" i="16"/>
  <c r="K22" i="67" s="1"/>
  <c r="AA29" i="16"/>
  <c r="K30" i="67" s="1"/>
  <c r="AA14" i="16"/>
  <c r="K15" i="67" s="1"/>
  <c r="AA22" i="16"/>
  <c r="K23" i="67" s="1"/>
  <c r="AA30" i="16"/>
  <c r="K31" i="67" s="1"/>
  <c r="AA11" i="16"/>
  <c r="K12" i="67" s="1"/>
  <c r="AA33" i="16"/>
  <c r="K34" i="67" s="1"/>
  <c r="AG17" i="16"/>
  <c r="K18" i="66" s="1"/>
  <c r="AG25" i="16"/>
  <c r="K26" i="66" s="1"/>
  <c r="AG33" i="16"/>
  <c r="K34" i="66" s="1"/>
  <c r="AG19" i="16"/>
  <c r="K20" i="66" s="1"/>
  <c r="AG20" i="16"/>
  <c r="K21" i="66" s="1"/>
  <c r="AG13" i="16"/>
  <c r="K14" i="66" s="1"/>
  <c r="AG29" i="16"/>
  <c r="K30" i="66" s="1"/>
  <c r="AG14" i="16"/>
  <c r="K15" i="66" s="1"/>
  <c r="AG23" i="16"/>
  <c r="K24" i="66" s="1"/>
  <c r="AG16" i="16"/>
  <c r="K17" i="66" s="1"/>
  <c r="AG32" i="16"/>
  <c r="K33" i="66" s="1"/>
  <c r="AG18" i="16"/>
  <c r="K19" i="66" s="1"/>
  <c r="AG26" i="16"/>
  <c r="K27" i="66" s="1"/>
  <c r="AG34" i="16"/>
  <c r="K35" i="66" s="1"/>
  <c r="AG27" i="16"/>
  <c r="K28" i="66" s="1"/>
  <c r="AG35" i="16"/>
  <c r="K36" i="66" s="1"/>
  <c r="AG12" i="16"/>
  <c r="K13" i="66" s="1"/>
  <c r="AG28" i="16"/>
  <c r="K29" i="66" s="1"/>
  <c r="AG21" i="16"/>
  <c r="K22" i="66" s="1"/>
  <c r="AG22" i="16"/>
  <c r="K23" i="66" s="1"/>
  <c r="AG30" i="16"/>
  <c r="K31" i="66" s="1"/>
  <c r="AG11" i="16"/>
  <c r="K12" i="66" s="1"/>
  <c r="AG15" i="16"/>
  <c r="K16" i="66" s="1"/>
  <c r="AG31" i="16"/>
  <c r="K32" i="66" s="1"/>
  <c r="AG24" i="16"/>
  <c r="K25" i="66" s="1"/>
  <c r="BS17" i="15"/>
  <c r="BS25" i="15"/>
  <c r="BS33" i="15"/>
  <c r="BS41" i="15"/>
  <c r="BS40" i="15"/>
  <c r="BS18" i="15"/>
  <c r="BS26" i="15"/>
  <c r="BS34" i="15"/>
  <c r="BS42" i="15"/>
  <c r="BS10" i="15"/>
  <c r="BS32" i="15"/>
  <c r="BS11" i="15"/>
  <c r="BS19" i="15"/>
  <c r="BS27" i="15"/>
  <c r="BS35" i="15"/>
  <c r="BS43" i="15"/>
  <c r="BS12" i="15"/>
  <c r="BS20" i="15"/>
  <c r="BS28" i="15"/>
  <c r="BS36" i="15"/>
  <c r="BS44" i="15"/>
  <c r="BS21" i="15"/>
  <c r="BS29" i="15"/>
  <c r="BS37" i="15"/>
  <c r="BS16" i="15"/>
  <c r="BS13" i="15"/>
  <c r="BS14" i="15"/>
  <c r="BS22" i="15"/>
  <c r="BS30" i="15"/>
  <c r="BS38" i="15"/>
  <c r="BS24" i="15"/>
  <c r="BS15" i="15"/>
  <c r="BS23" i="15"/>
  <c r="BS31" i="15"/>
  <c r="BS39" i="15"/>
  <c r="O13" i="70"/>
  <c r="O6" i="70"/>
  <c r="O14" i="68"/>
  <c r="O6" i="68"/>
  <c r="AP11" i="65"/>
  <c r="AO11" i="65"/>
  <c r="Y11" i="65"/>
  <c r="AT11" i="65"/>
  <c r="Z11" i="65"/>
  <c r="AI11" i="65"/>
  <c r="AO11" i="67"/>
  <c r="Y11" i="67"/>
  <c r="AT11" i="67"/>
  <c r="AP11" i="67"/>
  <c r="Z11" i="67"/>
  <c r="AI11" i="67"/>
  <c r="AI11" i="66"/>
  <c r="Z11" i="66"/>
  <c r="Y11" i="66"/>
  <c r="AP11" i="66"/>
  <c r="AO11" i="66"/>
  <c r="AT11" i="66"/>
  <c r="B17" i="67"/>
  <c r="B18" i="66"/>
  <c r="D18" i="66"/>
  <c r="C17" i="66"/>
  <c r="C17" i="65"/>
  <c r="D18" i="65"/>
  <c r="W9" i="70"/>
  <c r="G17" i="70"/>
  <c r="G17" i="69"/>
  <c r="W11" i="69"/>
  <c r="G17" i="68"/>
  <c r="X12" i="68"/>
  <c r="W11" i="68"/>
  <c r="AF11" i="67"/>
  <c r="AE11" i="67"/>
  <c r="AG11" i="67"/>
  <c r="AE11" i="65"/>
  <c r="AF11" i="65"/>
  <c r="AG11" i="66"/>
  <c r="AF11" i="66"/>
  <c r="AE11" i="66"/>
  <c r="D17" i="64"/>
  <c r="C16" i="64"/>
  <c r="G31" i="62"/>
  <c r="C13" i="62"/>
  <c r="W10" i="62" s="1"/>
  <c r="X9" i="60"/>
  <c r="X10" i="60" s="1"/>
  <c r="B14" i="61"/>
  <c r="C12" i="61"/>
  <c r="D13" i="61"/>
  <c r="AA12" i="61"/>
  <c r="W12" i="61"/>
  <c r="G41" i="60"/>
  <c r="G31" i="60"/>
  <c r="O10" i="60" s="1"/>
  <c r="G34" i="60"/>
  <c r="O7" i="1"/>
  <c r="Q12" i="13" s="1"/>
  <c r="BE13" i="56"/>
  <c r="BF13" i="56"/>
  <c r="BE14" i="56"/>
  <c r="BF14" i="56"/>
  <c r="BE15" i="56"/>
  <c r="BF15" i="56"/>
  <c r="BE16" i="56"/>
  <c r="BF16" i="56"/>
  <c r="BE17" i="56"/>
  <c r="BF17" i="56"/>
  <c r="BE18" i="56"/>
  <c r="BF18" i="56"/>
  <c r="BE19" i="56"/>
  <c r="BF19" i="56"/>
  <c r="BE20" i="56"/>
  <c r="BF20" i="56"/>
  <c r="BE21" i="56"/>
  <c r="BF21" i="56"/>
  <c r="BE22" i="56"/>
  <c r="BF22" i="56"/>
  <c r="BE23" i="56"/>
  <c r="BF23" i="56"/>
  <c r="BE24" i="56"/>
  <c r="BF24" i="56"/>
  <c r="BE25" i="56"/>
  <c r="BF25" i="56"/>
  <c r="BE26" i="56"/>
  <c r="BF26" i="56"/>
  <c r="BE27" i="56"/>
  <c r="BF27" i="56"/>
  <c r="BE28" i="56"/>
  <c r="BF28" i="56"/>
  <c r="BE29" i="56"/>
  <c r="BF29" i="56"/>
  <c r="BE30" i="56"/>
  <c r="BF30" i="56"/>
  <c r="BE31" i="56"/>
  <c r="BF31" i="56"/>
  <c r="BE32" i="56"/>
  <c r="BF32" i="56"/>
  <c r="BE33" i="56"/>
  <c r="BF33" i="56"/>
  <c r="BE34" i="56"/>
  <c r="BF34" i="56"/>
  <c r="BE35" i="56"/>
  <c r="BF35" i="56"/>
  <c r="BE36" i="56"/>
  <c r="BF36" i="56"/>
  <c r="BE37" i="56"/>
  <c r="BF37" i="56"/>
  <c r="BE38" i="56"/>
  <c r="BF38" i="56"/>
  <c r="BE39" i="56"/>
  <c r="BF39" i="56"/>
  <c r="BE40" i="56"/>
  <c r="BF40" i="56"/>
  <c r="BE41" i="56"/>
  <c r="BF41" i="56"/>
  <c r="BE42" i="56"/>
  <c r="BF42" i="56"/>
  <c r="BE43" i="56"/>
  <c r="BF43" i="56"/>
  <c r="BE44" i="56"/>
  <c r="BF44" i="56"/>
  <c r="BF12" i="56"/>
  <c r="BE12" i="56"/>
  <c r="AY13" i="53"/>
  <c r="AZ13" i="53"/>
  <c r="AY14" i="53"/>
  <c r="AZ14" i="53"/>
  <c r="AY15" i="53"/>
  <c r="AZ15" i="53"/>
  <c r="AY16" i="53"/>
  <c r="AZ16" i="53"/>
  <c r="AY17" i="53"/>
  <c r="AZ17" i="53"/>
  <c r="AY18" i="53"/>
  <c r="AZ18" i="53"/>
  <c r="AY19" i="53"/>
  <c r="AZ19" i="53"/>
  <c r="AY20" i="53"/>
  <c r="AZ20" i="53"/>
  <c r="AY21" i="53"/>
  <c r="AZ21" i="53"/>
  <c r="AY22" i="53"/>
  <c r="AZ22" i="53"/>
  <c r="AY23" i="53"/>
  <c r="AZ23" i="53"/>
  <c r="AY24" i="53"/>
  <c r="AZ24" i="53"/>
  <c r="AY25" i="53"/>
  <c r="AZ25" i="53"/>
  <c r="AY26" i="53"/>
  <c r="AZ26" i="53"/>
  <c r="AY27" i="53"/>
  <c r="AZ27" i="53"/>
  <c r="AY28" i="53"/>
  <c r="AZ28" i="53"/>
  <c r="AY29" i="53"/>
  <c r="AZ29" i="53"/>
  <c r="AY30" i="53"/>
  <c r="AZ30" i="53"/>
  <c r="AY31" i="53"/>
  <c r="AZ31" i="53"/>
  <c r="AY32" i="53"/>
  <c r="AZ32" i="53"/>
  <c r="AY33" i="53"/>
  <c r="AZ33" i="53"/>
  <c r="AY34" i="53"/>
  <c r="AZ34" i="53"/>
  <c r="AY35" i="53"/>
  <c r="AZ35" i="53"/>
  <c r="AY36" i="53"/>
  <c r="AZ36" i="53"/>
  <c r="AY37" i="53"/>
  <c r="AZ37" i="53"/>
  <c r="AY38" i="53"/>
  <c r="AZ38" i="53"/>
  <c r="AY39" i="53"/>
  <c r="AZ39" i="53"/>
  <c r="AY40" i="53"/>
  <c r="AZ40" i="53"/>
  <c r="AY41" i="53"/>
  <c r="AZ41" i="53"/>
  <c r="AY42" i="53"/>
  <c r="AZ42" i="53"/>
  <c r="AY43" i="53"/>
  <c r="AZ43" i="53"/>
  <c r="AY44" i="53"/>
  <c r="AZ44" i="53"/>
  <c r="AZ12" i="53"/>
  <c r="AY12" i="53"/>
  <c r="AY13" i="52"/>
  <c r="AZ13" i="52"/>
  <c r="AY14" i="52"/>
  <c r="AZ14" i="52"/>
  <c r="AY15" i="52"/>
  <c r="AZ15" i="52"/>
  <c r="AY16" i="52"/>
  <c r="AZ16" i="52"/>
  <c r="AY17" i="52"/>
  <c r="AZ17" i="52"/>
  <c r="AY18" i="52"/>
  <c r="AZ18" i="52"/>
  <c r="AY19" i="52"/>
  <c r="AZ19" i="52"/>
  <c r="AY20" i="52"/>
  <c r="AZ20" i="52"/>
  <c r="AY21" i="52"/>
  <c r="AZ21" i="52"/>
  <c r="AY22" i="52"/>
  <c r="AZ22" i="52"/>
  <c r="AY23" i="52"/>
  <c r="AZ23" i="52"/>
  <c r="AY24" i="52"/>
  <c r="AZ24" i="52"/>
  <c r="AY25" i="52"/>
  <c r="AZ25" i="52"/>
  <c r="AY26" i="52"/>
  <c r="AZ26" i="52"/>
  <c r="AY27" i="52"/>
  <c r="AZ27" i="52"/>
  <c r="AY28" i="52"/>
  <c r="AZ28" i="52"/>
  <c r="AY29" i="52"/>
  <c r="AZ29" i="52"/>
  <c r="AY30" i="52"/>
  <c r="AZ30" i="52"/>
  <c r="AY31" i="52"/>
  <c r="AZ31" i="52"/>
  <c r="AY32" i="52"/>
  <c r="AZ32" i="52"/>
  <c r="AY33" i="52"/>
  <c r="AZ33" i="52"/>
  <c r="AY34" i="52"/>
  <c r="AZ34" i="52"/>
  <c r="AY35" i="52"/>
  <c r="AZ35" i="52"/>
  <c r="AY36" i="52"/>
  <c r="AZ36" i="52"/>
  <c r="AY37" i="52"/>
  <c r="AZ37" i="52"/>
  <c r="AY38" i="52"/>
  <c r="AZ38" i="52"/>
  <c r="AY39" i="52"/>
  <c r="AZ39" i="52"/>
  <c r="AY40" i="52"/>
  <c r="AZ40" i="52"/>
  <c r="AY41" i="52"/>
  <c r="AZ41" i="52"/>
  <c r="AY42" i="52"/>
  <c r="AZ42" i="52"/>
  <c r="AY43" i="52"/>
  <c r="AZ43" i="52"/>
  <c r="AY44" i="52"/>
  <c r="AZ44" i="52"/>
  <c r="AZ12" i="52"/>
  <c r="AY12" i="52"/>
  <c r="AY13" i="51"/>
  <c r="AZ13" i="51"/>
  <c r="AY14" i="51"/>
  <c r="AZ14" i="51"/>
  <c r="AY15" i="51"/>
  <c r="AZ15" i="51"/>
  <c r="AY16" i="51"/>
  <c r="AZ16" i="51"/>
  <c r="AY17" i="51"/>
  <c r="AZ17" i="51"/>
  <c r="AY18" i="51"/>
  <c r="AZ18" i="51"/>
  <c r="AY19" i="51"/>
  <c r="AZ19" i="51"/>
  <c r="AY20" i="51"/>
  <c r="AZ20" i="51"/>
  <c r="AY21" i="51"/>
  <c r="AZ21" i="51"/>
  <c r="AY22" i="51"/>
  <c r="AZ22" i="51"/>
  <c r="AY23" i="51"/>
  <c r="AZ23" i="51"/>
  <c r="AY24" i="51"/>
  <c r="AZ24" i="51"/>
  <c r="AY25" i="51"/>
  <c r="AZ25" i="51"/>
  <c r="AY26" i="51"/>
  <c r="AZ26" i="51"/>
  <c r="AY27" i="51"/>
  <c r="AZ27" i="51"/>
  <c r="AY28" i="51"/>
  <c r="AZ28" i="51"/>
  <c r="AY29" i="51"/>
  <c r="AZ29" i="51"/>
  <c r="AY30" i="51"/>
  <c r="AZ30" i="51"/>
  <c r="AY31" i="51"/>
  <c r="AZ31" i="51"/>
  <c r="AY32" i="51"/>
  <c r="AZ32" i="51"/>
  <c r="AY33" i="51"/>
  <c r="AZ33" i="51"/>
  <c r="AY34" i="51"/>
  <c r="AZ34" i="51"/>
  <c r="AY35" i="51"/>
  <c r="AZ35" i="51"/>
  <c r="AY36" i="51"/>
  <c r="AZ36" i="51"/>
  <c r="AY37" i="51"/>
  <c r="AZ37" i="51"/>
  <c r="AY38" i="51"/>
  <c r="AZ38" i="51"/>
  <c r="AY39" i="51"/>
  <c r="AZ39" i="51"/>
  <c r="AY40" i="51"/>
  <c r="AZ40" i="51"/>
  <c r="AY41" i="51"/>
  <c r="AZ41" i="51"/>
  <c r="AY42" i="51"/>
  <c r="AZ42" i="51"/>
  <c r="AY43" i="51"/>
  <c r="AZ43" i="51"/>
  <c r="AY44" i="51"/>
  <c r="AZ44" i="51"/>
  <c r="AZ12" i="51"/>
  <c r="AY12" i="51"/>
  <c r="AY13" i="50"/>
  <c r="AZ13" i="50"/>
  <c r="AY14" i="50"/>
  <c r="AZ14" i="50"/>
  <c r="AY15" i="50"/>
  <c r="AZ15" i="50"/>
  <c r="AY16" i="50"/>
  <c r="AZ16" i="50"/>
  <c r="AY17" i="50"/>
  <c r="AZ17" i="50"/>
  <c r="AY18" i="50"/>
  <c r="AZ18" i="50"/>
  <c r="AY19" i="50"/>
  <c r="AZ19" i="50"/>
  <c r="AY20" i="50"/>
  <c r="AZ20" i="50"/>
  <c r="AY21" i="50"/>
  <c r="AZ21" i="50"/>
  <c r="AY22" i="50"/>
  <c r="AZ22" i="50"/>
  <c r="AY23" i="50"/>
  <c r="AZ23" i="50"/>
  <c r="AY24" i="50"/>
  <c r="AZ24" i="50"/>
  <c r="AY25" i="50"/>
  <c r="AZ25" i="50"/>
  <c r="AY26" i="50"/>
  <c r="AZ26" i="50"/>
  <c r="AY27" i="50"/>
  <c r="AZ27" i="50"/>
  <c r="AY28" i="50"/>
  <c r="AZ28" i="50"/>
  <c r="AY29" i="50"/>
  <c r="AZ29" i="50"/>
  <c r="AY30" i="50"/>
  <c r="AZ30" i="50"/>
  <c r="AY31" i="50"/>
  <c r="AZ31" i="50"/>
  <c r="AY32" i="50"/>
  <c r="AZ32" i="50"/>
  <c r="AY33" i="50"/>
  <c r="AZ33" i="50"/>
  <c r="AY34" i="50"/>
  <c r="AZ34" i="50"/>
  <c r="AY35" i="50"/>
  <c r="AZ35" i="50"/>
  <c r="AY36" i="50"/>
  <c r="AZ36" i="50"/>
  <c r="AY37" i="50"/>
  <c r="AZ37" i="50"/>
  <c r="AY38" i="50"/>
  <c r="AZ38" i="50"/>
  <c r="AY39" i="50"/>
  <c r="AZ39" i="50"/>
  <c r="AY40" i="50"/>
  <c r="AZ40" i="50"/>
  <c r="AY41" i="50"/>
  <c r="AZ41" i="50"/>
  <c r="AY42" i="50"/>
  <c r="AZ42" i="50"/>
  <c r="AY43" i="50"/>
  <c r="AZ43" i="50"/>
  <c r="AY44" i="50"/>
  <c r="AZ44" i="50"/>
  <c r="AZ12" i="50"/>
  <c r="AY12" i="50"/>
  <c r="BB13" i="56"/>
  <c r="BC13" i="56" s="1"/>
  <c r="BB14" i="56"/>
  <c r="BC14" i="56" s="1"/>
  <c r="BB15" i="56"/>
  <c r="BC15" i="56" s="1"/>
  <c r="BB16" i="56"/>
  <c r="BC16" i="56" s="1"/>
  <c r="BB17" i="56"/>
  <c r="BC17" i="56" s="1"/>
  <c r="BB18" i="56"/>
  <c r="BC18" i="56" s="1"/>
  <c r="BB19" i="56"/>
  <c r="BC19" i="56" s="1"/>
  <c r="BB20" i="56"/>
  <c r="BC20" i="56" s="1"/>
  <c r="BB21" i="56"/>
  <c r="BC21" i="56" s="1"/>
  <c r="BB22" i="56"/>
  <c r="BC22" i="56" s="1"/>
  <c r="BB23" i="56"/>
  <c r="BC23" i="56" s="1"/>
  <c r="BB24" i="56"/>
  <c r="BC24" i="56" s="1"/>
  <c r="BB25" i="56"/>
  <c r="BC25" i="56" s="1"/>
  <c r="BB26" i="56"/>
  <c r="BC26" i="56" s="1"/>
  <c r="BB27" i="56"/>
  <c r="BC27" i="56" s="1"/>
  <c r="BB28" i="56"/>
  <c r="BC28" i="56" s="1"/>
  <c r="BB29" i="56"/>
  <c r="BC29" i="56" s="1"/>
  <c r="BB30" i="56"/>
  <c r="BC30" i="56" s="1"/>
  <c r="BB31" i="56"/>
  <c r="BC31" i="56" s="1"/>
  <c r="BB32" i="56"/>
  <c r="BC32" i="56" s="1"/>
  <c r="BB33" i="56"/>
  <c r="BC33" i="56" s="1"/>
  <c r="BB34" i="56"/>
  <c r="BC34" i="56" s="1"/>
  <c r="BB35" i="56"/>
  <c r="BC35" i="56" s="1"/>
  <c r="BB36" i="56"/>
  <c r="BC36" i="56" s="1"/>
  <c r="BB37" i="56"/>
  <c r="BC37" i="56" s="1"/>
  <c r="BB38" i="56"/>
  <c r="BC38" i="56" s="1"/>
  <c r="BB39" i="56"/>
  <c r="BC39" i="56" s="1"/>
  <c r="BB40" i="56"/>
  <c r="BC40" i="56" s="1"/>
  <c r="BB41" i="56"/>
  <c r="BC41" i="56" s="1"/>
  <c r="BB42" i="56"/>
  <c r="BC42" i="56" s="1"/>
  <c r="BB43" i="56"/>
  <c r="BC43" i="56" s="1"/>
  <c r="BB44" i="56"/>
  <c r="BC44" i="56" s="1"/>
  <c r="BB12" i="56"/>
  <c r="BC12" i="56" s="1"/>
  <c r="AV13" i="53"/>
  <c r="AW13" i="53" s="1"/>
  <c r="AV14" i="53"/>
  <c r="AW14" i="53" s="1"/>
  <c r="AV15" i="53"/>
  <c r="AW15" i="53" s="1"/>
  <c r="AV16" i="53"/>
  <c r="AW16" i="53" s="1"/>
  <c r="AV17" i="53"/>
  <c r="AW17" i="53" s="1"/>
  <c r="AV18" i="53"/>
  <c r="AW18" i="53" s="1"/>
  <c r="AV19" i="53"/>
  <c r="AW19" i="53" s="1"/>
  <c r="AV20" i="53"/>
  <c r="AW20" i="53" s="1"/>
  <c r="AV21" i="53"/>
  <c r="AW21" i="53" s="1"/>
  <c r="AV22" i="53"/>
  <c r="AW22" i="53" s="1"/>
  <c r="AV23" i="53"/>
  <c r="AW23" i="53" s="1"/>
  <c r="AV24" i="53"/>
  <c r="AW24" i="53" s="1"/>
  <c r="AV25" i="53"/>
  <c r="AW25" i="53" s="1"/>
  <c r="AV26" i="53"/>
  <c r="AW26" i="53" s="1"/>
  <c r="AV27" i="53"/>
  <c r="AW27" i="53" s="1"/>
  <c r="AV28" i="53"/>
  <c r="AW28" i="53" s="1"/>
  <c r="AV29" i="53"/>
  <c r="AW29" i="53" s="1"/>
  <c r="AV30" i="53"/>
  <c r="AW30" i="53" s="1"/>
  <c r="AV31" i="53"/>
  <c r="AW31" i="53" s="1"/>
  <c r="AV32" i="53"/>
  <c r="AW32" i="53" s="1"/>
  <c r="AV33" i="53"/>
  <c r="AW33" i="53" s="1"/>
  <c r="AV34" i="53"/>
  <c r="AW34" i="53" s="1"/>
  <c r="AV35" i="53"/>
  <c r="AW35" i="53" s="1"/>
  <c r="AV36" i="53"/>
  <c r="AW36" i="53" s="1"/>
  <c r="AV37" i="53"/>
  <c r="AW37" i="53" s="1"/>
  <c r="AV38" i="53"/>
  <c r="AW38" i="53" s="1"/>
  <c r="AV39" i="53"/>
  <c r="AW39" i="53" s="1"/>
  <c r="AV40" i="53"/>
  <c r="AW40" i="53" s="1"/>
  <c r="AV41" i="53"/>
  <c r="AW41" i="53" s="1"/>
  <c r="AV42" i="53"/>
  <c r="AW42" i="53" s="1"/>
  <c r="AV43" i="53"/>
  <c r="AW43" i="53" s="1"/>
  <c r="AV44" i="53"/>
  <c r="AW44" i="53" s="1"/>
  <c r="AV12" i="53"/>
  <c r="AW12" i="53" s="1"/>
  <c r="AV13" i="52"/>
  <c r="AW13" i="52" s="1"/>
  <c r="AV14" i="52"/>
  <c r="AW14" i="52" s="1"/>
  <c r="AV15" i="52"/>
  <c r="AW15" i="52" s="1"/>
  <c r="AV16" i="52"/>
  <c r="AW16" i="52" s="1"/>
  <c r="AV17" i="52"/>
  <c r="AW17" i="52" s="1"/>
  <c r="AV18" i="52"/>
  <c r="AW18" i="52" s="1"/>
  <c r="AV19" i="52"/>
  <c r="AW19" i="52" s="1"/>
  <c r="AV20" i="52"/>
  <c r="AW20" i="52" s="1"/>
  <c r="AV21" i="52"/>
  <c r="AW21" i="52" s="1"/>
  <c r="AV22" i="52"/>
  <c r="AW22" i="52" s="1"/>
  <c r="AV23" i="52"/>
  <c r="AW23" i="52" s="1"/>
  <c r="AV24" i="52"/>
  <c r="AW24" i="52" s="1"/>
  <c r="AV25" i="52"/>
  <c r="AW25" i="52" s="1"/>
  <c r="AV26" i="52"/>
  <c r="AW26" i="52" s="1"/>
  <c r="AV27" i="52"/>
  <c r="AW27" i="52" s="1"/>
  <c r="AV28" i="52"/>
  <c r="AW28" i="52" s="1"/>
  <c r="AV29" i="52"/>
  <c r="AW29" i="52" s="1"/>
  <c r="AV30" i="52"/>
  <c r="AW30" i="52" s="1"/>
  <c r="AV31" i="52"/>
  <c r="AW31" i="52" s="1"/>
  <c r="AV32" i="52"/>
  <c r="AW32" i="52" s="1"/>
  <c r="AV33" i="52"/>
  <c r="AW33" i="52" s="1"/>
  <c r="AV34" i="52"/>
  <c r="AW34" i="52" s="1"/>
  <c r="AV35" i="52"/>
  <c r="AW35" i="52" s="1"/>
  <c r="AV36" i="52"/>
  <c r="AW36" i="52" s="1"/>
  <c r="AV37" i="52"/>
  <c r="AW37" i="52" s="1"/>
  <c r="AV38" i="52"/>
  <c r="AW38" i="52" s="1"/>
  <c r="AV39" i="52"/>
  <c r="AW39" i="52" s="1"/>
  <c r="AV40" i="52"/>
  <c r="AW40" i="52" s="1"/>
  <c r="AV41" i="52"/>
  <c r="AW41" i="52" s="1"/>
  <c r="AV42" i="52"/>
  <c r="AW42" i="52" s="1"/>
  <c r="AV43" i="52"/>
  <c r="AW43" i="52" s="1"/>
  <c r="AV44" i="52"/>
  <c r="AW44" i="52" s="1"/>
  <c r="AV12" i="52"/>
  <c r="AW12" i="52" s="1"/>
  <c r="AV13" i="51"/>
  <c r="AW13" i="51" s="1"/>
  <c r="AV14" i="51"/>
  <c r="AW14" i="51" s="1"/>
  <c r="AV15" i="51"/>
  <c r="AW15" i="51" s="1"/>
  <c r="AV16" i="51"/>
  <c r="AW16" i="51" s="1"/>
  <c r="AV17" i="51"/>
  <c r="AW17" i="51" s="1"/>
  <c r="AV18" i="51"/>
  <c r="AW18" i="51" s="1"/>
  <c r="AV19" i="51"/>
  <c r="AW19" i="51" s="1"/>
  <c r="AV20" i="51"/>
  <c r="AW20" i="51" s="1"/>
  <c r="AV21" i="51"/>
  <c r="AW21" i="51" s="1"/>
  <c r="AV22" i="51"/>
  <c r="AW22" i="51" s="1"/>
  <c r="AV23" i="51"/>
  <c r="AW23" i="51" s="1"/>
  <c r="AV24" i="51"/>
  <c r="AW24" i="51" s="1"/>
  <c r="AV25" i="51"/>
  <c r="AW25" i="51" s="1"/>
  <c r="AV26" i="51"/>
  <c r="AW26" i="51" s="1"/>
  <c r="AV27" i="51"/>
  <c r="AW27" i="51" s="1"/>
  <c r="AV28" i="51"/>
  <c r="AW28" i="51" s="1"/>
  <c r="AV29" i="51"/>
  <c r="AW29" i="51" s="1"/>
  <c r="AV30" i="51"/>
  <c r="AW30" i="51" s="1"/>
  <c r="AV31" i="51"/>
  <c r="AW31" i="51" s="1"/>
  <c r="AV32" i="51"/>
  <c r="AW32" i="51" s="1"/>
  <c r="AV33" i="51"/>
  <c r="AW33" i="51" s="1"/>
  <c r="AV34" i="51"/>
  <c r="AW34" i="51" s="1"/>
  <c r="AV35" i="51"/>
  <c r="AW35" i="51" s="1"/>
  <c r="AV36" i="51"/>
  <c r="AW36" i="51" s="1"/>
  <c r="AV37" i="51"/>
  <c r="AW37" i="51" s="1"/>
  <c r="AV38" i="51"/>
  <c r="AW38" i="51" s="1"/>
  <c r="AV39" i="51"/>
  <c r="AW39" i="51" s="1"/>
  <c r="AV40" i="51"/>
  <c r="AW40" i="51" s="1"/>
  <c r="AV41" i="51"/>
  <c r="AW41" i="51" s="1"/>
  <c r="AV42" i="51"/>
  <c r="AW42" i="51" s="1"/>
  <c r="AV43" i="51"/>
  <c r="AW43" i="51" s="1"/>
  <c r="AV44" i="51"/>
  <c r="AW44" i="51" s="1"/>
  <c r="AV12" i="51"/>
  <c r="AW12" i="51" s="1"/>
  <c r="AV13" i="50"/>
  <c r="AW13" i="50" s="1"/>
  <c r="AV14" i="50"/>
  <c r="AW14" i="50" s="1"/>
  <c r="AV15" i="50"/>
  <c r="AW15" i="50" s="1"/>
  <c r="AV16" i="50"/>
  <c r="AW16" i="50" s="1"/>
  <c r="AV17" i="50"/>
  <c r="AW17" i="50" s="1"/>
  <c r="AV18" i="50"/>
  <c r="AW18" i="50" s="1"/>
  <c r="AV19" i="50"/>
  <c r="AW19" i="50" s="1"/>
  <c r="AV20" i="50"/>
  <c r="AW20" i="50" s="1"/>
  <c r="AV21" i="50"/>
  <c r="AW21" i="50" s="1"/>
  <c r="AV22" i="50"/>
  <c r="AW22" i="50" s="1"/>
  <c r="AV23" i="50"/>
  <c r="AW23" i="50" s="1"/>
  <c r="AV24" i="50"/>
  <c r="AW24" i="50" s="1"/>
  <c r="AV25" i="50"/>
  <c r="AW25" i="50" s="1"/>
  <c r="AV26" i="50"/>
  <c r="AW26" i="50" s="1"/>
  <c r="AV27" i="50"/>
  <c r="AW27" i="50" s="1"/>
  <c r="AV28" i="50"/>
  <c r="AW28" i="50" s="1"/>
  <c r="AV29" i="50"/>
  <c r="AW29" i="50" s="1"/>
  <c r="AV30" i="50"/>
  <c r="AW30" i="50" s="1"/>
  <c r="AV31" i="50"/>
  <c r="AW31" i="50" s="1"/>
  <c r="AV32" i="50"/>
  <c r="AW32" i="50" s="1"/>
  <c r="AV33" i="50"/>
  <c r="AW33" i="50" s="1"/>
  <c r="AV34" i="50"/>
  <c r="AW34" i="50" s="1"/>
  <c r="AV35" i="50"/>
  <c r="AW35" i="50" s="1"/>
  <c r="AV36" i="50"/>
  <c r="AW36" i="50" s="1"/>
  <c r="AV37" i="50"/>
  <c r="AW37" i="50" s="1"/>
  <c r="AV38" i="50"/>
  <c r="AW38" i="50" s="1"/>
  <c r="AV39" i="50"/>
  <c r="AW39" i="50" s="1"/>
  <c r="AV40" i="50"/>
  <c r="AW40" i="50" s="1"/>
  <c r="AV41" i="50"/>
  <c r="AW41" i="50" s="1"/>
  <c r="AV42" i="50"/>
  <c r="AW42" i="50" s="1"/>
  <c r="AV43" i="50"/>
  <c r="AW43" i="50" s="1"/>
  <c r="AV44" i="50"/>
  <c r="AW44" i="50" s="1"/>
  <c r="AV12" i="50"/>
  <c r="AW12" i="50" s="1"/>
  <c r="CX24" i="15"/>
  <c r="CX27" i="15"/>
  <c r="CX31" i="15"/>
  <c r="CX32" i="15"/>
  <c r="CX35" i="15"/>
  <c r="CX39" i="15"/>
  <c r="CX40" i="15"/>
  <c r="X36" i="16"/>
  <c r="AP37" i="56" s="1"/>
  <c r="X37" i="16"/>
  <c r="AP38" i="56" s="1"/>
  <c r="X38" i="16"/>
  <c r="AP39" i="56" s="1"/>
  <c r="X39" i="16"/>
  <c r="AP40" i="56" s="1"/>
  <c r="X40" i="16"/>
  <c r="AP41" i="56" s="1"/>
  <c r="X41" i="16"/>
  <c r="AP42" i="56" s="1"/>
  <c r="X42" i="16"/>
  <c r="AP43" i="56" s="1"/>
  <c r="X43" i="16"/>
  <c r="AP44" i="56" s="1"/>
  <c r="X44" i="16"/>
  <c r="X45" i="16"/>
  <c r="E26" i="18"/>
  <c r="DK9" i="15"/>
  <c r="DL9" i="15" s="1"/>
  <c r="DK10" i="15" s="1"/>
  <c r="DI10" i="15" s="1"/>
  <c r="AJ12" i="65" s="1"/>
  <c r="E84" i="18"/>
  <c r="E85" i="18"/>
  <c r="CV10" i="15"/>
  <c r="CV11" i="15" s="1"/>
  <c r="CX20" i="15"/>
  <c r="CX21" i="15"/>
  <c r="CX22" i="15"/>
  <c r="CX23" i="15"/>
  <c r="CX25" i="15"/>
  <c r="CX26" i="15"/>
  <c r="CX28" i="15"/>
  <c r="CX29" i="15"/>
  <c r="CX30" i="15"/>
  <c r="CX33" i="15"/>
  <c r="CX34" i="15"/>
  <c r="CX36" i="15"/>
  <c r="CX37" i="15"/>
  <c r="CX38" i="15"/>
  <c r="CX41" i="15"/>
  <c r="CX42" i="15"/>
  <c r="CX43" i="15"/>
  <c r="CX44" i="15"/>
  <c r="DF10" i="15"/>
  <c r="DF11" i="15" s="1"/>
  <c r="DF12" i="15" s="1"/>
  <c r="DF13" i="15" s="1"/>
  <c r="DF14" i="15" s="1"/>
  <c r="DF15" i="15" s="1"/>
  <c r="DF16" i="15" s="1"/>
  <c r="DF17" i="15" s="1"/>
  <c r="DM9" i="15"/>
  <c r="DC9" i="15"/>
  <c r="CL10" i="15"/>
  <c r="CL11" i="15" s="1"/>
  <c r="CL12" i="15" s="1"/>
  <c r="CL13" i="15" s="1"/>
  <c r="CL14" i="15" s="1"/>
  <c r="CL15" i="15" s="1"/>
  <c r="CL16" i="15" s="1"/>
  <c r="CL17" i="15" s="1"/>
  <c r="CS9" i="15"/>
  <c r="E51" i="18"/>
  <c r="E60" i="18"/>
  <c r="E61" i="18" s="1"/>
  <c r="O27" i="41"/>
  <c r="E72" i="18"/>
  <c r="E73" i="18"/>
  <c r="E76" i="18"/>
  <c r="E77" i="18" s="1"/>
  <c r="E80" i="18"/>
  <c r="E81" i="18" s="1"/>
  <c r="E65" i="18"/>
  <c r="N12" i="41" s="1"/>
  <c r="O12" i="41" s="1"/>
  <c r="F6" i="18"/>
  <c r="F85" i="18"/>
  <c r="D29" i="18"/>
  <c r="B12" i="56"/>
  <c r="B13" i="56"/>
  <c r="G13" i="56"/>
  <c r="H13" i="56"/>
  <c r="B14" i="56"/>
  <c r="H14" i="56"/>
  <c r="B15" i="56"/>
  <c r="G15" i="56"/>
  <c r="H15" i="56"/>
  <c r="B16" i="56"/>
  <c r="H16" i="56"/>
  <c r="B17" i="56"/>
  <c r="G17" i="56"/>
  <c r="H17" i="56"/>
  <c r="B18" i="56"/>
  <c r="H18" i="56"/>
  <c r="B19" i="56"/>
  <c r="G19" i="56"/>
  <c r="H19" i="56"/>
  <c r="B20" i="56"/>
  <c r="H20" i="56"/>
  <c r="B21" i="56"/>
  <c r="G21" i="56"/>
  <c r="H21" i="56"/>
  <c r="B22" i="56"/>
  <c r="H22" i="56"/>
  <c r="B23" i="56"/>
  <c r="G23" i="56"/>
  <c r="H23" i="56"/>
  <c r="B24" i="56"/>
  <c r="H24" i="56"/>
  <c r="B25" i="56"/>
  <c r="G25" i="56"/>
  <c r="H25" i="56"/>
  <c r="B26" i="56"/>
  <c r="H26" i="56"/>
  <c r="B27" i="56"/>
  <c r="G27" i="56"/>
  <c r="H27" i="56"/>
  <c r="B28" i="56"/>
  <c r="H28" i="56"/>
  <c r="B29" i="56"/>
  <c r="G29" i="56"/>
  <c r="H29" i="56"/>
  <c r="B30" i="56"/>
  <c r="G30" i="56"/>
  <c r="H30" i="56"/>
  <c r="B31" i="56"/>
  <c r="G31" i="56"/>
  <c r="H31" i="56"/>
  <c r="B32" i="56"/>
  <c r="H32" i="56"/>
  <c r="B33" i="56"/>
  <c r="G33" i="56"/>
  <c r="H33" i="56"/>
  <c r="B34" i="56"/>
  <c r="H34" i="56"/>
  <c r="B35" i="56"/>
  <c r="G35" i="56"/>
  <c r="H35" i="56"/>
  <c r="B36" i="56"/>
  <c r="H36" i="56"/>
  <c r="B37" i="56"/>
  <c r="G37" i="56"/>
  <c r="H37" i="56"/>
  <c r="B38" i="56"/>
  <c r="G38" i="56"/>
  <c r="H38" i="56"/>
  <c r="B39" i="56"/>
  <c r="G39" i="56"/>
  <c r="H39" i="56"/>
  <c r="B40" i="56"/>
  <c r="H40" i="56"/>
  <c r="B41" i="56"/>
  <c r="G41" i="56"/>
  <c r="H41" i="56"/>
  <c r="B42" i="56"/>
  <c r="H42" i="56"/>
  <c r="B43" i="56"/>
  <c r="G43" i="56"/>
  <c r="H43" i="56"/>
  <c r="B44" i="56"/>
  <c r="H44" i="56"/>
  <c r="H12" i="56"/>
  <c r="AH12" i="56"/>
  <c r="D28" i="18"/>
  <c r="D51" i="18"/>
  <c r="D59" i="18"/>
  <c r="D60" i="18" s="1"/>
  <c r="D61" i="18" s="1"/>
  <c r="D72" i="18"/>
  <c r="D73" i="18" s="1"/>
  <c r="D76" i="18"/>
  <c r="D77" i="18" s="1"/>
  <c r="D81" i="18"/>
  <c r="H16" i="18"/>
  <c r="G51" i="18"/>
  <c r="G59" i="18"/>
  <c r="G60" i="18" s="1"/>
  <c r="G61" i="18" s="1"/>
  <c r="G73" i="18"/>
  <c r="G76" i="18"/>
  <c r="G77" i="18" s="1"/>
  <c r="G81" i="18"/>
  <c r="J17" i="18"/>
  <c r="E39" i="18"/>
  <c r="N7" i="48" s="1"/>
  <c r="O7" i="48" s="1"/>
  <c r="E41" i="18"/>
  <c r="G42" i="48" s="1"/>
  <c r="O16" i="48" s="1"/>
  <c r="N8" i="48"/>
  <c r="O8" i="48" s="1"/>
  <c r="O27" i="48"/>
  <c r="N12" i="48"/>
  <c r="O12" i="48" s="1"/>
  <c r="E40" i="18"/>
  <c r="J8" i="48" s="1"/>
  <c r="R16" i="48" s="1"/>
  <c r="J13" i="53"/>
  <c r="J14" i="53"/>
  <c r="J15" i="53"/>
  <c r="J16" i="53"/>
  <c r="J17" i="53"/>
  <c r="J18" i="53"/>
  <c r="J19" i="53"/>
  <c r="J20" i="53"/>
  <c r="J21" i="53"/>
  <c r="J22" i="53"/>
  <c r="J23" i="53"/>
  <c r="J24" i="53"/>
  <c r="J25" i="53"/>
  <c r="J26" i="53"/>
  <c r="J27" i="53"/>
  <c r="J28" i="53"/>
  <c r="J29" i="53"/>
  <c r="J30" i="53"/>
  <c r="J31" i="53"/>
  <c r="J32" i="53"/>
  <c r="J33" i="53"/>
  <c r="J34" i="53"/>
  <c r="J35" i="53"/>
  <c r="J36" i="53"/>
  <c r="J37" i="53"/>
  <c r="J38" i="53"/>
  <c r="J39" i="53"/>
  <c r="J40" i="53"/>
  <c r="J41" i="53"/>
  <c r="J42" i="53"/>
  <c r="J43" i="53"/>
  <c r="J44" i="53"/>
  <c r="J12" i="53"/>
  <c r="G37" i="53"/>
  <c r="G38" i="53"/>
  <c r="G39" i="53"/>
  <c r="H42" i="53"/>
  <c r="G42" i="53"/>
  <c r="G43" i="53"/>
  <c r="G44" i="53"/>
  <c r="W12" i="53"/>
  <c r="W13" i="53" s="1"/>
  <c r="N7" i="32"/>
  <c r="H13" i="18"/>
  <c r="G39" i="32" s="1"/>
  <c r="H51" i="18"/>
  <c r="N8" i="32" s="1"/>
  <c r="O8" i="32" s="1"/>
  <c r="H84" i="18"/>
  <c r="H85" i="18" s="1"/>
  <c r="H59" i="18"/>
  <c r="H60" i="18" s="1"/>
  <c r="H61" i="18" s="1"/>
  <c r="O27" i="32"/>
  <c r="H73" i="18"/>
  <c r="N28" i="32" s="1"/>
  <c r="O28" i="32" s="1"/>
  <c r="H76" i="18"/>
  <c r="H77" i="18" s="1"/>
  <c r="N29" i="32" s="1"/>
  <c r="O29" i="32" s="1"/>
  <c r="H81" i="18"/>
  <c r="N31" i="32" s="1"/>
  <c r="O31" i="32" s="1"/>
  <c r="N12" i="32"/>
  <c r="O12" i="32" s="1"/>
  <c r="G28" i="32"/>
  <c r="J13" i="52"/>
  <c r="J14" i="52"/>
  <c r="J15" i="52"/>
  <c r="J16" i="52"/>
  <c r="J17" i="52"/>
  <c r="J18" i="52"/>
  <c r="J19" i="52"/>
  <c r="J20" i="52"/>
  <c r="J21" i="52"/>
  <c r="J22" i="52"/>
  <c r="J23" i="52"/>
  <c r="J24" i="52"/>
  <c r="J25" i="52"/>
  <c r="J26" i="52"/>
  <c r="J27" i="52"/>
  <c r="J28" i="52"/>
  <c r="J29" i="52"/>
  <c r="J30" i="52"/>
  <c r="J31" i="52"/>
  <c r="J32" i="52"/>
  <c r="J33" i="52"/>
  <c r="J34" i="52"/>
  <c r="J35" i="52"/>
  <c r="J36" i="52"/>
  <c r="J37" i="52"/>
  <c r="J38" i="52"/>
  <c r="J39" i="52"/>
  <c r="J40" i="52"/>
  <c r="J41" i="52"/>
  <c r="J42" i="52"/>
  <c r="J43" i="52"/>
  <c r="J44" i="52"/>
  <c r="J12" i="52"/>
  <c r="G37" i="52"/>
  <c r="H41" i="52"/>
  <c r="H42" i="52"/>
  <c r="G42" i="52"/>
  <c r="G43" i="52"/>
  <c r="G44" i="52"/>
  <c r="AB12" i="52"/>
  <c r="AB13" i="52" s="1"/>
  <c r="D33" i="18"/>
  <c r="N8" i="46"/>
  <c r="O8" i="46" s="1"/>
  <c r="D85" i="18"/>
  <c r="G42" i="46"/>
  <c r="O16" i="46" s="1"/>
  <c r="O27" i="46"/>
  <c r="N12" i="46"/>
  <c r="G28" i="46"/>
  <c r="J13" i="51"/>
  <c r="J14" i="51"/>
  <c r="J15" i="51"/>
  <c r="J16" i="51"/>
  <c r="J17" i="51"/>
  <c r="J18" i="51"/>
  <c r="J19" i="51"/>
  <c r="J20" i="51"/>
  <c r="J21" i="51"/>
  <c r="J22" i="51"/>
  <c r="J23" i="51"/>
  <c r="J24" i="51"/>
  <c r="J25" i="51"/>
  <c r="J26" i="51"/>
  <c r="J27" i="51"/>
  <c r="J28" i="51"/>
  <c r="J29" i="51"/>
  <c r="J30" i="51"/>
  <c r="J31" i="51"/>
  <c r="J32" i="51"/>
  <c r="J33" i="51"/>
  <c r="J34" i="51"/>
  <c r="J35" i="51"/>
  <c r="J36" i="51"/>
  <c r="J37" i="51"/>
  <c r="J38" i="51"/>
  <c r="J39" i="51"/>
  <c r="J40" i="51"/>
  <c r="J41" i="51"/>
  <c r="J42" i="51"/>
  <c r="J43" i="51"/>
  <c r="J44" i="51"/>
  <c r="J12" i="51"/>
  <c r="G38" i="51"/>
  <c r="G39" i="51"/>
  <c r="G40" i="51"/>
  <c r="G42" i="51"/>
  <c r="G43" i="51"/>
  <c r="G44" i="51"/>
  <c r="AB12" i="51"/>
  <c r="AB13" i="51" s="1"/>
  <c r="N12" i="45"/>
  <c r="O12" i="45" s="1"/>
  <c r="O27" i="45"/>
  <c r="N28" i="45"/>
  <c r="O28" i="45" s="1"/>
  <c r="N31" i="45"/>
  <c r="O31" i="45" s="1"/>
  <c r="N8" i="45"/>
  <c r="O8" i="45" s="1"/>
  <c r="O7" i="45"/>
  <c r="J13" i="50"/>
  <c r="J14" i="50"/>
  <c r="J15" i="50"/>
  <c r="J16" i="50"/>
  <c r="J17" i="50"/>
  <c r="J18" i="50"/>
  <c r="J19" i="50"/>
  <c r="J20" i="50"/>
  <c r="J21" i="50"/>
  <c r="J22" i="50"/>
  <c r="J23" i="50"/>
  <c r="J24" i="50"/>
  <c r="J25" i="50"/>
  <c r="J26" i="50"/>
  <c r="J27" i="50"/>
  <c r="J28" i="50"/>
  <c r="J29" i="50"/>
  <c r="J30" i="50"/>
  <c r="J31" i="50"/>
  <c r="J32" i="50"/>
  <c r="J33" i="50"/>
  <c r="J34" i="50"/>
  <c r="J35" i="50"/>
  <c r="J36" i="50"/>
  <c r="J37" i="50"/>
  <c r="J38" i="50"/>
  <c r="J39" i="50"/>
  <c r="J40" i="50"/>
  <c r="J41" i="50"/>
  <c r="J42" i="50"/>
  <c r="J43" i="50"/>
  <c r="J44" i="50"/>
  <c r="J12" i="50"/>
  <c r="G44" i="50"/>
  <c r="AF12" i="50"/>
  <c r="AF13" i="50" s="1"/>
  <c r="H12" i="13"/>
  <c r="K10" i="15"/>
  <c r="I10" i="15"/>
  <c r="J9" i="15"/>
  <c r="J10" i="15" s="1"/>
  <c r="K11" i="15"/>
  <c r="I11" i="15"/>
  <c r="K12" i="15"/>
  <c r="I12" i="15"/>
  <c r="K13" i="15"/>
  <c r="I13" i="15"/>
  <c r="K14" i="15"/>
  <c r="I14" i="15"/>
  <c r="K15" i="15"/>
  <c r="I15" i="15"/>
  <c r="K16" i="15"/>
  <c r="I16" i="15"/>
  <c r="K17" i="15"/>
  <c r="I17" i="15"/>
  <c r="K18" i="15"/>
  <c r="I18" i="15"/>
  <c r="K19" i="15"/>
  <c r="I19" i="15"/>
  <c r="K20" i="15"/>
  <c r="I20" i="15"/>
  <c r="L20" i="15" s="1"/>
  <c r="K21" i="15"/>
  <c r="I21" i="15"/>
  <c r="L21" i="15" s="1"/>
  <c r="K22" i="15"/>
  <c r="I22" i="15"/>
  <c r="L22" i="15" s="1"/>
  <c r="K23" i="15"/>
  <c r="I23" i="15"/>
  <c r="L23" i="15" s="1"/>
  <c r="K24" i="15"/>
  <c r="I24" i="15"/>
  <c r="L24" i="15" s="1"/>
  <c r="K25" i="15"/>
  <c r="I25" i="15"/>
  <c r="L25" i="15" s="1"/>
  <c r="K26" i="15"/>
  <c r="I26" i="15"/>
  <c r="L26" i="15" s="1"/>
  <c r="K27" i="15"/>
  <c r="I27" i="15"/>
  <c r="L27" i="15" s="1"/>
  <c r="K28" i="15"/>
  <c r="I28" i="15"/>
  <c r="L28" i="15" s="1"/>
  <c r="K29" i="15"/>
  <c r="I29" i="15"/>
  <c r="L29" i="15" s="1"/>
  <c r="K30" i="15"/>
  <c r="I30" i="15"/>
  <c r="L30" i="15" s="1"/>
  <c r="K31" i="15"/>
  <c r="I31" i="15"/>
  <c r="L31" i="15" s="1"/>
  <c r="K32" i="15"/>
  <c r="I32" i="15"/>
  <c r="L32" i="15" s="1"/>
  <c r="K33" i="15"/>
  <c r="I33" i="15"/>
  <c r="L33" i="15" s="1"/>
  <c r="K34" i="15"/>
  <c r="I34" i="15"/>
  <c r="L34" i="15" s="1"/>
  <c r="C36" i="16"/>
  <c r="AJ37" i="13" s="1"/>
  <c r="K35" i="15"/>
  <c r="I35" i="15"/>
  <c r="L35" i="15" s="1"/>
  <c r="C37" i="16"/>
  <c r="AJ38" i="13" s="1"/>
  <c r="K36" i="15"/>
  <c r="I36" i="15"/>
  <c r="L36" i="15" s="1"/>
  <c r="C38" i="16"/>
  <c r="AJ39" i="13" s="1"/>
  <c r="K37" i="15"/>
  <c r="I37" i="15"/>
  <c r="L37" i="15" s="1"/>
  <c r="C39" i="16"/>
  <c r="AJ40" i="13" s="1"/>
  <c r="K38" i="15"/>
  <c r="I38" i="15"/>
  <c r="L38" i="15" s="1"/>
  <c r="C40" i="16"/>
  <c r="AJ41" i="13" s="1"/>
  <c r="K39" i="15"/>
  <c r="I39" i="15"/>
  <c r="L39" i="15" s="1"/>
  <c r="C41" i="16"/>
  <c r="AJ42" i="13" s="1"/>
  <c r="K40" i="15"/>
  <c r="I40" i="15"/>
  <c r="L40" i="15" s="1"/>
  <c r="C42" i="16"/>
  <c r="AJ43" i="13" s="1"/>
  <c r="K41" i="15"/>
  <c r="I41" i="15"/>
  <c r="L41" i="15" s="1"/>
  <c r="AL8" i="56"/>
  <c r="AK8" i="56"/>
  <c r="AJ8" i="56"/>
  <c r="AI8" i="56"/>
  <c r="AH8" i="56"/>
  <c r="AG8" i="56"/>
  <c r="AF8" i="56"/>
  <c r="AE8" i="56"/>
  <c r="AD8" i="56"/>
  <c r="AC8" i="56"/>
  <c r="AB8" i="56"/>
  <c r="AA8" i="56"/>
  <c r="Z8" i="56"/>
  <c r="Y8" i="56"/>
  <c r="X8" i="56"/>
  <c r="W8" i="56"/>
  <c r="AF8" i="53"/>
  <c r="AE8" i="53"/>
  <c r="AD8" i="53"/>
  <c r="AC8" i="53"/>
  <c r="AB8" i="53"/>
  <c r="AA8" i="53"/>
  <c r="Z8" i="53"/>
  <c r="Y8" i="53"/>
  <c r="X8" i="53"/>
  <c r="W8" i="53"/>
  <c r="V8" i="53"/>
  <c r="U8" i="53"/>
  <c r="T8" i="53"/>
  <c r="S8" i="53"/>
  <c r="R8" i="53"/>
  <c r="Q8" i="53"/>
  <c r="AF8" i="52"/>
  <c r="AE8" i="52"/>
  <c r="AD8" i="52"/>
  <c r="AC8" i="52"/>
  <c r="AB8" i="52"/>
  <c r="AA8" i="52"/>
  <c r="Z8" i="52"/>
  <c r="Y8" i="52"/>
  <c r="X8" i="52"/>
  <c r="W8" i="52"/>
  <c r="V8" i="52"/>
  <c r="U8" i="52"/>
  <c r="T8" i="52"/>
  <c r="S8" i="52"/>
  <c r="R8" i="52"/>
  <c r="Q8" i="52"/>
  <c r="AF8" i="51"/>
  <c r="AE8" i="51"/>
  <c r="AD8" i="51"/>
  <c r="AC8" i="51"/>
  <c r="AB8" i="51"/>
  <c r="AA8" i="51"/>
  <c r="Z8" i="51"/>
  <c r="Y8" i="51"/>
  <c r="X8" i="51"/>
  <c r="W8" i="51"/>
  <c r="V8" i="51"/>
  <c r="U8" i="51"/>
  <c r="T8" i="51"/>
  <c r="S8" i="51"/>
  <c r="R8" i="51"/>
  <c r="Q8" i="51"/>
  <c r="AF8" i="50"/>
  <c r="AE8" i="50"/>
  <c r="AD8" i="50"/>
  <c r="AC8" i="50"/>
  <c r="AB8" i="50"/>
  <c r="AA8" i="50"/>
  <c r="Z8" i="50"/>
  <c r="Y8" i="50"/>
  <c r="X8" i="50"/>
  <c r="W8" i="50"/>
  <c r="V8" i="50"/>
  <c r="U8" i="50"/>
  <c r="T8" i="50"/>
  <c r="S8" i="50"/>
  <c r="R8" i="50"/>
  <c r="Q8" i="50"/>
  <c r="U11" i="15"/>
  <c r="U12" i="15"/>
  <c r="U13" i="15"/>
  <c r="U14" i="15"/>
  <c r="U15" i="15"/>
  <c r="U16" i="15"/>
  <c r="U17" i="15"/>
  <c r="U18" i="15"/>
  <c r="U19" i="15"/>
  <c r="U20" i="15"/>
  <c r="U21" i="15"/>
  <c r="U22" i="15"/>
  <c r="U23" i="15"/>
  <c r="U24" i="15"/>
  <c r="U25" i="15"/>
  <c r="U26" i="15"/>
  <c r="U27" i="15"/>
  <c r="U28" i="15"/>
  <c r="U29" i="15"/>
  <c r="U30" i="15"/>
  <c r="U31" i="15"/>
  <c r="U32" i="15"/>
  <c r="U33" i="15"/>
  <c r="U34" i="15"/>
  <c r="U35" i="15"/>
  <c r="U36" i="15"/>
  <c r="U37" i="15"/>
  <c r="U38" i="15"/>
  <c r="U39" i="15"/>
  <c r="U40" i="15"/>
  <c r="U41" i="15"/>
  <c r="U42" i="15"/>
  <c r="U43" i="15"/>
  <c r="U44" i="15"/>
  <c r="U10" i="15"/>
  <c r="T9" i="15"/>
  <c r="AE11" i="15"/>
  <c r="AE12" i="15"/>
  <c r="AE13" i="15"/>
  <c r="AE14" i="15"/>
  <c r="AE15" i="15"/>
  <c r="AE16" i="15"/>
  <c r="AE17" i="15"/>
  <c r="AE18" i="15"/>
  <c r="AE19" i="15"/>
  <c r="AE20" i="15"/>
  <c r="AE21" i="15"/>
  <c r="AE22" i="15"/>
  <c r="AE23" i="15"/>
  <c r="AE24" i="15"/>
  <c r="AE25" i="15"/>
  <c r="AE26" i="15"/>
  <c r="AE27" i="15"/>
  <c r="AE28" i="15"/>
  <c r="AE29" i="15"/>
  <c r="AE30" i="15"/>
  <c r="AE31" i="15"/>
  <c r="AE32" i="15"/>
  <c r="AE33" i="15"/>
  <c r="AE34" i="15"/>
  <c r="AE35" i="15"/>
  <c r="AE36" i="15"/>
  <c r="AE37" i="15"/>
  <c r="AE38" i="15"/>
  <c r="AE39" i="15"/>
  <c r="AE40" i="15"/>
  <c r="AE41" i="15"/>
  <c r="AE42" i="15"/>
  <c r="AE43" i="15"/>
  <c r="AE44" i="15"/>
  <c r="AE10" i="15"/>
  <c r="AD9" i="15"/>
  <c r="AD10" i="15" s="1"/>
  <c r="AD11" i="15" s="1"/>
  <c r="AD12" i="15" s="1"/>
  <c r="AD13" i="15" s="1"/>
  <c r="AO11" i="15"/>
  <c r="AO12" i="15"/>
  <c r="AO13" i="15"/>
  <c r="AO14" i="15"/>
  <c r="AO15" i="15"/>
  <c r="AO16" i="15"/>
  <c r="AO17" i="15"/>
  <c r="AO18" i="15"/>
  <c r="AO19" i="15"/>
  <c r="AO20" i="15"/>
  <c r="AO21" i="15"/>
  <c r="AO22" i="15"/>
  <c r="AO23" i="15"/>
  <c r="AO24" i="15"/>
  <c r="AO25" i="15"/>
  <c r="AO26" i="15"/>
  <c r="AO27" i="15"/>
  <c r="AO28" i="15"/>
  <c r="AO29" i="15"/>
  <c r="AO30" i="15"/>
  <c r="AO31" i="15"/>
  <c r="AO32" i="15"/>
  <c r="AO33" i="15"/>
  <c r="AO34" i="15"/>
  <c r="AO35" i="15"/>
  <c r="AO36" i="15"/>
  <c r="AO37" i="15"/>
  <c r="AO38" i="15"/>
  <c r="AO39" i="15"/>
  <c r="AO40" i="15"/>
  <c r="AO41" i="15"/>
  <c r="AO42" i="15"/>
  <c r="AO43" i="15"/>
  <c r="AO44" i="15"/>
  <c r="AO10" i="15"/>
  <c r="AN9" i="15"/>
  <c r="AY11" i="15"/>
  <c r="AY12" i="15"/>
  <c r="AY13" i="15"/>
  <c r="AY14" i="15"/>
  <c r="AY15" i="15"/>
  <c r="AY16" i="15"/>
  <c r="AY17" i="15"/>
  <c r="AY18" i="15"/>
  <c r="AY19" i="15"/>
  <c r="AY20" i="15"/>
  <c r="AY21" i="15"/>
  <c r="AY22" i="15"/>
  <c r="AY23" i="15"/>
  <c r="AY24" i="15"/>
  <c r="AY25" i="15"/>
  <c r="AY26" i="15"/>
  <c r="AY27" i="15"/>
  <c r="AY28" i="15"/>
  <c r="AY29" i="15"/>
  <c r="AY30" i="15"/>
  <c r="AY31" i="15"/>
  <c r="AY32" i="15"/>
  <c r="AY33" i="15"/>
  <c r="AY34" i="15"/>
  <c r="AY35" i="15"/>
  <c r="AY36" i="15"/>
  <c r="AY37" i="15"/>
  <c r="AY38" i="15"/>
  <c r="AY39" i="15"/>
  <c r="AY40" i="15"/>
  <c r="AY41" i="15"/>
  <c r="AY42" i="15"/>
  <c r="AY43" i="15"/>
  <c r="AY44" i="15"/>
  <c r="AY10" i="15"/>
  <c r="AX9" i="15"/>
  <c r="AX10" i="15" s="1"/>
  <c r="BH10" i="15"/>
  <c r="BR10" i="15"/>
  <c r="CC11" i="15"/>
  <c r="CC12" i="15"/>
  <c r="CC13" i="15"/>
  <c r="CC14" i="15"/>
  <c r="CC15" i="15"/>
  <c r="CC16" i="15"/>
  <c r="CC17" i="15"/>
  <c r="CC18" i="15"/>
  <c r="CC19" i="15"/>
  <c r="CC20" i="15"/>
  <c r="CC21" i="15"/>
  <c r="CC22" i="15"/>
  <c r="CC23" i="15"/>
  <c r="CC24" i="15"/>
  <c r="CC25" i="15"/>
  <c r="CC26" i="15"/>
  <c r="CC27" i="15"/>
  <c r="CC28" i="15"/>
  <c r="CC29" i="15"/>
  <c r="CC30" i="15"/>
  <c r="CC31" i="15"/>
  <c r="CC32" i="15"/>
  <c r="CC33" i="15"/>
  <c r="CC34" i="15"/>
  <c r="CC35" i="15"/>
  <c r="CC36" i="15"/>
  <c r="CC37" i="15"/>
  <c r="CC38" i="15"/>
  <c r="CC39" i="15"/>
  <c r="CC40" i="15"/>
  <c r="CC41" i="15"/>
  <c r="CC42" i="15"/>
  <c r="CC43" i="15"/>
  <c r="CC44" i="15"/>
  <c r="CC10" i="15"/>
  <c r="CB9" i="15"/>
  <c r="CB10" i="15" s="1"/>
  <c r="CA10" i="15"/>
  <c r="AW10" i="15"/>
  <c r="AM10" i="15"/>
  <c r="AC10" i="15"/>
  <c r="S10" i="15"/>
  <c r="CA11" i="15"/>
  <c r="CA12" i="15"/>
  <c r="CA13" i="15"/>
  <c r="CA14" i="15"/>
  <c r="CA15" i="15"/>
  <c r="CA16" i="15"/>
  <c r="CA17" i="15"/>
  <c r="CA18" i="15"/>
  <c r="CA19" i="15"/>
  <c r="CA20" i="15"/>
  <c r="CD20" i="15" s="1"/>
  <c r="CA21" i="15"/>
  <c r="CD21" i="15" s="1"/>
  <c r="CA22" i="15"/>
  <c r="CD22" i="15" s="1"/>
  <c r="CA23" i="15"/>
  <c r="CD23" i="15" s="1"/>
  <c r="CA24" i="15"/>
  <c r="CD24" i="15" s="1"/>
  <c r="CA25" i="15"/>
  <c r="CD25" i="15" s="1"/>
  <c r="CA26" i="15"/>
  <c r="CD26" i="15" s="1"/>
  <c r="CA27" i="15"/>
  <c r="CD27" i="15" s="1"/>
  <c r="CA28" i="15"/>
  <c r="CD28" i="15" s="1"/>
  <c r="CA29" i="15"/>
  <c r="CD29" i="15" s="1"/>
  <c r="CA30" i="15"/>
  <c r="CD30" i="15" s="1"/>
  <c r="CA31" i="15"/>
  <c r="CD31" i="15" s="1"/>
  <c r="CA32" i="15"/>
  <c r="CD32" i="15" s="1"/>
  <c r="CA33" i="15"/>
  <c r="CD33" i="15" s="1"/>
  <c r="CA34" i="15"/>
  <c r="CD34" i="15" s="1"/>
  <c r="CA35" i="15"/>
  <c r="CD35" i="15" s="1"/>
  <c r="CA36" i="15"/>
  <c r="CD36" i="15" s="1"/>
  <c r="CA37" i="15"/>
  <c r="CD37" i="15" s="1"/>
  <c r="CA38" i="15"/>
  <c r="CD38" i="15" s="1"/>
  <c r="CA39" i="15"/>
  <c r="CD39" i="15" s="1"/>
  <c r="CA40" i="15"/>
  <c r="CD40" i="15" s="1"/>
  <c r="CA41" i="15"/>
  <c r="CD41" i="15" s="1"/>
  <c r="CA42" i="15"/>
  <c r="CD42" i="15" s="1"/>
  <c r="CA43" i="15"/>
  <c r="CD43" i="15" s="1"/>
  <c r="CA44" i="15"/>
  <c r="CD44" i="15" s="1"/>
  <c r="BT20" i="15"/>
  <c r="BT21" i="15"/>
  <c r="BT22" i="15"/>
  <c r="BT23" i="15"/>
  <c r="BT24" i="15"/>
  <c r="BT25" i="15"/>
  <c r="BT27" i="15"/>
  <c r="BT28" i="15"/>
  <c r="BT29" i="15"/>
  <c r="BT30" i="15"/>
  <c r="BT31" i="15"/>
  <c r="BT32" i="15"/>
  <c r="BT33" i="15"/>
  <c r="BT34" i="15"/>
  <c r="BT35" i="15"/>
  <c r="BT36" i="15"/>
  <c r="BT38" i="15"/>
  <c r="BT39" i="15"/>
  <c r="BT40" i="15"/>
  <c r="BT43" i="15"/>
  <c r="BT44" i="15"/>
  <c r="BJ20" i="15"/>
  <c r="BJ24" i="15"/>
  <c r="BJ27" i="15"/>
  <c r="BJ28" i="15"/>
  <c r="BJ30" i="15"/>
  <c r="BJ32" i="15"/>
  <c r="BJ35" i="15"/>
  <c r="BJ36" i="15"/>
  <c r="BJ37" i="15"/>
  <c r="BJ38" i="15"/>
  <c r="BJ39" i="15"/>
  <c r="BJ40" i="15"/>
  <c r="BJ43" i="15"/>
  <c r="BJ44" i="15"/>
  <c r="AW11" i="15"/>
  <c r="AW12" i="15"/>
  <c r="AW13" i="15"/>
  <c r="AW14" i="15"/>
  <c r="AW15" i="15"/>
  <c r="AW16" i="15"/>
  <c r="AW17" i="15"/>
  <c r="AW18" i="15"/>
  <c r="AW19" i="15"/>
  <c r="AW20" i="15"/>
  <c r="AW21" i="15"/>
  <c r="AW22" i="15"/>
  <c r="AW23" i="15"/>
  <c r="AZ23" i="15" s="1"/>
  <c r="AW24" i="15"/>
  <c r="AZ24" i="15" s="1"/>
  <c r="AW25" i="15"/>
  <c r="AZ25" i="15" s="1"/>
  <c r="AW26" i="15"/>
  <c r="AZ26" i="15" s="1"/>
  <c r="AW27" i="15"/>
  <c r="AW28" i="15"/>
  <c r="AW29" i="15"/>
  <c r="AW30" i="15"/>
  <c r="AW31" i="15"/>
  <c r="AZ31" i="15" s="1"/>
  <c r="AW32" i="15"/>
  <c r="AZ32" i="15" s="1"/>
  <c r="AW33" i="15"/>
  <c r="AZ33" i="15" s="1"/>
  <c r="AW34" i="15"/>
  <c r="AZ34" i="15" s="1"/>
  <c r="AW35" i="15"/>
  <c r="AW36" i="15"/>
  <c r="AW37" i="15"/>
  <c r="AW38" i="15"/>
  <c r="AZ38" i="15" s="1"/>
  <c r="AW39" i="15"/>
  <c r="AZ39" i="15" s="1"/>
  <c r="AW40" i="15"/>
  <c r="AZ40" i="15" s="1"/>
  <c r="AW41" i="15"/>
  <c r="AZ41" i="15" s="1"/>
  <c r="AW42" i="15"/>
  <c r="AZ42" i="15" s="1"/>
  <c r="AW43" i="15"/>
  <c r="AW44" i="15"/>
  <c r="AM11" i="15"/>
  <c r="AM12" i="15"/>
  <c r="AM13" i="15"/>
  <c r="AM14" i="15"/>
  <c r="AM15" i="15"/>
  <c r="AM16" i="15"/>
  <c r="AM17" i="15"/>
  <c r="AM18" i="15"/>
  <c r="AM19" i="15"/>
  <c r="AM20" i="15"/>
  <c r="AM21" i="15"/>
  <c r="AM22" i="15"/>
  <c r="AM23" i="15"/>
  <c r="AM24" i="15"/>
  <c r="AP24" i="15" s="1"/>
  <c r="AM25" i="15"/>
  <c r="AM26" i="15"/>
  <c r="AM27" i="15"/>
  <c r="AM28" i="15"/>
  <c r="AM29" i="15"/>
  <c r="AM30" i="15"/>
  <c r="AP30" i="15" s="1"/>
  <c r="AM31" i="15"/>
  <c r="AM32" i="15"/>
  <c r="AM33" i="15"/>
  <c r="AM34" i="15"/>
  <c r="AM35" i="15"/>
  <c r="AP35" i="15" s="1"/>
  <c r="AM36" i="15"/>
  <c r="AM37" i="15"/>
  <c r="AM38" i="15"/>
  <c r="AP38" i="15" s="1"/>
  <c r="AM39" i="15"/>
  <c r="AM40" i="15"/>
  <c r="AP40" i="15" s="1"/>
  <c r="AM41" i="15"/>
  <c r="AM42" i="15"/>
  <c r="AM43" i="15"/>
  <c r="AM44" i="15"/>
  <c r="AC11" i="15"/>
  <c r="AC12" i="15"/>
  <c r="AC13" i="15"/>
  <c r="AC14" i="15"/>
  <c r="AC15" i="15"/>
  <c r="AC16" i="15"/>
  <c r="AC17" i="15"/>
  <c r="AC18" i="15"/>
  <c r="AC19" i="15"/>
  <c r="AC20" i="15"/>
  <c r="AF20" i="15" s="1"/>
  <c r="AC21" i="15"/>
  <c r="AF21" i="15" s="1"/>
  <c r="AC22" i="15"/>
  <c r="AF22" i="15" s="1"/>
  <c r="AC23" i="15"/>
  <c r="AF23" i="15" s="1"/>
  <c r="AC24" i="15"/>
  <c r="AC25" i="15"/>
  <c r="AC26" i="15"/>
  <c r="AC27" i="15"/>
  <c r="AF27" i="15" s="1"/>
  <c r="AC28" i="15"/>
  <c r="AF28" i="15" s="1"/>
  <c r="AC29" i="15"/>
  <c r="AF29" i="15" s="1"/>
  <c r="AC30" i="15"/>
  <c r="AF30" i="15" s="1"/>
  <c r="AC31" i="15"/>
  <c r="AF31" i="15" s="1"/>
  <c r="AC32" i="15"/>
  <c r="AC33" i="15"/>
  <c r="AC34" i="15"/>
  <c r="AF34" i="15" s="1"/>
  <c r="AC35" i="15"/>
  <c r="AF35" i="15" s="1"/>
  <c r="AC36" i="15"/>
  <c r="AF36" i="15" s="1"/>
  <c r="AC37" i="15"/>
  <c r="AF37" i="15" s="1"/>
  <c r="AC38" i="15"/>
  <c r="AF38" i="15" s="1"/>
  <c r="AC39" i="15"/>
  <c r="AF39" i="15" s="1"/>
  <c r="AC40" i="15"/>
  <c r="AC41" i="15"/>
  <c r="AC42" i="15"/>
  <c r="AF42" i="15" s="1"/>
  <c r="AC43" i="15"/>
  <c r="AF43" i="15" s="1"/>
  <c r="AC44" i="15"/>
  <c r="AF44" i="15" s="1"/>
  <c r="S11" i="15"/>
  <c r="S12" i="15"/>
  <c r="S13" i="15"/>
  <c r="S14" i="15"/>
  <c r="S15" i="15"/>
  <c r="S16" i="15"/>
  <c r="S17" i="15"/>
  <c r="S18" i="15"/>
  <c r="S19" i="15"/>
  <c r="S20" i="15"/>
  <c r="V20" i="15" s="1"/>
  <c r="S21" i="15"/>
  <c r="V21" i="15" s="1"/>
  <c r="S22" i="15"/>
  <c r="S23" i="15"/>
  <c r="V23" i="15" s="1"/>
  <c r="S24" i="15"/>
  <c r="V24" i="15" s="1"/>
  <c r="S25" i="15"/>
  <c r="V25" i="15" s="1"/>
  <c r="S26" i="15"/>
  <c r="V26" i="15" s="1"/>
  <c r="S27" i="15"/>
  <c r="V27" i="15" s="1"/>
  <c r="S28" i="15"/>
  <c r="V28" i="15" s="1"/>
  <c r="S29" i="15"/>
  <c r="V29" i="15" s="1"/>
  <c r="S30" i="15"/>
  <c r="V30" i="15" s="1"/>
  <c r="S31" i="15"/>
  <c r="V31" i="15" s="1"/>
  <c r="S32" i="15"/>
  <c r="V32" i="15" s="1"/>
  <c r="S33" i="15"/>
  <c r="V33" i="15" s="1"/>
  <c r="S34" i="15"/>
  <c r="V34" i="15" s="1"/>
  <c r="S35" i="15"/>
  <c r="V35" i="15" s="1"/>
  <c r="S36" i="15"/>
  <c r="V36" i="15" s="1"/>
  <c r="S37" i="15"/>
  <c r="V37" i="15" s="1"/>
  <c r="S38" i="15"/>
  <c r="V38" i="15" s="1"/>
  <c r="S39" i="15"/>
  <c r="V39" i="15" s="1"/>
  <c r="S40" i="15"/>
  <c r="V40" i="15" s="1"/>
  <c r="S41" i="15"/>
  <c r="V41" i="15" s="1"/>
  <c r="S42" i="15"/>
  <c r="V42" i="15" s="1"/>
  <c r="S43" i="15"/>
  <c r="V43" i="15" s="1"/>
  <c r="S44" i="15"/>
  <c r="V44" i="15" s="1"/>
  <c r="B10" i="15"/>
  <c r="T10" i="15"/>
  <c r="T11" i="15" s="1"/>
  <c r="AN10" i="15"/>
  <c r="B11" i="15"/>
  <c r="B12" i="15"/>
  <c r="B13" i="15"/>
  <c r="B14" i="15"/>
  <c r="B15" i="15"/>
  <c r="B16" i="15"/>
  <c r="B17" i="15"/>
  <c r="B18" i="15"/>
  <c r="B19" i="15"/>
  <c r="B20" i="15"/>
  <c r="AP20" i="15"/>
  <c r="AZ20" i="15"/>
  <c r="B21" i="15"/>
  <c r="AP21" i="15"/>
  <c r="AZ21" i="15"/>
  <c r="BJ21" i="15"/>
  <c r="B22" i="15"/>
  <c r="V22" i="15"/>
  <c r="AP22" i="15"/>
  <c r="AZ22" i="15"/>
  <c r="BJ22" i="15"/>
  <c r="B23" i="15"/>
  <c r="AP23" i="15"/>
  <c r="BJ23" i="15"/>
  <c r="B24" i="15"/>
  <c r="AF24" i="15"/>
  <c r="B25" i="15"/>
  <c r="AF25" i="15"/>
  <c r="AP25" i="15"/>
  <c r="BJ25" i="15"/>
  <c r="B26" i="15"/>
  <c r="AF26" i="15"/>
  <c r="AP26" i="15"/>
  <c r="BJ26" i="15"/>
  <c r="BT26" i="15"/>
  <c r="B27" i="15"/>
  <c r="AP27" i="15"/>
  <c r="AZ27" i="15"/>
  <c r="B28" i="15"/>
  <c r="AP28" i="15"/>
  <c r="AZ28" i="15"/>
  <c r="B29" i="15"/>
  <c r="AP29" i="15"/>
  <c r="AZ29" i="15"/>
  <c r="BJ29" i="15"/>
  <c r="B30" i="15"/>
  <c r="AZ30" i="15"/>
  <c r="B31" i="15"/>
  <c r="AP31" i="15"/>
  <c r="BJ31" i="15"/>
  <c r="B32" i="15"/>
  <c r="AF32" i="15"/>
  <c r="AP32" i="15"/>
  <c r="B33" i="15"/>
  <c r="AF33" i="15"/>
  <c r="AP33" i="15"/>
  <c r="BJ33" i="15"/>
  <c r="B34" i="15"/>
  <c r="AP34" i="15"/>
  <c r="BJ34" i="15"/>
  <c r="B35" i="15"/>
  <c r="AZ35" i="15"/>
  <c r="B36" i="15"/>
  <c r="AP36" i="15"/>
  <c r="AZ36" i="15"/>
  <c r="B37" i="15"/>
  <c r="AP37" i="15"/>
  <c r="AZ37" i="15"/>
  <c r="BT37" i="15"/>
  <c r="B38" i="15"/>
  <c r="B39" i="15"/>
  <c r="AP39" i="15"/>
  <c r="B40" i="15"/>
  <c r="AF40" i="15"/>
  <c r="B41" i="15"/>
  <c r="AF41" i="15"/>
  <c r="AP41" i="15"/>
  <c r="BJ41" i="15"/>
  <c r="BT41" i="15"/>
  <c r="B42" i="15"/>
  <c r="I42" i="15"/>
  <c r="L42" i="15" s="1"/>
  <c r="AP42" i="15"/>
  <c r="BJ42" i="15"/>
  <c r="BT42" i="15"/>
  <c r="B43" i="15"/>
  <c r="I43" i="15"/>
  <c r="L43" i="15" s="1"/>
  <c r="AP43" i="15"/>
  <c r="AZ43" i="15"/>
  <c r="B44" i="15"/>
  <c r="I44" i="15"/>
  <c r="L44" i="15" s="1"/>
  <c r="AP44" i="15"/>
  <c r="AZ44" i="15"/>
  <c r="CI9" i="15"/>
  <c r="BY9" i="15"/>
  <c r="BO9" i="15"/>
  <c r="BE9" i="15"/>
  <c r="AU9" i="15"/>
  <c r="AK9" i="15"/>
  <c r="AA9" i="15"/>
  <c r="F8" i="15"/>
  <c r="G9" i="15" s="1"/>
  <c r="C9" i="15" s="1"/>
  <c r="E8" i="15"/>
  <c r="D8" i="15" s="1"/>
  <c r="C43" i="16"/>
  <c r="AJ44" i="13" s="1"/>
  <c r="K42" i="15"/>
  <c r="D11" i="56"/>
  <c r="D12" i="56" s="1"/>
  <c r="E11" i="56"/>
  <c r="E12" i="56" s="1"/>
  <c r="E13" i="56" s="1"/>
  <c r="E14" i="56" s="1"/>
  <c r="E15" i="56" s="1"/>
  <c r="E16" i="56" s="1"/>
  <c r="E17" i="56" s="1"/>
  <c r="E18" i="56" s="1"/>
  <c r="E19" i="56" s="1"/>
  <c r="E20" i="56" s="1"/>
  <c r="E21" i="56" s="1"/>
  <c r="E22" i="56" s="1"/>
  <c r="E23" i="56" s="1"/>
  <c r="E24" i="56" s="1"/>
  <c r="E25" i="56" s="1"/>
  <c r="E26" i="56" s="1"/>
  <c r="E27" i="56" s="1"/>
  <c r="E28" i="56" s="1"/>
  <c r="E29" i="56" s="1"/>
  <c r="E30" i="56" s="1"/>
  <c r="E31" i="56" s="1"/>
  <c r="E32" i="56" s="1"/>
  <c r="E33" i="56" s="1"/>
  <c r="E34" i="56" s="1"/>
  <c r="E35" i="56" s="1"/>
  <c r="E36" i="56" s="1"/>
  <c r="E37" i="56" s="1"/>
  <c r="E38" i="56" s="1"/>
  <c r="E39" i="56" s="1"/>
  <c r="E40" i="56" s="1"/>
  <c r="E41" i="56" s="1"/>
  <c r="E42" i="56" s="1"/>
  <c r="E43" i="56" s="1"/>
  <c r="E44" i="56" s="1"/>
  <c r="BJ11" i="56"/>
  <c r="CB4" i="56" a="1"/>
  <c r="F4" i="56" a="1"/>
  <c r="B12" i="53"/>
  <c r="B13" i="53"/>
  <c r="B14" i="53"/>
  <c r="B15" i="53"/>
  <c r="B16" i="53"/>
  <c r="B17" i="53"/>
  <c r="B18" i="53"/>
  <c r="B19" i="53"/>
  <c r="B20" i="53"/>
  <c r="B21" i="53"/>
  <c r="B22" i="53"/>
  <c r="B23" i="53"/>
  <c r="B24" i="53"/>
  <c r="B25" i="53"/>
  <c r="B26" i="53"/>
  <c r="B27" i="53"/>
  <c r="B28" i="53"/>
  <c r="B29" i="53"/>
  <c r="B30" i="53"/>
  <c r="B31" i="53"/>
  <c r="B32" i="53"/>
  <c r="B33" i="53"/>
  <c r="B34" i="53"/>
  <c r="B35" i="53"/>
  <c r="B36" i="53"/>
  <c r="B37" i="53"/>
  <c r="B38" i="53"/>
  <c r="B39" i="53"/>
  <c r="B40" i="53"/>
  <c r="B41" i="53"/>
  <c r="B42" i="53"/>
  <c r="B43" i="53"/>
  <c r="B44" i="53"/>
  <c r="D11" i="53"/>
  <c r="D12" i="53" s="1"/>
  <c r="BD11" i="53"/>
  <c r="BV4" i="53" a="1"/>
  <c r="F4" i="53" a="1"/>
  <c r="B12" i="52"/>
  <c r="B13" i="52"/>
  <c r="B14" i="52"/>
  <c r="B15" i="52"/>
  <c r="B16" i="52"/>
  <c r="B17" i="52"/>
  <c r="B18" i="52"/>
  <c r="B19" i="52"/>
  <c r="B20" i="52"/>
  <c r="B21" i="52"/>
  <c r="B22" i="52"/>
  <c r="B23" i="52"/>
  <c r="B24" i="52"/>
  <c r="B25" i="52"/>
  <c r="B26" i="52"/>
  <c r="B27" i="52"/>
  <c r="B28" i="52"/>
  <c r="B29" i="52"/>
  <c r="B30" i="52"/>
  <c r="B31" i="52"/>
  <c r="B32" i="52"/>
  <c r="B33" i="52"/>
  <c r="B34" i="52"/>
  <c r="B35" i="52"/>
  <c r="B36" i="52"/>
  <c r="B37" i="52"/>
  <c r="B38" i="52"/>
  <c r="B39" i="52"/>
  <c r="B40" i="52"/>
  <c r="B41" i="52"/>
  <c r="B42" i="52"/>
  <c r="B43" i="52"/>
  <c r="B44" i="52"/>
  <c r="D11" i="52"/>
  <c r="BD11" i="52"/>
  <c r="BV4" i="52" a="1"/>
  <c r="F4" i="52" a="1"/>
  <c r="B12" i="51"/>
  <c r="B13" i="51"/>
  <c r="B14" i="51"/>
  <c r="B15" i="51"/>
  <c r="B16" i="51"/>
  <c r="B17" i="51"/>
  <c r="B18" i="51"/>
  <c r="B19" i="51"/>
  <c r="B20" i="51"/>
  <c r="B21" i="51"/>
  <c r="B22" i="51"/>
  <c r="B23" i="51"/>
  <c r="B24" i="51"/>
  <c r="B25" i="51"/>
  <c r="B26" i="51"/>
  <c r="B27" i="51"/>
  <c r="B28" i="51"/>
  <c r="B29" i="51"/>
  <c r="B30" i="51"/>
  <c r="B31" i="51"/>
  <c r="B32" i="51"/>
  <c r="B33" i="51"/>
  <c r="B34" i="51"/>
  <c r="B35" i="51"/>
  <c r="B36" i="51"/>
  <c r="B37" i="51"/>
  <c r="B38" i="51"/>
  <c r="B39" i="51"/>
  <c r="B40" i="51"/>
  <c r="B41" i="51"/>
  <c r="B42" i="51"/>
  <c r="B43" i="51"/>
  <c r="B44" i="51"/>
  <c r="D11" i="51"/>
  <c r="E11" i="51" s="1"/>
  <c r="E12" i="51" s="1"/>
  <c r="E13" i="51" s="1"/>
  <c r="E14" i="51" s="1"/>
  <c r="E15" i="51" s="1"/>
  <c r="E16" i="51" s="1"/>
  <c r="E17" i="51" s="1"/>
  <c r="E18" i="51" s="1"/>
  <c r="E19" i="51" s="1"/>
  <c r="E20" i="51" s="1"/>
  <c r="E21" i="51" s="1"/>
  <c r="E22" i="51" s="1"/>
  <c r="E23" i="51" s="1"/>
  <c r="E24" i="51" s="1"/>
  <c r="E25" i="51" s="1"/>
  <c r="E26" i="51" s="1"/>
  <c r="E27" i="51" s="1"/>
  <c r="E28" i="51" s="1"/>
  <c r="E29" i="51" s="1"/>
  <c r="E30" i="51" s="1"/>
  <c r="E31" i="51" s="1"/>
  <c r="E32" i="51" s="1"/>
  <c r="E33" i="51" s="1"/>
  <c r="E34" i="51" s="1"/>
  <c r="E35" i="51" s="1"/>
  <c r="E36" i="51" s="1"/>
  <c r="E37" i="51" s="1"/>
  <c r="E38" i="51" s="1"/>
  <c r="E39" i="51" s="1"/>
  <c r="E40" i="51" s="1"/>
  <c r="E41" i="51" s="1"/>
  <c r="E42" i="51" s="1"/>
  <c r="E43" i="51" s="1"/>
  <c r="E44" i="51" s="1"/>
  <c r="BD11" i="51"/>
  <c r="BV4" i="51" a="1"/>
  <c r="F4" i="51" a="1"/>
  <c r="B12" i="50"/>
  <c r="B13" i="50"/>
  <c r="B14" i="50"/>
  <c r="B15" i="50"/>
  <c r="B16" i="50"/>
  <c r="B17" i="50"/>
  <c r="B18" i="50"/>
  <c r="B19" i="50"/>
  <c r="B20" i="50"/>
  <c r="B21" i="50"/>
  <c r="B22" i="50"/>
  <c r="B23" i="50"/>
  <c r="B24" i="50"/>
  <c r="B25" i="50"/>
  <c r="B26" i="50"/>
  <c r="B27" i="50"/>
  <c r="B28" i="50"/>
  <c r="B29" i="50"/>
  <c r="B30" i="50"/>
  <c r="B31" i="50"/>
  <c r="B32" i="50"/>
  <c r="B33" i="50"/>
  <c r="B34" i="50"/>
  <c r="B35" i="50"/>
  <c r="B36" i="50"/>
  <c r="B37" i="50"/>
  <c r="B38" i="50"/>
  <c r="B39" i="50"/>
  <c r="B40" i="50"/>
  <c r="B41" i="50"/>
  <c r="B42" i="50"/>
  <c r="B43" i="50"/>
  <c r="B44" i="50"/>
  <c r="D11" i="50"/>
  <c r="E11" i="50" s="1"/>
  <c r="E12" i="50" s="1"/>
  <c r="E13" i="50" s="1"/>
  <c r="E14" i="50" s="1"/>
  <c r="E15" i="50" s="1"/>
  <c r="E16" i="50" s="1"/>
  <c r="E17" i="50" s="1"/>
  <c r="E18" i="50" s="1"/>
  <c r="E19" i="50" s="1"/>
  <c r="E20" i="50" s="1"/>
  <c r="E21" i="50" s="1"/>
  <c r="E22" i="50" s="1"/>
  <c r="E23" i="50" s="1"/>
  <c r="E24" i="50" s="1"/>
  <c r="E25" i="50" s="1"/>
  <c r="E26" i="50" s="1"/>
  <c r="E27" i="50" s="1"/>
  <c r="E28" i="50" s="1"/>
  <c r="E29" i="50" s="1"/>
  <c r="E30" i="50" s="1"/>
  <c r="E31" i="50" s="1"/>
  <c r="E32" i="50" s="1"/>
  <c r="E33" i="50" s="1"/>
  <c r="E34" i="50" s="1"/>
  <c r="E35" i="50" s="1"/>
  <c r="E36" i="50" s="1"/>
  <c r="E37" i="50" s="1"/>
  <c r="E38" i="50" s="1"/>
  <c r="E39" i="50" s="1"/>
  <c r="E40" i="50" s="1"/>
  <c r="E41" i="50" s="1"/>
  <c r="E42" i="50" s="1"/>
  <c r="E43" i="50" s="1"/>
  <c r="E44" i="50" s="1"/>
  <c r="BD11" i="50"/>
  <c r="BV4" i="50" a="1"/>
  <c r="F4" i="50" a="1"/>
  <c r="AB12" i="13"/>
  <c r="AC12" i="13"/>
  <c r="AD12" i="13"/>
  <c r="AE12" i="13"/>
  <c r="AF12" i="13"/>
  <c r="G37" i="13"/>
  <c r="G40" i="13"/>
  <c r="G43" i="13"/>
  <c r="F51" i="18"/>
  <c r="N8" i="1" s="1"/>
  <c r="F59" i="18"/>
  <c r="F60" i="18" s="1"/>
  <c r="F61" i="18" s="1"/>
  <c r="O27" i="1"/>
  <c r="F73" i="18"/>
  <c r="N28" i="1" s="1"/>
  <c r="O28" i="1" s="1"/>
  <c r="F76" i="18"/>
  <c r="F77" i="18" s="1"/>
  <c r="F80" i="18"/>
  <c r="F81" i="18" s="1"/>
  <c r="N12" i="1"/>
  <c r="W12" i="13"/>
  <c r="F32" i="41"/>
  <c r="F30" i="41" s="1"/>
  <c r="F34" i="41" s="1"/>
  <c r="M38" i="41"/>
  <c r="M39" i="41" s="1"/>
  <c r="M44" i="41" s="1"/>
  <c r="M45" i="41" s="1"/>
  <c r="O36" i="16"/>
  <c r="AJ37" i="53" s="1"/>
  <c r="O37" i="16"/>
  <c r="AJ38" i="53" s="1"/>
  <c r="O38" i="16"/>
  <c r="AJ39" i="53" s="1"/>
  <c r="O39" i="16"/>
  <c r="AJ40" i="53" s="1"/>
  <c r="O40" i="16"/>
  <c r="AJ41" i="53" s="1"/>
  <c r="O41" i="16"/>
  <c r="AJ42" i="53" s="1"/>
  <c r="O42" i="16"/>
  <c r="AJ43" i="53" s="1"/>
  <c r="O43" i="16"/>
  <c r="AJ44" i="53" s="1"/>
  <c r="O44" i="16"/>
  <c r="O45" i="16"/>
  <c r="L36" i="16"/>
  <c r="AJ37" i="52" s="1"/>
  <c r="L37" i="16"/>
  <c r="AJ38" i="52" s="1"/>
  <c r="L38" i="16"/>
  <c r="AJ39" i="52" s="1"/>
  <c r="L39" i="16"/>
  <c r="AJ40" i="52" s="1"/>
  <c r="L40" i="16"/>
  <c r="AJ41" i="52" s="1"/>
  <c r="L41" i="16"/>
  <c r="AJ42" i="52" s="1"/>
  <c r="L42" i="16"/>
  <c r="AJ43" i="52" s="1"/>
  <c r="L43" i="16"/>
  <c r="AJ44" i="52" s="1"/>
  <c r="L44" i="16"/>
  <c r="L45" i="16"/>
  <c r="I36" i="16"/>
  <c r="AJ37" i="51" s="1"/>
  <c r="I37" i="16"/>
  <c r="AJ38" i="51" s="1"/>
  <c r="I38" i="16"/>
  <c r="AJ39" i="51" s="1"/>
  <c r="I39" i="16"/>
  <c r="AJ40" i="51" s="1"/>
  <c r="I40" i="16"/>
  <c r="AJ41" i="51" s="1"/>
  <c r="I41" i="16"/>
  <c r="AJ42" i="51" s="1"/>
  <c r="I42" i="16"/>
  <c r="AJ43" i="51" s="1"/>
  <c r="I43" i="16"/>
  <c r="AJ44" i="51" s="1"/>
  <c r="I44" i="16"/>
  <c r="I45" i="16"/>
  <c r="F36" i="16"/>
  <c r="AJ37" i="50" s="1"/>
  <c r="F37" i="16"/>
  <c r="AJ38" i="50" s="1"/>
  <c r="F38" i="16"/>
  <c r="AJ39" i="50" s="1"/>
  <c r="F39" i="16"/>
  <c r="AJ40" i="50" s="1"/>
  <c r="F40" i="16"/>
  <c r="AJ41" i="50" s="1"/>
  <c r="F41" i="16"/>
  <c r="AJ42" i="50" s="1"/>
  <c r="F42" i="16"/>
  <c r="AJ43" i="50" s="1"/>
  <c r="F43" i="16"/>
  <c r="AJ44" i="50" s="1"/>
  <c r="F44" i="16"/>
  <c r="F45" i="16"/>
  <c r="Z11" i="16"/>
  <c r="AC11" i="16"/>
  <c r="AF11" i="16"/>
  <c r="AF12" i="16"/>
  <c r="AF13" i="16"/>
  <c r="AF14" i="16"/>
  <c r="AF15" i="16"/>
  <c r="AF16" i="16"/>
  <c r="AF17" i="16"/>
  <c r="AF18" i="16"/>
  <c r="AF19" i="16"/>
  <c r="AF20" i="16"/>
  <c r="AF21" i="16"/>
  <c r="AF22" i="16"/>
  <c r="AF23" i="16"/>
  <c r="AF24" i="16"/>
  <c r="AF25" i="16"/>
  <c r="AF26" i="16"/>
  <c r="AF27" i="16"/>
  <c r="AF28" i="16"/>
  <c r="AF29" i="16"/>
  <c r="AF30" i="16"/>
  <c r="AF31" i="16"/>
  <c r="AF32" i="16"/>
  <c r="AF33" i="16"/>
  <c r="AF34" i="16"/>
  <c r="AF35" i="16"/>
  <c r="AF36" i="16"/>
  <c r="AF37" i="16"/>
  <c r="AF38" i="16"/>
  <c r="AF39" i="16"/>
  <c r="AF40" i="16"/>
  <c r="AF41" i="16"/>
  <c r="AF42" i="16"/>
  <c r="AF43" i="16"/>
  <c r="AF44" i="16"/>
  <c r="AF45" i="16"/>
  <c r="AC12" i="16"/>
  <c r="AC13" i="16"/>
  <c r="AC14" i="16"/>
  <c r="AC15" i="16"/>
  <c r="AC16" i="16"/>
  <c r="AC17" i="16"/>
  <c r="AC18" i="16"/>
  <c r="AC19" i="16"/>
  <c r="AC20" i="16"/>
  <c r="AC21" i="16"/>
  <c r="AC22" i="16"/>
  <c r="AC23" i="16"/>
  <c r="AC24" i="16"/>
  <c r="AC25" i="16"/>
  <c r="AC26" i="16"/>
  <c r="AC27" i="16"/>
  <c r="AC28" i="16"/>
  <c r="AC29" i="16"/>
  <c r="AC30" i="16"/>
  <c r="AC31" i="16"/>
  <c r="AC32" i="16"/>
  <c r="AC33" i="16"/>
  <c r="AC34" i="16"/>
  <c r="AC35" i="16"/>
  <c r="AC36" i="16"/>
  <c r="AC37" i="16"/>
  <c r="AC38" i="16"/>
  <c r="AC39" i="16"/>
  <c r="AC40" i="16"/>
  <c r="AC41" i="16"/>
  <c r="AC42" i="16"/>
  <c r="AC43" i="16"/>
  <c r="AC44" i="16"/>
  <c r="AC45" i="16"/>
  <c r="Z12" i="16"/>
  <c r="Z13" i="16"/>
  <c r="Z14" i="16"/>
  <c r="Z15" i="16"/>
  <c r="Z16" i="16"/>
  <c r="Z17" i="16"/>
  <c r="Z18" i="16"/>
  <c r="Z19" i="16"/>
  <c r="Z20" i="16"/>
  <c r="Z21" i="16"/>
  <c r="Z22" i="16"/>
  <c r="Z23" i="16"/>
  <c r="Z24" i="16"/>
  <c r="Z25" i="16"/>
  <c r="Z26" i="16"/>
  <c r="Z27" i="16"/>
  <c r="Z28" i="16"/>
  <c r="Z29" i="16"/>
  <c r="Z30" i="16"/>
  <c r="Z31" i="16"/>
  <c r="Z32" i="16"/>
  <c r="Z33" i="16"/>
  <c r="Z34" i="16"/>
  <c r="Z35" i="16"/>
  <c r="Z36" i="16"/>
  <c r="Z37" i="16"/>
  <c r="Z38" i="16"/>
  <c r="Z39" i="16"/>
  <c r="Z40" i="16"/>
  <c r="Z41" i="16"/>
  <c r="Z42" i="16"/>
  <c r="Z43" i="16"/>
  <c r="Z44" i="16"/>
  <c r="Z45" i="16"/>
  <c r="W11" i="16"/>
  <c r="W12" i="16"/>
  <c r="W13" i="16"/>
  <c r="W14" i="16"/>
  <c r="W15" i="16"/>
  <c r="W16" i="16"/>
  <c r="W17" i="16"/>
  <c r="W18" i="16"/>
  <c r="W19" i="16"/>
  <c r="W20" i="16"/>
  <c r="W21" i="16"/>
  <c r="W22" i="16"/>
  <c r="W23" i="16"/>
  <c r="W24" i="16"/>
  <c r="W25" i="16"/>
  <c r="W26" i="16"/>
  <c r="W27" i="16"/>
  <c r="W28" i="16"/>
  <c r="W29" i="16"/>
  <c r="W30" i="16"/>
  <c r="W31" i="16"/>
  <c r="W32" i="16"/>
  <c r="W33" i="16"/>
  <c r="W34" i="16"/>
  <c r="W35" i="16"/>
  <c r="W36" i="16"/>
  <c r="W37" i="16"/>
  <c r="W38" i="16"/>
  <c r="W39" i="16"/>
  <c r="W40" i="16"/>
  <c r="W41" i="16"/>
  <c r="W42" i="16"/>
  <c r="W43" i="16"/>
  <c r="W44" i="16"/>
  <c r="W45" i="16"/>
  <c r="T11" i="16"/>
  <c r="T12" i="16"/>
  <c r="T13" i="16"/>
  <c r="T14" i="16"/>
  <c r="T15" i="16"/>
  <c r="T16" i="16"/>
  <c r="T17" i="16"/>
  <c r="T18" i="16"/>
  <c r="T19" i="16"/>
  <c r="T20" i="16"/>
  <c r="T21" i="16"/>
  <c r="T22" i="16"/>
  <c r="T23" i="16"/>
  <c r="T24" i="16"/>
  <c r="T25" i="16"/>
  <c r="T26" i="16"/>
  <c r="T27" i="16"/>
  <c r="T28" i="16"/>
  <c r="T29" i="16"/>
  <c r="T30" i="16"/>
  <c r="T31" i="16"/>
  <c r="T32" i="16"/>
  <c r="T33" i="16"/>
  <c r="T34" i="16"/>
  <c r="T35" i="16"/>
  <c r="T36" i="16"/>
  <c r="T37" i="16"/>
  <c r="T38" i="16"/>
  <c r="T39" i="16"/>
  <c r="T40" i="16"/>
  <c r="T41" i="16"/>
  <c r="T42" i="16"/>
  <c r="T43" i="16"/>
  <c r="T44" i="16"/>
  <c r="T45" i="16"/>
  <c r="Q11" i="16"/>
  <c r="Q12" i="16"/>
  <c r="Q13" i="16"/>
  <c r="Q14" i="16"/>
  <c r="Q15" i="16"/>
  <c r="Q16" i="16"/>
  <c r="Q17" i="16"/>
  <c r="Q18" i="16"/>
  <c r="Q19" i="16"/>
  <c r="Q20" i="16"/>
  <c r="Q21" i="16"/>
  <c r="Q22" i="16"/>
  <c r="Q23" i="16"/>
  <c r="Q24" i="16"/>
  <c r="Q25" i="16"/>
  <c r="Q26" i="16"/>
  <c r="Q27" i="16"/>
  <c r="Q28" i="16"/>
  <c r="Q29" i="16"/>
  <c r="Q30" i="16"/>
  <c r="Q31" i="16"/>
  <c r="Q32" i="16"/>
  <c r="Q33" i="16"/>
  <c r="Q34" i="16"/>
  <c r="Q35" i="16"/>
  <c r="Q36" i="16"/>
  <c r="Q37" i="16"/>
  <c r="Q38" i="16"/>
  <c r="Q39" i="16"/>
  <c r="Q40" i="16"/>
  <c r="Q41" i="16"/>
  <c r="Q42" i="16"/>
  <c r="Q43" i="16"/>
  <c r="Q44" i="16"/>
  <c r="Q45" i="16"/>
  <c r="N11" i="16"/>
  <c r="N12" i="16"/>
  <c r="N13" i="16"/>
  <c r="N14" i="16"/>
  <c r="N15" i="16"/>
  <c r="N16" i="16"/>
  <c r="N17" i="16"/>
  <c r="N18" i="16"/>
  <c r="N19" i="16"/>
  <c r="N20" i="16"/>
  <c r="N21" i="16"/>
  <c r="N22" i="16"/>
  <c r="N23" i="16"/>
  <c r="N24" i="16"/>
  <c r="N25" i="16"/>
  <c r="N26" i="16"/>
  <c r="N27" i="16"/>
  <c r="N28" i="16"/>
  <c r="N29" i="16"/>
  <c r="N30" i="16"/>
  <c r="N31" i="16"/>
  <c r="N32" i="16"/>
  <c r="N33" i="16"/>
  <c r="N34" i="16"/>
  <c r="N35" i="16"/>
  <c r="N36" i="16"/>
  <c r="N37" i="16"/>
  <c r="N38" i="16"/>
  <c r="N39" i="16"/>
  <c r="N40" i="16"/>
  <c r="N41" i="16"/>
  <c r="N42" i="16"/>
  <c r="N43" i="16"/>
  <c r="N44" i="16"/>
  <c r="N45" i="16"/>
  <c r="K11" i="16"/>
  <c r="K12" i="16"/>
  <c r="K13" i="16"/>
  <c r="K14" i="16"/>
  <c r="K15" i="16"/>
  <c r="K16" i="16"/>
  <c r="K17" i="16"/>
  <c r="K18" i="16"/>
  <c r="K19" i="16"/>
  <c r="K20" i="16"/>
  <c r="K21" i="16"/>
  <c r="K22" i="16"/>
  <c r="K23" i="16"/>
  <c r="K24" i="16"/>
  <c r="K25" i="16"/>
  <c r="K26" i="16"/>
  <c r="K27" i="16"/>
  <c r="K28" i="16"/>
  <c r="K29" i="16"/>
  <c r="K30" i="16"/>
  <c r="K31" i="16"/>
  <c r="K32" i="16"/>
  <c r="K33" i="16"/>
  <c r="K34" i="16"/>
  <c r="K35" i="16"/>
  <c r="K36" i="16"/>
  <c r="K37" i="16"/>
  <c r="K38" i="16"/>
  <c r="K39" i="16"/>
  <c r="K40" i="16"/>
  <c r="K41" i="16"/>
  <c r="K42" i="16"/>
  <c r="K43" i="16"/>
  <c r="K44" i="16"/>
  <c r="K45" i="16"/>
  <c r="H11" i="16"/>
  <c r="H12" i="16"/>
  <c r="H13" i="16"/>
  <c r="H14" i="16"/>
  <c r="H15" i="16"/>
  <c r="H16" i="16"/>
  <c r="H17" i="16"/>
  <c r="H18" i="16"/>
  <c r="H19" i="16"/>
  <c r="H20" i="16"/>
  <c r="H21" i="16"/>
  <c r="H22" i="16"/>
  <c r="H23" i="16"/>
  <c r="H24" i="16"/>
  <c r="H25" i="16"/>
  <c r="H26" i="16"/>
  <c r="H27" i="16"/>
  <c r="H28" i="16"/>
  <c r="H29" i="16"/>
  <c r="H30" i="16"/>
  <c r="H31" i="16"/>
  <c r="H32" i="16"/>
  <c r="H33" i="16"/>
  <c r="H34" i="16"/>
  <c r="H35" i="16"/>
  <c r="H36" i="16"/>
  <c r="H37" i="16"/>
  <c r="H38" i="16"/>
  <c r="H39" i="16"/>
  <c r="H40" i="16"/>
  <c r="H41" i="16"/>
  <c r="H42" i="16"/>
  <c r="H43" i="16"/>
  <c r="H44" i="16"/>
  <c r="H45" i="16"/>
  <c r="E11" i="16"/>
  <c r="E12" i="16"/>
  <c r="E13" i="16"/>
  <c r="E14" i="16"/>
  <c r="E15" i="16"/>
  <c r="E16" i="16"/>
  <c r="E17" i="16"/>
  <c r="E18" i="16"/>
  <c r="E19" i="16"/>
  <c r="E20" i="16"/>
  <c r="E21" i="16"/>
  <c r="E22" i="16"/>
  <c r="E23" i="16"/>
  <c r="E24" i="16"/>
  <c r="E25" i="16"/>
  <c r="E26" i="16"/>
  <c r="E27" i="16"/>
  <c r="E28" i="16"/>
  <c r="E29" i="16"/>
  <c r="E30" i="16"/>
  <c r="E31" i="16"/>
  <c r="E32" i="16"/>
  <c r="E33" i="16"/>
  <c r="E34" i="16"/>
  <c r="E35" i="16"/>
  <c r="E36" i="16"/>
  <c r="E37" i="16"/>
  <c r="E38" i="16"/>
  <c r="E39" i="16"/>
  <c r="E40" i="16"/>
  <c r="E41" i="16"/>
  <c r="E42" i="16"/>
  <c r="E43" i="16"/>
  <c r="E44" i="16"/>
  <c r="E45" i="16"/>
  <c r="C14" i="41"/>
  <c r="C13" i="41"/>
  <c r="D69" i="18"/>
  <c r="F27" i="41"/>
  <c r="G41" i="48"/>
  <c r="G40" i="48"/>
  <c r="G38" i="48"/>
  <c r="M43" i="48"/>
  <c r="G26" i="48"/>
  <c r="M41" i="48"/>
  <c r="M40" i="48"/>
  <c r="M39" i="48"/>
  <c r="O34" i="48"/>
  <c r="O33" i="48"/>
  <c r="O32" i="48"/>
  <c r="O30" i="48"/>
  <c r="E68" i="18"/>
  <c r="E69" i="18" s="1"/>
  <c r="F17" i="48"/>
  <c r="J14" i="48"/>
  <c r="G11" i="48"/>
  <c r="G10" i="48"/>
  <c r="F11" i="48" s="1"/>
  <c r="G9" i="48"/>
  <c r="G69" i="18"/>
  <c r="G41" i="46"/>
  <c r="G36" i="46"/>
  <c r="G43" i="46"/>
  <c r="M40" i="46"/>
  <c r="M41" i="46"/>
  <c r="M39" i="46"/>
  <c r="G38" i="46"/>
  <c r="O30" i="46"/>
  <c r="O32" i="46"/>
  <c r="O33" i="46"/>
  <c r="O34" i="46"/>
  <c r="N27" i="46"/>
  <c r="F17" i="46"/>
  <c r="J14" i="46"/>
  <c r="G11" i="46"/>
  <c r="G10" i="46"/>
  <c r="F11" i="46" s="1"/>
  <c r="G9" i="46"/>
  <c r="M41" i="45"/>
  <c r="C18" i="45"/>
  <c r="C19" i="45"/>
  <c r="C13" i="45"/>
  <c r="M39" i="45"/>
  <c r="M43" i="45"/>
  <c r="G37" i="45" s="1"/>
  <c r="G39" i="45" s="1"/>
  <c r="G40" i="45" s="1"/>
  <c r="G28" i="45"/>
  <c r="M40" i="45"/>
  <c r="O30" i="45"/>
  <c r="O32" i="45"/>
  <c r="O33" i="45"/>
  <c r="O34" i="45"/>
  <c r="H69" i="18"/>
  <c r="N27" i="45" s="1"/>
  <c r="F17" i="45"/>
  <c r="J14" i="45"/>
  <c r="G11" i="45"/>
  <c r="G10" i="45"/>
  <c r="F11" i="45" s="1"/>
  <c r="G9" i="45"/>
  <c r="G37" i="32"/>
  <c r="G36" i="1"/>
  <c r="G37" i="1" s="1"/>
  <c r="G38" i="1" s="1"/>
  <c r="G39" i="1" s="1"/>
  <c r="O16" i="1" s="1"/>
  <c r="Z12" i="13" s="1"/>
  <c r="Z13" i="13" s="1"/>
  <c r="G28" i="1"/>
  <c r="C46" i="1" s="1"/>
  <c r="C47" i="1" s="1"/>
  <c r="C48" i="1" s="1"/>
  <c r="J14" i="32"/>
  <c r="H14" i="18"/>
  <c r="G33" i="32"/>
  <c r="F3" i="42"/>
  <c r="F4" i="42"/>
  <c r="F5" i="42"/>
  <c r="F6" i="42"/>
  <c r="F7" i="42"/>
  <c r="F8" i="42"/>
  <c r="C85" i="18"/>
  <c r="G33" i="1"/>
  <c r="G85" i="18"/>
  <c r="J21" i="41"/>
  <c r="F69" i="18"/>
  <c r="N27" i="1"/>
  <c r="C76" i="18"/>
  <c r="C77" i="18" s="1"/>
  <c r="C80" i="18"/>
  <c r="C81" i="18" s="1"/>
  <c r="C68" i="18"/>
  <c r="C69" i="18"/>
  <c r="C72" i="18"/>
  <c r="C73" i="18" s="1"/>
  <c r="O34" i="41"/>
  <c r="O33" i="41"/>
  <c r="O32" i="41"/>
  <c r="O30" i="41"/>
  <c r="F17" i="41"/>
  <c r="O13" i="41"/>
  <c r="G11" i="41"/>
  <c r="G10" i="41"/>
  <c r="F11" i="41" s="1"/>
  <c r="G9" i="41"/>
  <c r="F5" i="18"/>
  <c r="H13" i="37"/>
  <c r="H14" i="37"/>
  <c r="H15" i="37"/>
  <c r="H16" i="37"/>
  <c r="H17" i="37"/>
  <c r="H18" i="37"/>
  <c r="H19" i="37"/>
  <c r="H20" i="37"/>
  <c r="H21" i="37"/>
  <c r="H22" i="37"/>
  <c r="H23" i="37"/>
  <c r="H24" i="37"/>
  <c r="H12" i="37"/>
  <c r="H4" i="37"/>
  <c r="H5" i="37"/>
  <c r="H6" i="37"/>
  <c r="H3" i="37"/>
  <c r="D12" i="37"/>
  <c r="D13" i="37"/>
  <c r="D14" i="37"/>
  <c r="D15" i="37"/>
  <c r="D16" i="37"/>
  <c r="D17" i="37"/>
  <c r="D18" i="37"/>
  <c r="D19" i="37"/>
  <c r="D20" i="37"/>
  <c r="D21" i="37"/>
  <c r="D22" i="37"/>
  <c r="D23" i="37"/>
  <c r="D24" i="37"/>
  <c r="D11" i="37"/>
  <c r="D4" i="37"/>
  <c r="D5" i="37"/>
  <c r="D6" i="37"/>
  <c r="D7" i="37"/>
  <c r="D3" i="37"/>
  <c r="C25" i="38"/>
  <c r="D25" i="38"/>
  <c r="C23" i="38"/>
  <c r="D23" i="38"/>
  <c r="C14" i="38"/>
  <c r="D14" i="38"/>
  <c r="C9" i="38"/>
  <c r="D9" i="38"/>
  <c r="C8" i="38"/>
  <c r="D8" i="38"/>
  <c r="C6" i="38"/>
  <c r="D6" i="38"/>
  <c r="C5" i="38"/>
  <c r="D5" i="38"/>
  <c r="G4" i="38"/>
  <c r="G5" i="38"/>
  <c r="G6" i="38"/>
  <c r="G3" i="38"/>
  <c r="D4" i="38"/>
  <c r="D7" i="38"/>
  <c r="D10" i="38"/>
  <c r="D11" i="38"/>
  <c r="D12" i="38"/>
  <c r="D13" i="38"/>
  <c r="D15" i="38"/>
  <c r="D16" i="38"/>
  <c r="D17" i="38"/>
  <c r="D18" i="38"/>
  <c r="D19" i="38"/>
  <c r="D20" i="38"/>
  <c r="D21" i="38"/>
  <c r="D22" i="38"/>
  <c r="D24" i="38"/>
  <c r="D3" i="38"/>
  <c r="K27" i="18"/>
  <c r="O34" i="32"/>
  <c r="O33" i="32"/>
  <c r="O32" i="32"/>
  <c r="O30" i="32"/>
  <c r="F17" i="32"/>
  <c r="G11" i="32"/>
  <c r="G10" i="32"/>
  <c r="F11" i="32" s="1"/>
  <c r="G9" i="32"/>
  <c r="D30" i="18"/>
  <c r="C59" i="18"/>
  <c r="C60" i="18" s="1"/>
  <c r="C61" i="18" s="1"/>
  <c r="C50" i="18"/>
  <c r="C51" i="18" s="1"/>
  <c r="E5" i="18"/>
  <c r="D6" i="18"/>
  <c r="D45" i="18"/>
  <c r="D5" i="18"/>
  <c r="D43" i="18"/>
  <c r="D32" i="18"/>
  <c r="D7" i="18"/>
  <c r="F47" i="18"/>
  <c r="F44" i="18"/>
  <c r="F45" i="18"/>
  <c r="F43" i="18"/>
  <c r="F7" i="18"/>
  <c r="H7" i="18"/>
  <c r="H33" i="18"/>
  <c r="H45" i="18"/>
  <c r="H43" i="18"/>
  <c r="H6" i="18"/>
  <c r="H34" i="18"/>
  <c r="C43" i="18"/>
  <c r="C45" i="18"/>
  <c r="G45" i="18"/>
  <c r="G43" i="18"/>
  <c r="H21" i="18"/>
  <c r="G22" i="18"/>
  <c r="H17" i="18"/>
  <c r="H5" i="18"/>
  <c r="G8" i="18"/>
  <c r="G6" i="18"/>
  <c r="G5" i="18"/>
  <c r="G33" i="18"/>
  <c r="G32" i="18"/>
  <c r="G44" i="18"/>
  <c r="G16" i="18"/>
  <c r="G7" i="18"/>
  <c r="AE8" i="13"/>
  <c r="AF8" i="13"/>
  <c r="AD8" i="13"/>
  <c r="AC8" i="13"/>
  <c r="AB8" i="13"/>
  <c r="AA8" i="13"/>
  <c r="Z8" i="13"/>
  <c r="Y8" i="13"/>
  <c r="X8" i="13"/>
  <c r="W8" i="13"/>
  <c r="V8" i="13"/>
  <c r="U8" i="13"/>
  <c r="T8" i="13"/>
  <c r="S8" i="13"/>
  <c r="R8" i="13"/>
  <c r="Q8" i="13"/>
  <c r="J13" i="13"/>
  <c r="J14" i="13"/>
  <c r="J15" i="13"/>
  <c r="J16" i="13"/>
  <c r="J17" i="13"/>
  <c r="J18" i="13"/>
  <c r="J19" i="13"/>
  <c r="J20" i="13"/>
  <c r="J21" i="13"/>
  <c r="J22" i="13"/>
  <c r="J23" i="13"/>
  <c r="J24" i="13"/>
  <c r="J25" i="13"/>
  <c r="J26" i="13"/>
  <c r="J27" i="13"/>
  <c r="J28" i="13"/>
  <c r="J29" i="13"/>
  <c r="J30" i="13"/>
  <c r="J31" i="13"/>
  <c r="J32" i="13"/>
  <c r="J33" i="13"/>
  <c r="J34" i="13"/>
  <c r="J35" i="13"/>
  <c r="J36" i="13"/>
  <c r="J37" i="13"/>
  <c r="J38" i="13"/>
  <c r="J39" i="13"/>
  <c r="J40" i="13"/>
  <c r="J41" i="13"/>
  <c r="J42" i="13"/>
  <c r="J43" i="13"/>
  <c r="J44" i="13"/>
  <c r="J12" i="13"/>
  <c r="D11" i="13"/>
  <c r="C11" i="13" s="1"/>
  <c r="O30" i="1"/>
  <c r="O32" i="1"/>
  <c r="O33" i="1"/>
  <c r="O34" i="1"/>
  <c r="G11" i="1"/>
  <c r="G10" i="1"/>
  <c r="F11" i="1" s="1"/>
  <c r="G9" i="1"/>
  <c r="K43" i="15"/>
  <c r="K44" i="15"/>
  <c r="B11" i="16"/>
  <c r="D44" i="15"/>
  <c r="D43" i="15"/>
  <c r="D42" i="15"/>
  <c r="D41" i="15"/>
  <c r="D40" i="15"/>
  <c r="D39" i="15"/>
  <c r="D38" i="15"/>
  <c r="D37" i="15"/>
  <c r="D36" i="15"/>
  <c r="D35" i="15"/>
  <c r="D34" i="15"/>
  <c r="D33" i="15"/>
  <c r="D32" i="15"/>
  <c r="D31" i="15"/>
  <c r="D30" i="15"/>
  <c r="D29" i="15"/>
  <c r="D28" i="15"/>
  <c r="D27" i="15"/>
  <c r="D26" i="15"/>
  <c r="D25" i="15"/>
  <c r="D24" i="15"/>
  <c r="D23" i="15"/>
  <c r="D22" i="15"/>
  <c r="D21" i="15"/>
  <c r="D20" i="15"/>
  <c r="D19" i="15"/>
  <c r="D18" i="15"/>
  <c r="D17" i="15"/>
  <c r="D16" i="15"/>
  <c r="D15" i="15"/>
  <c r="D14" i="15"/>
  <c r="D13" i="15"/>
  <c r="D12" i="15"/>
  <c r="D11" i="15"/>
  <c r="D10" i="15"/>
  <c r="Q9" i="15"/>
  <c r="D9" i="15"/>
  <c r="B12" i="13"/>
  <c r="BD11" i="13"/>
  <c r="AV12" i="13"/>
  <c r="AW12" i="13" s="1"/>
  <c r="AZ12" i="13"/>
  <c r="AY12" i="13"/>
  <c r="B13" i="13"/>
  <c r="F17" i="1"/>
  <c r="B12" i="16"/>
  <c r="B14" i="13"/>
  <c r="AY14" i="13"/>
  <c r="AZ13" i="13"/>
  <c r="AY13" i="13"/>
  <c r="AV13" i="13"/>
  <c r="AW13" i="13" s="1"/>
  <c r="B13" i="16"/>
  <c r="B15" i="13"/>
  <c r="AV14" i="13"/>
  <c r="AW14" i="13" s="1"/>
  <c r="AZ14" i="13"/>
  <c r="AZ15" i="13"/>
  <c r="AV15" i="13"/>
  <c r="AW15" i="13" s="1"/>
  <c r="AY15" i="13"/>
  <c r="H13" i="13"/>
  <c r="B14" i="16"/>
  <c r="B16" i="13"/>
  <c r="AZ16" i="13"/>
  <c r="AY16" i="13"/>
  <c r="AV16" i="13"/>
  <c r="AW16" i="13" s="1"/>
  <c r="B15" i="16"/>
  <c r="B17" i="13"/>
  <c r="AZ17" i="13"/>
  <c r="AY17" i="13"/>
  <c r="AV17" i="13"/>
  <c r="AW17" i="13" s="1"/>
  <c r="B16" i="16"/>
  <c r="B18" i="13"/>
  <c r="AZ18" i="13"/>
  <c r="AY18" i="13"/>
  <c r="AV18" i="13"/>
  <c r="AW18" i="13" s="1"/>
  <c r="B17" i="16"/>
  <c r="B19" i="13"/>
  <c r="AZ19" i="13"/>
  <c r="AV19" i="13"/>
  <c r="AW19" i="13" s="1"/>
  <c r="AY19" i="13"/>
  <c r="B18" i="16"/>
  <c r="B20" i="13"/>
  <c r="AZ20" i="13"/>
  <c r="AY20" i="13"/>
  <c r="AV20" i="13"/>
  <c r="AW20" i="13" s="1"/>
  <c r="B19" i="16"/>
  <c r="B21" i="13"/>
  <c r="AZ21" i="13"/>
  <c r="AY21" i="13"/>
  <c r="AV21" i="13"/>
  <c r="AW21" i="13" s="1"/>
  <c r="B20" i="16"/>
  <c r="B22" i="13"/>
  <c r="AY22" i="13"/>
  <c r="AV22" i="13"/>
  <c r="AW22" i="13" s="1"/>
  <c r="AZ22" i="13"/>
  <c r="B21" i="16"/>
  <c r="B23" i="13"/>
  <c r="AZ23" i="13"/>
  <c r="AV23" i="13"/>
  <c r="AW23" i="13" s="1"/>
  <c r="AY23" i="13"/>
  <c r="B22" i="16"/>
  <c r="B24" i="13"/>
  <c r="AZ24" i="13"/>
  <c r="AY24" i="13"/>
  <c r="AV24" i="13"/>
  <c r="AW24" i="13" s="1"/>
  <c r="B23" i="16"/>
  <c r="B25" i="13"/>
  <c r="AZ25" i="13"/>
  <c r="AY25" i="13"/>
  <c r="AV25" i="13"/>
  <c r="AW25" i="13" s="1"/>
  <c r="B24" i="16"/>
  <c r="B26" i="13"/>
  <c r="AZ26" i="13"/>
  <c r="AY26" i="13"/>
  <c r="AV26" i="13"/>
  <c r="AW26" i="13" s="1"/>
  <c r="B25" i="16"/>
  <c r="B27" i="13"/>
  <c r="AZ27" i="13"/>
  <c r="AV27" i="13"/>
  <c r="AW27" i="13" s="1"/>
  <c r="AY27" i="13"/>
  <c r="B26" i="16"/>
  <c r="B28" i="13"/>
  <c r="AZ28" i="13"/>
  <c r="AY28" i="13"/>
  <c r="AV28" i="13"/>
  <c r="AW28" i="13" s="1"/>
  <c r="B27" i="16"/>
  <c r="B29" i="13"/>
  <c r="AZ29" i="13"/>
  <c r="AY29" i="13"/>
  <c r="AV29" i="13"/>
  <c r="AW29" i="13" s="1"/>
  <c r="B28" i="16"/>
  <c r="B30" i="13"/>
  <c r="AV30" i="13"/>
  <c r="AW30" i="13" s="1"/>
  <c r="AZ30" i="13"/>
  <c r="AY30" i="13"/>
  <c r="B29" i="16"/>
  <c r="B31" i="13"/>
  <c r="AZ31" i="13"/>
  <c r="AV31" i="13"/>
  <c r="AW31" i="13" s="1"/>
  <c r="AY31" i="13"/>
  <c r="B30" i="16"/>
  <c r="B32" i="13"/>
  <c r="AZ32" i="13"/>
  <c r="AY32" i="13"/>
  <c r="AV32" i="13"/>
  <c r="AW32" i="13" s="1"/>
  <c r="B31" i="16"/>
  <c r="B33" i="13"/>
  <c r="AZ33" i="13"/>
  <c r="AY33" i="13"/>
  <c r="AV33" i="13"/>
  <c r="AW33" i="13" s="1"/>
  <c r="B32" i="16"/>
  <c r="B34" i="13"/>
  <c r="AZ34" i="13"/>
  <c r="AY34" i="13"/>
  <c r="AV34" i="13"/>
  <c r="AW34" i="13" s="1"/>
  <c r="B33" i="16"/>
  <c r="B35" i="13"/>
  <c r="AZ35" i="13"/>
  <c r="AV35" i="13"/>
  <c r="AW35" i="13" s="1"/>
  <c r="AY35" i="13"/>
  <c r="B34" i="16"/>
  <c r="B36" i="13"/>
  <c r="AZ36" i="13"/>
  <c r="AY36" i="13"/>
  <c r="AV36" i="13"/>
  <c r="AW36" i="13" s="1"/>
  <c r="B35" i="16"/>
  <c r="B37" i="13"/>
  <c r="AZ37" i="13"/>
  <c r="AY37" i="13"/>
  <c r="AV37" i="13"/>
  <c r="AW37" i="13" s="1"/>
  <c r="B36" i="16"/>
  <c r="B38" i="13"/>
  <c r="AV38" i="13"/>
  <c r="AW38" i="13" s="1"/>
  <c r="AZ38" i="13"/>
  <c r="AY38" i="13"/>
  <c r="B37" i="16"/>
  <c r="B39" i="13"/>
  <c r="AZ39" i="13"/>
  <c r="AV39" i="13"/>
  <c r="AW39" i="13" s="1"/>
  <c r="AY39" i="13"/>
  <c r="B38" i="16"/>
  <c r="B40" i="13"/>
  <c r="AZ40" i="13"/>
  <c r="AY40" i="13"/>
  <c r="AV40" i="13"/>
  <c r="AW40" i="13" s="1"/>
  <c r="B39" i="16"/>
  <c r="B41" i="13"/>
  <c r="AZ41" i="13"/>
  <c r="AY41" i="13"/>
  <c r="AV41" i="13"/>
  <c r="AW41" i="13" s="1"/>
  <c r="G41" i="13"/>
  <c r="B40" i="16"/>
  <c r="B42" i="13"/>
  <c r="AZ42" i="13"/>
  <c r="AY42" i="13"/>
  <c r="AV42" i="13"/>
  <c r="AW42" i="13" s="1"/>
  <c r="B41" i="16"/>
  <c r="B43" i="13"/>
  <c r="AZ43" i="13"/>
  <c r="AV43" i="13"/>
  <c r="AW43" i="13" s="1"/>
  <c r="AY43" i="13"/>
  <c r="B42" i="16"/>
  <c r="B44" i="13"/>
  <c r="AV44" i="13"/>
  <c r="AW44" i="13" s="1"/>
  <c r="AZ44" i="13"/>
  <c r="AY44" i="13"/>
  <c r="B43" i="16"/>
  <c r="B44" i="16"/>
  <c r="C44" i="16"/>
  <c r="F4" i="13" a="1"/>
  <c r="B45" i="16"/>
  <c r="C45" i="16"/>
  <c r="BV4" i="13" a="1"/>
  <c r="G36" i="48"/>
  <c r="G29" i="32" l="1"/>
  <c r="O17" i="32" s="1"/>
  <c r="AA12" i="52" s="1"/>
  <c r="AA13" i="52" s="1"/>
  <c r="AA14" i="52" s="1"/>
  <c r="AA15" i="52" s="1"/>
  <c r="AA16" i="52" s="1"/>
  <c r="AA17" i="52" s="1"/>
  <c r="AA18" i="52" s="1"/>
  <c r="AA19" i="52" s="1"/>
  <c r="AA20" i="52" s="1"/>
  <c r="AA21" i="52" s="1"/>
  <c r="AA22" i="52" s="1"/>
  <c r="AA23" i="52" s="1"/>
  <c r="AA24" i="52" s="1"/>
  <c r="AA25" i="52" s="1"/>
  <c r="AA26" i="52" s="1"/>
  <c r="AA27" i="52" s="1"/>
  <c r="AA28" i="52" s="1"/>
  <c r="AA29" i="52" s="1"/>
  <c r="AA30" i="52" s="1"/>
  <c r="AA31" i="52" s="1"/>
  <c r="AA32" i="52" s="1"/>
  <c r="AA33" i="52" s="1"/>
  <c r="AA34" i="52" s="1"/>
  <c r="AA35" i="52" s="1"/>
  <c r="AA36" i="52" s="1"/>
  <c r="AA37" i="52" s="1"/>
  <c r="AA38" i="52" s="1"/>
  <c r="AA39" i="52" s="1"/>
  <c r="AA40" i="52" s="1"/>
  <c r="AA41" i="52" s="1"/>
  <c r="AA42" i="52" s="1"/>
  <c r="AA43" i="52" s="1"/>
  <c r="AA44" i="52" s="1"/>
  <c r="C46" i="32"/>
  <c r="C47" i="32" s="1"/>
  <c r="C48" i="32" s="1"/>
  <c r="G29" i="46"/>
  <c r="O17" i="46" s="1"/>
  <c r="AA12" i="51" s="1"/>
  <c r="AA13" i="51" s="1"/>
  <c r="AA14" i="51" s="1"/>
  <c r="AA15" i="51" s="1"/>
  <c r="AA16" i="51" s="1"/>
  <c r="AA17" i="51" s="1"/>
  <c r="AA18" i="51" s="1"/>
  <c r="AA19" i="51" s="1"/>
  <c r="AA20" i="51" s="1"/>
  <c r="AA21" i="51" s="1"/>
  <c r="AA22" i="51" s="1"/>
  <c r="AA23" i="51" s="1"/>
  <c r="AA24" i="51" s="1"/>
  <c r="AA25" i="51" s="1"/>
  <c r="AA26" i="51" s="1"/>
  <c r="AA27" i="51" s="1"/>
  <c r="AA28" i="51" s="1"/>
  <c r="AA29" i="51" s="1"/>
  <c r="AA30" i="51" s="1"/>
  <c r="AA31" i="51" s="1"/>
  <c r="AA32" i="51" s="1"/>
  <c r="AA33" i="51" s="1"/>
  <c r="AA34" i="51" s="1"/>
  <c r="AA35" i="51" s="1"/>
  <c r="AA36" i="51" s="1"/>
  <c r="AA37" i="51" s="1"/>
  <c r="AA38" i="51" s="1"/>
  <c r="AA39" i="51" s="1"/>
  <c r="AA40" i="51" s="1"/>
  <c r="AA41" i="51" s="1"/>
  <c r="AA42" i="51" s="1"/>
  <c r="AA43" i="51" s="1"/>
  <c r="AA44" i="51" s="1"/>
  <c r="C46" i="46"/>
  <c r="C47" i="46" s="1"/>
  <c r="C48" i="46" s="1"/>
  <c r="G29" i="45"/>
  <c r="O17" i="45" s="1"/>
  <c r="AA12" i="50" s="1"/>
  <c r="AA13" i="50" s="1"/>
  <c r="AA14" i="50" s="1"/>
  <c r="AA15" i="50" s="1"/>
  <c r="AA16" i="50" s="1"/>
  <c r="AA17" i="50" s="1"/>
  <c r="AA18" i="50" s="1"/>
  <c r="AA19" i="50" s="1"/>
  <c r="AA20" i="50" s="1"/>
  <c r="AA21" i="50" s="1"/>
  <c r="AA22" i="50" s="1"/>
  <c r="AA23" i="50" s="1"/>
  <c r="AA24" i="50" s="1"/>
  <c r="AA25" i="50" s="1"/>
  <c r="AA26" i="50" s="1"/>
  <c r="AA27" i="50" s="1"/>
  <c r="AA28" i="50" s="1"/>
  <c r="AA29" i="50" s="1"/>
  <c r="AA30" i="50" s="1"/>
  <c r="AA31" i="50" s="1"/>
  <c r="AA32" i="50" s="1"/>
  <c r="AA33" i="50" s="1"/>
  <c r="AA34" i="50" s="1"/>
  <c r="AA35" i="50" s="1"/>
  <c r="AA36" i="50" s="1"/>
  <c r="AA37" i="50" s="1"/>
  <c r="AA38" i="50" s="1"/>
  <c r="AA39" i="50" s="1"/>
  <c r="AA40" i="50" s="1"/>
  <c r="AA41" i="50" s="1"/>
  <c r="AA42" i="50" s="1"/>
  <c r="AA43" i="50" s="1"/>
  <c r="AA44" i="50" s="1"/>
  <c r="C46" i="45"/>
  <c r="C47" i="45" s="1"/>
  <c r="C48" i="45" s="1"/>
  <c r="AB34" i="48"/>
  <c r="AA34" i="48"/>
  <c r="Z34" i="48"/>
  <c r="L12" i="53"/>
  <c r="L13" i="53" s="1"/>
  <c r="L14" i="53" s="1"/>
  <c r="L15" i="53" s="1"/>
  <c r="L16" i="53" s="1"/>
  <c r="L17" i="53" s="1"/>
  <c r="L18" i="53" s="1"/>
  <c r="L19" i="53" s="1"/>
  <c r="L20" i="53" s="1"/>
  <c r="L21" i="53" s="1"/>
  <c r="L22" i="53" s="1"/>
  <c r="L23" i="53" s="1"/>
  <c r="L24" i="53" s="1"/>
  <c r="L25" i="53" s="1"/>
  <c r="L26" i="53" s="1"/>
  <c r="L27" i="53" s="1"/>
  <c r="L28" i="53" s="1"/>
  <c r="L29" i="53" s="1"/>
  <c r="L30" i="53" s="1"/>
  <c r="L31" i="53" s="1"/>
  <c r="L32" i="53" s="1"/>
  <c r="L33" i="53" s="1"/>
  <c r="L34" i="53" s="1"/>
  <c r="L35" i="53" s="1"/>
  <c r="L36" i="53" s="1"/>
  <c r="L37" i="53" s="1"/>
  <c r="L38" i="53" s="1"/>
  <c r="L39" i="53" s="1"/>
  <c r="L40" i="53" s="1"/>
  <c r="L41" i="53" s="1"/>
  <c r="L42" i="53" s="1"/>
  <c r="L43" i="53" s="1"/>
  <c r="L44" i="53" s="1"/>
  <c r="AE34" i="48"/>
  <c r="AD34" i="48"/>
  <c r="AC34" i="48"/>
  <c r="Y34" i="48"/>
  <c r="AD9" i="16"/>
  <c r="N28" i="48"/>
  <c r="O28" i="48" s="1"/>
  <c r="G9" i="18"/>
  <c r="N31" i="46"/>
  <c r="O31" i="46" s="1"/>
  <c r="N29" i="1"/>
  <c r="O29" i="1" s="1"/>
  <c r="N27" i="48"/>
  <c r="N29" i="48"/>
  <c r="O29" i="48" s="1"/>
  <c r="G28" i="48"/>
  <c r="N29" i="46"/>
  <c r="O29" i="46" s="1"/>
  <c r="O7" i="32"/>
  <c r="Q12" i="52" s="1"/>
  <c r="Q13" i="52" s="1"/>
  <c r="AD14" i="1"/>
  <c r="Y14" i="1"/>
  <c r="AE14" i="1"/>
  <c r="G16" i="1"/>
  <c r="Z14" i="1"/>
  <c r="AB14" i="1"/>
  <c r="AC14" i="1"/>
  <c r="AA14" i="1"/>
  <c r="N31" i="1"/>
  <c r="O31" i="1" s="1"/>
  <c r="N31" i="41"/>
  <c r="O31" i="41" s="1"/>
  <c r="N31" i="48"/>
  <c r="O31" i="48" s="1"/>
  <c r="N28" i="46"/>
  <c r="O28" i="46" s="1"/>
  <c r="AA14" i="46"/>
  <c r="O9" i="46"/>
  <c r="S12" i="51" s="1"/>
  <c r="Z14" i="46"/>
  <c r="AB14" i="46"/>
  <c r="Y14" i="46"/>
  <c r="AE14" i="46"/>
  <c r="AD14" i="46"/>
  <c r="AC14" i="46"/>
  <c r="O8" i="1"/>
  <c r="R12" i="13" s="1"/>
  <c r="R13" i="13" s="1"/>
  <c r="O7" i="62"/>
  <c r="N7" i="62"/>
  <c r="M7" i="62"/>
  <c r="O12" i="46"/>
  <c r="V12" i="51" s="1"/>
  <c r="V13" i="51" s="1"/>
  <c r="V14" i="51" s="1"/>
  <c r="V15" i="51" s="1"/>
  <c r="V16" i="51" s="1"/>
  <c r="V17" i="51" s="1"/>
  <c r="V18" i="51" s="1"/>
  <c r="V19" i="51" s="1"/>
  <c r="V20" i="51" s="1"/>
  <c r="V21" i="51" s="1"/>
  <c r="V22" i="51" s="1"/>
  <c r="V23" i="51" s="1"/>
  <c r="V24" i="51" s="1"/>
  <c r="V25" i="51" s="1"/>
  <c r="V26" i="51" s="1"/>
  <c r="V27" i="51" s="1"/>
  <c r="V28" i="51" s="1"/>
  <c r="V29" i="51" s="1"/>
  <c r="V30" i="51" s="1"/>
  <c r="V31" i="51" s="1"/>
  <c r="V32" i="51" s="1"/>
  <c r="V33" i="51" s="1"/>
  <c r="V34" i="51" s="1"/>
  <c r="V35" i="51" s="1"/>
  <c r="V36" i="51" s="1"/>
  <c r="V37" i="51" s="1"/>
  <c r="V38" i="51" s="1"/>
  <c r="V39" i="51" s="1"/>
  <c r="V40" i="51" s="1"/>
  <c r="V41" i="51" s="1"/>
  <c r="V42" i="51" s="1"/>
  <c r="V43" i="51" s="1"/>
  <c r="V44" i="51" s="1"/>
  <c r="O7" i="46"/>
  <c r="Q12" i="51" s="1"/>
  <c r="Q13" i="51" s="1"/>
  <c r="Q14" i="51" s="1"/>
  <c r="Q15" i="51" s="1"/>
  <c r="N29" i="41"/>
  <c r="O29" i="41" s="1"/>
  <c r="O35" i="41" s="1"/>
  <c r="AD14" i="41"/>
  <c r="N27" i="41"/>
  <c r="O12" i="1"/>
  <c r="V12" i="13" s="1"/>
  <c r="V13" i="13" s="1"/>
  <c r="V14" i="13" s="1"/>
  <c r="V15" i="13" s="1"/>
  <c r="V16" i="13" s="1"/>
  <c r="V17" i="13" s="1"/>
  <c r="V18" i="13" s="1"/>
  <c r="V19" i="13" s="1"/>
  <c r="V20" i="13" s="1"/>
  <c r="V21" i="13" s="1"/>
  <c r="V22" i="13" s="1"/>
  <c r="V23" i="13" s="1"/>
  <c r="V24" i="13" s="1"/>
  <c r="V25" i="13" s="1"/>
  <c r="V26" i="13" s="1"/>
  <c r="V27" i="13" s="1"/>
  <c r="V28" i="13" s="1"/>
  <c r="V29" i="13" s="1"/>
  <c r="V30" i="13" s="1"/>
  <c r="V31" i="13" s="1"/>
  <c r="V32" i="13" s="1"/>
  <c r="V33" i="13" s="1"/>
  <c r="V34" i="13" s="1"/>
  <c r="V35" i="13" s="1"/>
  <c r="V36" i="13" s="1"/>
  <c r="V37" i="13" s="1"/>
  <c r="V38" i="13" s="1"/>
  <c r="V39" i="13" s="1"/>
  <c r="V40" i="13" s="1"/>
  <c r="V41" i="13" s="1"/>
  <c r="V42" i="13" s="1"/>
  <c r="V43" i="13" s="1"/>
  <c r="V44" i="13" s="1"/>
  <c r="N28" i="41"/>
  <c r="O28" i="41" s="1"/>
  <c r="O14" i="70"/>
  <c r="M15" i="70" s="1"/>
  <c r="M16" i="70" s="1"/>
  <c r="AG9" i="16"/>
  <c r="DH10" i="15"/>
  <c r="DJ10" i="15" s="1"/>
  <c r="AK12" i="65" s="1"/>
  <c r="W5" i="62"/>
  <c r="W7" i="62"/>
  <c r="W6" i="62"/>
  <c r="W8" i="62"/>
  <c r="W9" i="62"/>
  <c r="M44" i="32"/>
  <c r="M45" i="32" s="1"/>
  <c r="X11" i="60"/>
  <c r="X12" i="60" s="1"/>
  <c r="O15" i="68"/>
  <c r="CV12" i="15"/>
  <c r="CV13" i="15" s="1"/>
  <c r="CV14" i="15" s="1"/>
  <c r="CV15" i="15" s="1"/>
  <c r="CV16" i="15" s="1"/>
  <c r="CV17" i="15" s="1"/>
  <c r="CV18" i="15" s="1"/>
  <c r="CV19" i="15" s="1"/>
  <c r="CV20" i="15" s="1"/>
  <c r="CV21" i="15" s="1"/>
  <c r="CV22" i="15" s="1"/>
  <c r="CV23" i="15" s="1"/>
  <c r="CV24" i="15" s="1"/>
  <c r="CV25" i="15" s="1"/>
  <c r="CV26" i="15" s="1"/>
  <c r="CV27" i="15" s="1"/>
  <c r="CV28" i="15" s="1"/>
  <c r="CV29" i="15" s="1"/>
  <c r="CV30" i="15" s="1"/>
  <c r="CV31" i="15" s="1"/>
  <c r="CV32" i="15" s="1"/>
  <c r="CV33" i="15" s="1"/>
  <c r="CV34" i="15" s="1"/>
  <c r="CV35" i="15" s="1"/>
  <c r="CV36" i="15" s="1"/>
  <c r="CV37" i="15" s="1"/>
  <c r="CV38" i="15" s="1"/>
  <c r="CV39" i="15" s="1"/>
  <c r="CV40" i="15" s="1"/>
  <c r="CV41" i="15" s="1"/>
  <c r="CV42" i="15" s="1"/>
  <c r="CV43" i="15" s="1"/>
  <c r="CV44" i="15" s="1"/>
  <c r="AA9" i="16"/>
  <c r="B18" i="67"/>
  <c r="D19" i="66"/>
  <c r="C18" i="66"/>
  <c r="B19" i="66"/>
  <c r="D19" i="65"/>
  <c r="C18" i="65"/>
  <c r="W10" i="70"/>
  <c r="W12" i="69"/>
  <c r="X13" i="68"/>
  <c r="W12" i="68"/>
  <c r="K39" i="64"/>
  <c r="K38" i="64"/>
  <c r="K37" i="64"/>
  <c r="K44" i="64"/>
  <c r="K43" i="64"/>
  <c r="K42" i="64"/>
  <c r="K41" i="64"/>
  <c r="K40" i="64"/>
  <c r="W11" i="62"/>
  <c r="C17" i="64"/>
  <c r="D18" i="64"/>
  <c r="C29" i="62"/>
  <c r="O9" i="62" s="1"/>
  <c r="D14" i="61"/>
  <c r="C13" i="61"/>
  <c r="B15" i="61"/>
  <c r="K42" i="61"/>
  <c r="K41" i="61"/>
  <c r="K40" i="61"/>
  <c r="K39" i="61"/>
  <c r="K38" i="61"/>
  <c r="K37" i="61"/>
  <c r="K44" i="61"/>
  <c r="K43" i="61"/>
  <c r="O15" i="60"/>
  <c r="O11" i="60"/>
  <c r="O18" i="60"/>
  <c r="G42" i="60"/>
  <c r="G43" i="60" s="1"/>
  <c r="N10" i="60"/>
  <c r="M10" i="60"/>
  <c r="AF14" i="50"/>
  <c r="AF15" i="50" s="1"/>
  <c r="AF16" i="50" s="1"/>
  <c r="AF17" i="50" s="1"/>
  <c r="AF18" i="50" s="1"/>
  <c r="AF19" i="50" s="1"/>
  <c r="AF20" i="50" s="1"/>
  <c r="AF21" i="50" s="1"/>
  <c r="AF22" i="50" s="1"/>
  <c r="AF23" i="50" s="1"/>
  <c r="AF24" i="50" s="1"/>
  <c r="AF25" i="50" s="1"/>
  <c r="AF26" i="50" s="1"/>
  <c r="AF27" i="50" s="1"/>
  <c r="AF28" i="50" s="1"/>
  <c r="AF29" i="50" s="1"/>
  <c r="AF30" i="50" s="1"/>
  <c r="AF31" i="50" s="1"/>
  <c r="AF32" i="50" s="1"/>
  <c r="AF33" i="50" s="1"/>
  <c r="AF34" i="50" s="1"/>
  <c r="AF35" i="50" s="1"/>
  <c r="AF36" i="50" s="1"/>
  <c r="AF37" i="50" s="1"/>
  <c r="AF38" i="50" s="1"/>
  <c r="AF39" i="50" s="1"/>
  <c r="AF40" i="50" s="1"/>
  <c r="AF41" i="50" s="1"/>
  <c r="AF42" i="50" s="1"/>
  <c r="AF43" i="50" s="1"/>
  <c r="AF44" i="50" s="1"/>
  <c r="H38" i="50"/>
  <c r="G41" i="45"/>
  <c r="O16" i="45" s="1"/>
  <c r="Z12" i="50" s="1"/>
  <c r="Z13" i="50" s="1"/>
  <c r="Z14" i="50" s="1"/>
  <c r="Z15" i="50" s="1"/>
  <c r="Z16" i="50" s="1"/>
  <c r="Z17" i="50" s="1"/>
  <c r="Z18" i="50" s="1"/>
  <c r="Z19" i="50" s="1"/>
  <c r="Z20" i="50" s="1"/>
  <c r="Z21" i="50" s="1"/>
  <c r="Z22" i="50" s="1"/>
  <c r="Z23" i="50" s="1"/>
  <c r="Z24" i="50" s="1"/>
  <c r="Z25" i="50" s="1"/>
  <c r="Z26" i="50" s="1"/>
  <c r="Z27" i="50" s="1"/>
  <c r="Z28" i="50" s="1"/>
  <c r="Z29" i="50" s="1"/>
  <c r="Z30" i="50" s="1"/>
  <c r="Z31" i="50" s="1"/>
  <c r="Z32" i="50" s="1"/>
  <c r="Z33" i="50" s="1"/>
  <c r="Z34" i="50" s="1"/>
  <c r="Z35" i="50" s="1"/>
  <c r="Z36" i="50" s="1"/>
  <c r="Z37" i="50" s="1"/>
  <c r="Z38" i="50" s="1"/>
  <c r="Z39" i="50" s="1"/>
  <c r="Z40" i="50" s="1"/>
  <c r="Z41" i="50" s="1"/>
  <c r="Z42" i="50" s="1"/>
  <c r="Z43" i="50" s="1"/>
  <c r="Z44" i="50" s="1"/>
  <c r="G35" i="45"/>
  <c r="O16" i="32"/>
  <c r="Z12" i="52" s="1"/>
  <c r="Z13" i="52" s="1"/>
  <c r="Z14" i="52" s="1"/>
  <c r="Z15" i="52" s="1"/>
  <c r="Z16" i="52" s="1"/>
  <c r="Z17" i="52" s="1"/>
  <c r="Z18" i="52" s="1"/>
  <c r="Z19" i="52" s="1"/>
  <c r="Z20" i="52" s="1"/>
  <c r="Z21" i="52" s="1"/>
  <c r="Z22" i="52" s="1"/>
  <c r="Z23" i="52" s="1"/>
  <c r="Z24" i="52" s="1"/>
  <c r="Z25" i="52" s="1"/>
  <c r="Z26" i="52" s="1"/>
  <c r="Z27" i="52" s="1"/>
  <c r="Z28" i="52" s="1"/>
  <c r="Z29" i="52" s="1"/>
  <c r="Z30" i="52" s="1"/>
  <c r="Z31" i="52" s="1"/>
  <c r="Z32" i="52" s="1"/>
  <c r="Z33" i="52" s="1"/>
  <c r="Z34" i="52" s="1"/>
  <c r="Z35" i="52" s="1"/>
  <c r="Z36" i="52" s="1"/>
  <c r="Z37" i="52" s="1"/>
  <c r="Z38" i="52" s="1"/>
  <c r="Z39" i="52" s="1"/>
  <c r="Z40" i="52" s="1"/>
  <c r="Z41" i="52" s="1"/>
  <c r="Z42" i="52" s="1"/>
  <c r="Z43" i="52" s="1"/>
  <c r="Z44" i="52" s="1"/>
  <c r="C18" i="32"/>
  <c r="CQ9" i="15"/>
  <c r="CR9" i="15" s="1"/>
  <c r="CQ10" i="15" s="1"/>
  <c r="CO10" i="15" s="1"/>
  <c r="AJ12" i="66" s="1"/>
  <c r="DA9" i="15"/>
  <c r="DB9" i="15" s="1"/>
  <c r="DA10" i="15" s="1"/>
  <c r="G10" i="15"/>
  <c r="C10" i="15" s="1"/>
  <c r="H9" i="15"/>
  <c r="H10" i="15" s="1"/>
  <c r="H11" i="15" s="1"/>
  <c r="H12" i="15" s="1"/>
  <c r="H13" i="15" s="1"/>
  <c r="H14" i="15" s="1"/>
  <c r="H15" i="15" s="1"/>
  <c r="H16" i="15" s="1"/>
  <c r="H17" i="15" s="1"/>
  <c r="H18" i="15" s="1"/>
  <c r="H19" i="15" s="1"/>
  <c r="H20" i="15" s="1"/>
  <c r="H21" i="15" s="1"/>
  <c r="H22" i="15" s="1"/>
  <c r="H23" i="15" s="1"/>
  <c r="H24" i="15" s="1"/>
  <c r="H25" i="15" s="1"/>
  <c r="H26" i="15" s="1"/>
  <c r="H27" i="15" s="1"/>
  <c r="H28" i="15" s="1"/>
  <c r="H29" i="15" s="1"/>
  <c r="H30" i="15" s="1"/>
  <c r="H31" i="15" s="1"/>
  <c r="H32" i="15" s="1"/>
  <c r="H33" i="15" s="1"/>
  <c r="H34" i="15" s="1"/>
  <c r="H35" i="15" s="1"/>
  <c r="H36" i="15" s="1"/>
  <c r="H37" i="15" s="1"/>
  <c r="H38" i="15" s="1"/>
  <c r="H39" i="15" s="1"/>
  <c r="H40" i="15" s="1"/>
  <c r="H41" i="15" s="1"/>
  <c r="H42" i="15" s="1"/>
  <c r="H43" i="15" s="1"/>
  <c r="H44" i="15" s="1"/>
  <c r="D12" i="50"/>
  <c r="H38" i="13"/>
  <c r="D12" i="13"/>
  <c r="D13" i="13" s="1"/>
  <c r="C11" i="53"/>
  <c r="W13" i="13"/>
  <c r="W14" i="13" s="1"/>
  <c r="W15" i="13" s="1"/>
  <c r="W16" i="13" s="1"/>
  <c r="W17" i="13" s="1"/>
  <c r="W18" i="13" s="1"/>
  <c r="W19" i="13" s="1"/>
  <c r="W20" i="13" s="1"/>
  <c r="W21" i="13" s="1"/>
  <c r="W22" i="13" s="1"/>
  <c r="W23" i="13" s="1"/>
  <c r="W24" i="13" s="1"/>
  <c r="W25" i="13" s="1"/>
  <c r="W26" i="13" s="1"/>
  <c r="W27" i="13" s="1"/>
  <c r="W28" i="13" s="1"/>
  <c r="W29" i="13" s="1"/>
  <c r="W30" i="13" s="1"/>
  <c r="W31" i="13" s="1"/>
  <c r="W32" i="13" s="1"/>
  <c r="W33" i="13" s="1"/>
  <c r="W34" i="13" s="1"/>
  <c r="W35" i="13" s="1"/>
  <c r="W36" i="13" s="1"/>
  <c r="W37" i="13" s="1"/>
  <c r="W38" i="13" s="1"/>
  <c r="W39" i="13" s="1"/>
  <c r="W40" i="13" s="1"/>
  <c r="W41" i="13" s="1"/>
  <c r="W42" i="13" s="1"/>
  <c r="W43" i="13" s="1"/>
  <c r="W44" i="13" s="1"/>
  <c r="AE13" i="13"/>
  <c r="AE14" i="13" s="1"/>
  <c r="AE15" i="13" s="1"/>
  <c r="AE16" i="13" s="1"/>
  <c r="AE17" i="13" s="1"/>
  <c r="AE18" i="13" s="1"/>
  <c r="AE19" i="13" s="1"/>
  <c r="AE20" i="13" s="1"/>
  <c r="AE21" i="13" s="1"/>
  <c r="AE22" i="13" s="1"/>
  <c r="AE23" i="13" s="1"/>
  <c r="AE24" i="13" s="1"/>
  <c r="AE25" i="13" s="1"/>
  <c r="AE26" i="13" s="1"/>
  <c r="AE27" i="13" s="1"/>
  <c r="AE28" i="13" s="1"/>
  <c r="AE29" i="13" s="1"/>
  <c r="AE30" i="13" s="1"/>
  <c r="AE31" i="13" s="1"/>
  <c r="AE32" i="13" s="1"/>
  <c r="AE33" i="13" s="1"/>
  <c r="AE34" i="13" s="1"/>
  <c r="AE35" i="13" s="1"/>
  <c r="AE36" i="13" s="1"/>
  <c r="AE37" i="13" s="1"/>
  <c r="AE38" i="13" s="1"/>
  <c r="AE39" i="13" s="1"/>
  <c r="AE40" i="13" s="1"/>
  <c r="AE41" i="13" s="1"/>
  <c r="AE42" i="13" s="1"/>
  <c r="AE43" i="13" s="1"/>
  <c r="AE44" i="13" s="1"/>
  <c r="E11" i="13"/>
  <c r="E12" i="13" s="1"/>
  <c r="E13" i="13" s="1"/>
  <c r="E14" i="13" s="1"/>
  <c r="E15" i="13" s="1"/>
  <c r="E16" i="13" s="1"/>
  <c r="E17" i="13" s="1"/>
  <c r="E18" i="13" s="1"/>
  <c r="E19" i="13" s="1"/>
  <c r="E20" i="13" s="1"/>
  <c r="E21" i="13" s="1"/>
  <c r="E22" i="13" s="1"/>
  <c r="E23" i="13" s="1"/>
  <c r="E24" i="13" s="1"/>
  <c r="E25" i="13" s="1"/>
  <c r="E26" i="13" s="1"/>
  <c r="E27" i="13" s="1"/>
  <c r="E28" i="13" s="1"/>
  <c r="E29" i="13" s="1"/>
  <c r="E30" i="13" s="1"/>
  <c r="E31" i="13" s="1"/>
  <c r="E32" i="13" s="1"/>
  <c r="E33" i="13" s="1"/>
  <c r="E34" i="13" s="1"/>
  <c r="E35" i="13" s="1"/>
  <c r="E36" i="13" s="1"/>
  <c r="E37" i="13" s="1"/>
  <c r="E38" i="13" s="1"/>
  <c r="E39" i="13" s="1"/>
  <c r="E40" i="13" s="1"/>
  <c r="E41" i="13" s="1"/>
  <c r="E42" i="13" s="1"/>
  <c r="E43" i="13" s="1"/>
  <c r="E44" i="13" s="1"/>
  <c r="AD13" i="13"/>
  <c r="AD14" i="13" s="1"/>
  <c r="AD15" i="13" s="1"/>
  <c r="AD16" i="13" s="1"/>
  <c r="AD17" i="13" s="1"/>
  <c r="AD18" i="13" s="1"/>
  <c r="AD19" i="13" s="1"/>
  <c r="AD20" i="13" s="1"/>
  <c r="AD21" i="13" s="1"/>
  <c r="AD22" i="13" s="1"/>
  <c r="AD23" i="13" s="1"/>
  <c r="AD24" i="13" s="1"/>
  <c r="AD25" i="13" s="1"/>
  <c r="AD26" i="13" s="1"/>
  <c r="AD27" i="13" s="1"/>
  <c r="AD28" i="13" s="1"/>
  <c r="AD29" i="13" s="1"/>
  <c r="AD30" i="13" s="1"/>
  <c r="AD31" i="13" s="1"/>
  <c r="AD32" i="13" s="1"/>
  <c r="AD33" i="13" s="1"/>
  <c r="AD34" i="13" s="1"/>
  <c r="AD35" i="13" s="1"/>
  <c r="AD36" i="13" s="1"/>
  <c r="AD37" i="13" s="1"/>
  <c r="AD38" i="13" s="1"/>
  <c r="AD39" i="13" s="1"/>
  <c r="AD40" i="13" s="1"/>
  <c r="AD41" i="13" s="1"/>
  <c r="AD42" i="13" s="1"/>
  <c r="AD43" i="13" s="1"/>
  <c r="AD44" i="13" s="1"/>
  <c r="E11" i="53"/>
  <c r="E12" i="53" s="1"/>
  <c r="E13" i="53" s="1"/>
  <c r="E14" i="53" s="1"/>
  <c r="E15" i="53" s="1"/>
  <c r="E16" i="53" s="1"/>
  <c r="E17" i="53" s="1"/>
  <c r="E18" i="53" s="1"/>
  <c r="E19" i="53" s="1"/>
  <c r="E20" i="53" s="1"/>
  <c r="E21" i="53" s="1"/>
  <c r="E22" i="53" s="1"/>
  <c r="E23" i="53" s="1"/>
  <c r="E24" i="53" s="1"/>
  <c r="E25" i="53" s="1"/>
  <c r="E26" i="53" s="1"/>
  <c r="E27" i="53" s="1"/>
  <c r="E28" i="53" s="1"/>
  <c r="E29" i="53" s="1"/>
  <c r="E30" i="53" s="1"/>
  <c r="E31" i="53" s="1"/>
  <c r="E32" i="53" s="1"/>
  <c r="E33" i="53" s="1"/>
  <c r="E34" i="53" s="1"/>
  <c r="E35" i="53" s="1"/>
  <c r="E36" i="53" s="1"/>
  <c r="E37" i="53" s="1"/>
  <c r="E38" i="53" s="1"/>
  <c r="E39" i="53" s="1"/>
  <c r="E40" i="53" s="1"/>
  <c r="E41" i="53" s="1"/>
  <c r="E42" i="53" s="1"/>
  <c r="E43" i="53" s="1"/>
  <c r="E44" i="53" s="1"/>
  <c r="Q13" i="13"/>
  <c r="Q14" i="13" s="1"/>
  <c r="Q15" i="13" s="1"/>
  <c r="Q16" i="13" s="1"/>
  <c r="Q17" i="13" s="1"/>
  <c r="Q18" i="13" s="1"/>
  <c r="Q19" i="13" s="1"/>
  <c r="Q20" i="13" s="1"/>
  <c r="Q21" i="13" s="1"/>
  <c r="Q22" i="13" s="1"/>
  <c r="Q23" i="13" s="1"/>
  <c r="Q24" i="13" s="1"/>
  <c r="Q25" i="13" s="1"/>
  <c r="Q26" i="13" s="1"/>
  <c r="Q27" i="13" s="1"/>
  <c r="Q28" i="13" s="1"/>
  <c r="Q29" i="13" s="1"/>
  <c r="Q30" i="13" s="1"/>
  <c r="Q31" i="13" s="1"/>
  <c r="Q32" i="13" s="1"/>
  <c r="Q33" i="13" s="1"/>
  <c r="Q34" i="13" s="1"/>
  <c r="Q35" i="13" s="1"/>
  <c r="Q36" i="13" s="1"/>
  <c r="Q37" i="13" s="1"/>
  <c r="Q38" i="13" s="1"/>
  <c r="Q39" i="13" s="1"/>
  <c r="Q40" i="13" s="1"/>
  <c r="Q41" i="13" s="1"/>
  <c r="Q42" i="13" s="1"/>
  <c r="Q43" i="13" s="1"/>
  <c r="Q44" i="13" s="1"/>
  <c r="AF13" i="13"/>
  <c r="AF14" i="13" s="1"/>
  <c r="AF15" i="13" s="1"/>
  <c r="AF16" i="13" s="1"/>
  <c r="AF17" i="13" s="1"/>
  <c r="AF18" i="13" s="1"/>
  <c r="AF19" i="13" s="1"/>
  <c r="AF20" i="13" s="1"/>
  <c r="AF21" i="13" s="1"/>
  <c r="AF22" i="13" s="1"/>
  <c r="AF23" i="13" s="1"/>
  <c r="AF24" i="13" s="1"/>
  <c r="AF25" i="13" s="1"/>
  <c r="AF26" i="13" s="1"/>
  <c r="AF27" i="13" s="1"/>
  <c r="AF28" i="13" s="1"/>
  <c r="AF29" i="13" s="1"/>
  <c r="AF30" i="13" s="1"/>
  <c r="AF31" i="13" s="1"/>
  <c r="AF32" i="13" s="1"/>
  <c r="AF33" i="13" s="1"/>
  <c r="AF34" i="13" s="1"/>
  <c r="AF35" i="13" s="1"/>
  <c r="AF36" i="13" s="1"/>
  <c r="AF37" i="13" s="1"/>
  <c r="AF38" i="13" s="1"/>
  <c r="AF39" i="13" s="1"/>
  <c r="AF40" i="13" s="1"/>
  <c r="AF41" i="13" s="1"/>
  <c r="AF42" i="13" s="1"/>
  <c r="AF43" i="13" s="1"/>
  <c r="AF44" i="13" s="1"/>
  <c r="C11" i="50"/>
  <c r="G38" i="13"/>
  <c r="AC13" i="13"/>
  <c r="AC14" i="13" s="1"/>
  <c r="AC15" i="13" s="1"/>
  <c r="AC16" i="13" s="1"/>
  <c r="AC17" i="13" s="1"/>
  <c r="AC18" i="13" s="1"/>
  <c r="AC19" i="13" s="1"/>
  <c r="AC20" i="13" s="1"/>
  <c r="AC21" i="13" s="1"/>
  <c r="AC22" i="13" s="1"/>
  <c r="AC23" i="13" s="1"/>
  <c r="AC24" i="13" s="1"/>
  <c r="AC25" i="13" s="1"/>
  <c r="AC26" i="13" s="1"/>
  <c r="AC27" i="13" s="1"/>
  <c r="AC28" i="13" s="1"/>
  <c r="AC29" i="13" s="1"/>
  <c r="AC30" i="13" s="1"/>
  <c r="AC31" i="13" s="1"/>
  <c r="AC32" i="13" s="1"/>
  <c r="AC33" i="13" s="1"/>
  <c r="AC34" i="13" s="1"/>
  <c r="AC35" i="13" s="1"/>
  <c r="AC36" i="13" s="1"/>
  <c r="AC37" i="13" s="1"/>
  <c r="AC38" i="13" s="1"/>
  <c r="AC39" i="13" s="1"/>
  <c r="AC40" i="13" s="1"/>
  <c r="AC41" i="13" s="1"/>
  <c r="AC42" i="13" s="1"/>
  <c r="AC43" i="13" s="1"/>
  <c r="AC44" i="13" s="1"/>
  <c r="H41" i="13"/>
  <c r="I41" i="13" s="1"/>
  <c r="AB13" i="13"/>
  <c r="AB14" i="13" s="1"/>
  <c r="AB15" i="13" s="1"/>
  <c r="AB16" i="13" s="1"/>
  <c r="AB17" i="13" s="1"/>
  <c r="AB18" i="13" s="1"/>
  <c r="AB19" i="13" s="1"/>
  <c r="AB20" i="13" s="1"/>
  <c r="AB21" i="13" s="1"/>
  <c r="AB22" i="13" s="1"/>
  <c r="AB23" i="13" s="1"/>
  <c r="AB24" i="13" s="1"/>
  <c r="AB25" i="13" s="1"/>
  <c r="AB26" i="13" s="1"/>
  <c r="AB27" i="13" s="1"/>
  <c r="AB28" i="13" s="1"/>
  <c r="AB29" i="13" s="1"/>
  <c r="AB30" i="13" s="1"/>
  <c r="AB31" i="13" s="1"/>
  <c r="AB32" i="13" s="1"/>
  <c r="AB33" i="13" s="1"/>
  <c r="AB34" i="13" s="1"/>
  <c r="AB35" i="13" s="1"/>
  <c r="AB36" i="13" s="1"/>
  <c r="AB37" i="13" s="1"/>
  <c r="AB38" i="13" s="1"/>
  <c r="AB39" i="13" s="1"/>
  <c r="AB40" i="13" s="1"/>
  <c r="AB41" i="13" s="1"/>
  <c r="AB42" i="13" s="1"/>
  <c r="AB43" i="13" s="1"/>
  <c r="AB44" i="13" s="1"/>
  <c r="H14" i="13"/>
  <c r="H15" i="13" s="1"/>
  <c r="H16" i="13" s="1"/>
  <c r="H17" i="13" s="1"/>
  <c r="H18" i="13" s="1"/>
  <c r="H19" i="13" s="1"/>
  <c r="H20" i="13" s="1"/>
  <c r="H21" i="13" s="1"/>
  <c r="H22" i="13" s="1"/>
  <c r="H23" i="13" s="1"/>
  <c r="H24" i="13" s="1"/>
  <c r="H25" i="13" s="1"/>
  <c r="H26" i="13" s="1"/>
  <c r="H27" i="13" s="1"/>
  <c r="H28" i="13" s="1"/>
  <c r="H29" i="13" s="1"/>
  <c r="H30" i="13" s="1"/>
  <c r="H31" i="13" s="1"/>
  <c r="H32" i="13" s="1"/>
  <c r="H33" i="13" s="1"/>
  <c r="H34" i="13" s="1"/>
  <c r="H35" i="13" s="1"/>
  <c r="H36" i="13" s="1"/>
  <c r="H37" i="13" s="1"/>
  <c r="I37" i="13" s="1"/>
  <c r="H40" i="13"/>
  <c r="I40" i="13" s="1"/>
  <c r="C11" i="51"/>
  <c r="D12" i="51"/>
  <c r="D13" i="51" s="1"/>
  <c r="C13" i="51" s="1"/>
  <c r="D13" i="53"/>
  <c r="D14" i="53" s="1"/>
  <c r="C12" i="53"/>
  <c r="D14" i="13"/>
  <c r="D15" i="13" s="1"/>
  <c r="C15" i="13" s="1"/>
  <c r="C13" i="13"/>
  <c r="C12" i="13"/>
  <c r="H44" i="13"/>
  <c r="J11" i="15"/>
  <c r="J12" i="15" s="1"/>
  <c r="J13" i="15" s="1"/>
  <c r="J14" i="15" s="1"/>
  <c r="J15" i="15" s="1"/>
  <c r="J16" i="15" s="1"/>
  <c r="J17" i="15" s="1"/>
  <c r="J18" i="15" s="1"/>
  <c r="J19" i="15" s="1"/>
  <c r="J20" i="15" s="1"/>
  <c r="J21" i="15" s="1"/>
  <c r="J22" i="15" s="1"/>
  <c r="J23" i="15" s="1"/>
  <c r="J24" i="15" s="1"/>
  <c r="J25" i="15" s="1"/>
  <c r="J26" i="15" s="1"/>
  <c r="J27" i="15" s="1"/>
  <c r="J28" i="15" s="1"/>
  <c r="J29" i="15" s="1"/>
  <c r="J30" i="15" s="1"/>
  <c r="J31" i="15" s="1"/>
  <c r="J32" i="15" s="1"/>
  <c r="J33" i="15" s="1"/>
  <c r="J34" i="15" s="1"/>
  <c r="J35" i="15" s="1"/>
  <c r="J36" i="15" s="1"/>
  <c r="J37" i="15" s="1"/>
  <c r="J38" i="15" s="1"/>
  <c r="J39" i="15" s="1"/>
  <c r="J40" i="15" s="1"/>
  <c r="J41" i="15" s="1"/>
  <c r="J42" i="15" s="1"/>
  <c r="J43" i="15" s="1"/>
  <c r="J44" i="15" s="1"/>
  <c r="G39" i="13"/>
  <c r="H39" i="13"/>
  <c r="D13" i="50"/>
  <c r="C12" i="50"/>
  <c r="J4" i="13"/>
  <c r="H42" i="13"/>
  <c r="H43" i="13"/>
  <c r="I43" i="13" s="1"/>
  <c r="G42" i="13"/>
  <c r="F4" i="13"/>
  <c r="D13" i="56"/>
  <c r="C12" i="56"/>
  <c r="G44" i="13"/>
  <c r="E11" i="52"/>
  <c r="E12" i="52" s="1"/>
  <c r="E13" i="52" s="1"/>
  <c r="E14" i="52" s="1"/>
  <c r="E15" i="52" s="1"/>
  <c r="E16" i="52" s="1"/>
  <c r="E17" i="52" s="1"/>
  <c r="E18" i="52" s="1"/>
  <c r="E19" i="52" s="1"/>
  <c r="E20" i="52" s="1"/>
  <c r="E21" i="52" s="1"/>
  <c r="E22" i="52" s="1"/>
  <c r="E23" i="52" s="1"/>
  <c r="E24" i="52" s="1"/>
  <c r="E25" i="52" s="1"/>
  <c r="E26" i="52" s="1"/>
  <c r="E27" i="52" s="1"/>
  <c r="E28" i="52" s="1"/>
  <c r="E29" i="52" s="1"/>
  <c r="E30" i="52" s="1"/>
  <c r="E31" i="52" s="1"/>
  <c r="E32" i="52" s="1"/>
  <c r="E33" i="52" s="1"/>
  <c r="E34" i="52" s="1"/>
  <c r="E35" i="52" s="1"/>
  <c r="E36" i="52" s="1"/>
  <c r="E37" i="52" s="1"/>
  <c r="E38" i="52" s="1"/>
  <c r="E39" i="52" s="1"/>
  <c r="E40" i="52" s="1"/>
  <c r="E41" i="52" s="1"/>
  <c r="E42" i="52" s="1"/>
  <c r="E43" i="52" s="1"/>
  <c r="E44" i="52" s="1"/>
  <c r="D12" i="52"/>
  <c r="C11" i="52"/>
  <c r="C11" i="56"/>
  <c r="H39" i="50"/>
  <c r="H42" i="50"/>
  <c r="T12" i="15"/>
  <c r="T13" i="15" s="1"/>
  <c r="T14" i="15" s="1"/>
  <c r="T15" i="15" s="1"/>
  <c r="T16" i="15" s="1"/>
  <c r="T17" i="15" s="1"/>
  <c r="T18" i="15" s="1"/>
  <c r="T19" i="15" s="1"/>
  <c r="T20" i="15" s="1"/>
  <c r="T21" i="15" s="1"/>
  <c r="T22" i="15" s="1"/>
  <c r="T23" i="15" s="1"/>
  <c r="T24" i="15" s="1"/>
  <c r="T25" i="15" s="1"/>
  <c r="T26" i="15" s="1"/>
  <c r="T27" i="15" s="1"/>
  <c r="T28" i="15" s="1"/>
  <c r="T29" i="15" s="1"/>
  <c r="T30" i="15" s="1"/>
  <c r="T31" i="15" s="1"/>
  <c r="T32" i="15" s="1"/>
  <c r="T33" i="15" s="1"/>
  <c r="T34" i="15" s="1"/>
  <c r="T35" i="15" s="1"/>
  <c r="T36" i="15" s="1"/>
  <c r="T37" i="15" s="1"/>
  <c r="T38" i="15" s="1"/>
  <c r="T39" i="15" s="1"/>
  <c r="T40" i="15" s="1"/>
  <c r="T41" i="15" s="1"/>
  <c r="T42" i="15" s="1"/>
  <c r="T43" i="15" s="1"/>
  <c r="T44" i="15" s="1"/>
  <c r="H43" i="50"/>
  <c r="J4" i="50"/>
  <c r="H41" i="50"/>
  <c r="F4" i="50"/>
  <c r="R12" i="50"/>
  <c r="R13" i="50" s="1"/>
  <c r="R14" i="50" s="1"/>
  <c r="R15" i="50" s="1"/>
  <c r="R16" i="50" s="1"/>
  <c r="R17" i="50" s="1"/>
  <c r="R18" i="50" s="1"/>
  <c r="R19" i="50" s="1"/>
  <c r="R20" i="50" s="1"/>
  <c r="R21" i="50" s="1"/>
  <c r="R22" i="50" s="1"/>
  <c r="R23" i="50" s="1"/>
  <c r="R24" i="50" s="1"/>
  <c r="R25" i="50" s="1"/>
  <c r="R26" i="50" s="1"/>
  <c r="R27" i="50" s="1"/>
  <c r="R28" i="50" s="1"/>
  <c r="R29" i="50" s="1"/>
  <c r="R30" i="50" s="1"/>
  <c r="R31" i="50" s="1"/>
  <c r="R32" i="50" s="1"/>
  <c r="R33" i="50" s="1"/>
  <c r="R34" i="50" s="1"/>
  <c r="R35" i="50" s="1"/>
  <c r="R36" i="50" s="1"/>
  <c r="R37" i="50" s="1"/>
  <c r="R38" i="50" s="1"/>
  <c r="R39" i="50" s="1"/>
  <c r="R40" i="50" s="1"/>
  <c r="R41" i="50" s="1"/>
  <c r="R42" i="50" s="1"/>
  <c r="R43" i="50" s="1"/>
  <c r="R44" i="50" s="1"/>
  <c r="H40" i="50"/>
  <c r="H44" i="50"/>
  <c r="I44" i="50" s="1"/>
  <c r="AB12" i="50"/>
  <c r="AB13" i="50" s="1"/>
  <c r="AB14" i="50" s="1"/>
  <c r="AB15" i="50" s="1"/>
  <c r="AB16" i="50" s="1"/>
  <c r="AB17" i="50" s="1"/>
  <c r="AB18" i="50" s="1"/>
  <c r="AB19" i="50" s="1"/>
  <c r="AB20" i="50" s="1"/>
  <c r="AB21" i="50" s="1"/>
  <c r="AB22" i="50" s="1"/>
  <c r="AB23" i="50" s="1"/>
  <c r="AB24" i="50" s="1"/>
  <c r="AB25" i="50" s="1"/>
  <c r="AB26" i="50" s="1"/>
  <c r="AB27" i="50" s="1"/>
  <c r="AB28" i="50" s="1"/>
  <c r="AB29" i="50" s="1"/>
  <c r="AB30" i="50" s="1"/>
  <c r="AB31" i="50" s="1"/>
  <c r="AB32" i="50" s="1"/>
  <c r="AB33" i="50" s="1"/>
  <c r="AB34" i="50" s="1"/>
  <c r="AB35" i="50" s="1"/>
  <c r="AB36" i="50" s="1"/>
  <c r="AB37" i="50" s="1"/>
  <c r="AB38" i="50" s="1"/>
  <c r="AB39" i="50" s="1"/>
  <c r="AB40" i="50" s="1"/>
  <c r="AB41" i="50" s="1"/>
  <c r="AB42" i="50" s="1"/>
  <c r="AB43" i="50" s="1"/>
  <c r="AB44" i="50" s="1"/>
  <c r="G40" i="50"/>
  <c r="G42" i="50"/>
  <c r="G41" i="50"/>
  <c r="W12" i="50"/>
  <c r="W13" i="50" s="1"/>
  <c r="W14" i="50" s="1"/>
  <c r="W15" i="50" s="1"/>
  <c r="W16" i="50" s="1"/>
  <c r="W17" i="50" s="1"/>
  <c r="W18" i="50" s="1"/>
  <c r="W19" i="50" s="1"/>
  <c r="W20" i="50" s="1"/>
  <c r="W21" i="50" s="1"/>
  <c r="W22" i="50" s="1"/>
  <c r="W23" i="50" s="1"/>
  <c r="W24" i="50" s="1"/>
  <c r="W25" i="50" s="1"/>
  <c r="W26" i="50" s="1"/>
  <c r="W27" i="50" s="1"/>
  <c r="W28" i="50" s="1"/>
  <c r="W29" i="50" s="1"/>
  <c r="W30" i="50" s="1"/>
  <c r="W31" i="50" s="1"/>
  <c r="W32" i="50" s="1"/>
  <c r="W33" i="50" s="1"/>
  <c r="W34" i="50" s="1"/>
  <c r="W35" i="50" s="1"/>
  <c r="W36" i="50" s="1"/>
  <c r="W37" i="50" s="1"/>
  <c r="W38" i="50" s="1"/>
  <c r="W39" i="50" s="1"/>
  <c r="W40" i="50" s="1"/>
  <c r="W41" i="50" s="1"/>
  <c r="W42" i="50" s="1"/>
  <c r="W43" i="50" s="1"/>
  <c r="W44" i="50" s="1"/>
  <c r="G39" i="50"/>
  <c r="I39" i="50" s="1"/>
  <c r="AC12" i="50"/>
  <c r="AC13" i="50" s="1"/>
  <c r="AC14" i="50" s="1"/>
  <c r="AC15" i="50" s="1"/>
  <c r="AC16" i="50" s="1"/>
  <c r="AC17" i="50" s="1"/>
  <c r="AC18" i="50" s="1"/>
  <c r="AC19" i="50" s="1"/>
  <c r="AC20" i="50" s="1"/>
  <c r="AC21" i="50" s="1"/>
  <c r="AC22" i="50" s="1"/>
  <c r="AC23" i="50" s="1"/>
  <c r="AC24" i="50" s="1"/>
  <c r="AC25" i="50" s="1"/>
  <c r="AC26" i="50" s="1"/>
  <c r="AC27" i="50" s="1"/>
  <c r="AC28" i="50" s="1"/>
  <c r="AC29" i="50" s="1"/>
  <c r="AC30" i="50" s="1"/>
  <c r="AC31" i="50" s="1"/>
  <c r="AC32" i="50" s="1"/>
  <c r="AC33" i="50" s="1"/>
  <c r="AC34" i="50" s="1"/>
  <c r="AC35" i="50" s="1"/>
  <c r="AC36" i="50" s="1"/>
  <c r="AC37" i="50" s="1"/>
  <c r="AC38" i="50" s="1"/>
  <c r="AC39" i="50" s="1"/>
  <c r="AC40" i="50" s="1"/>
  <c r="AC41" i="50" s="1"/>
  <c r="AC42" i="50" s="1"/>
  <c r="AC43" i="50" s="1"/>
  <c r="AC44" i="50" s="1"/>
  <c r="G38" i="50"/>
  <c r="I38" i="50" s="1"/>
  <c r="AD12" i="50"/>
  <c r="AD13" i="50" s="1"/>
  <c r="AD14" i="50" s="1"/>
  <c r="AD15" i="50" s="1"/>
  <c r="AD16" i="50" s="1"/>
  <c r="AD17" i="50" s="1"/>
  <c r="AD18" i="50" s="1"/>
  <c r="AD19" i="50" s="1"/>
  <c r="AD20" i="50" s="1"/>
  <c r="AD21" i="50" s="1"/>
  <c r="AD22" i="50" s="1"/>
  <c r="AD23" i="50" s="1"/>
  <c r="AD24" i="50" s="1"/>
  <c r="AD25" i="50" s="1"/>
  <c r="AD26" i="50" s="1"/>
  <c r="AD27" i="50" s="1"/>
  <c r="AD28" i="50" s="1"/>
  <c r="AD29" i="50" s="1"/>
  <c r="AD30" i="50" s="1"/>
  <c r="AD31" i="50" s="1"/>
  <c r="AD32" i="50" s="1"/>
  <c r="AD33" i="50" s="1"/>
  <c r="AD34" i="50" s="1"/>
  <c r="AD35" i="50" s="1"/>
  <c r="AD36" i="50" s="1"/>
  <c r="AD37" i="50" s="1"/>
  <c r="AD38" i="50" s="1"/>
  <c r="AD39" i="50" s="1"/>
  <c r="AD40" i="50" s="1"/>
  <c r="AD41" i="50" s="1"/>
  <c r="AD42" i="50" s="1"/>
  <c r="AD43" i="50" s="1"/>
  <c r="AD44" i="50" s="1"/>
  <c r="V12" i="50"/>
  <c r="V13" i="50" s="1"/>
  <c r="V14" i="50" s="1"/>
  <c r="V15" i="50" s="1"/>
  <c r="V16" i="50" s="1"/>
  <c r="V17" i="50" s="1"/>
  <c r="V18" i="50" s="1"/>
  <c r="V19" i="50" s="1"/>
  <c r="V20" i="50" s="1"/>
  <c r="V21" i="50" s="1"/>
  <c r="V22" i="50" s="1"/>
  <c r="V23" i="50" s="1"/>
  <c r="V24" i="50" s="1"/>
  <c r="V25" i="50" s="1"/>
  <c r="V26" i="50" s="1"/>
  <c r="V27" i="50" s="1"/>
  <c r="V28" i="50" s="1"/>
  <c r="V29" i="50" s="1"/>
  <c r="V30" i="50" s="1"/>
  <c r="V31" i="50" s="1"/>
  <c r="V32" i="50" s="1"/>
  <c r="V33" i="50" s="1"/>
  <c r="V34" i="50" s="1"/>
  <c r="V35" i="50" s="1"/>
  <c r="V36" i="50" s="1"/>
  <c r="V37" i="50" s="1"/>
  <c r="V38" i="50" s="1"/>
  <c r="V39" i="50" s="1"/>
  <c r="V40" i="50" s="1"/>
  <c r="V41" i="50" s="1"/>
  <c r="V42" i="50" s="1"/>
  <c r="V43" i="50" s="1"/>
  <c r="V44" i="50" s="1"/>
  <c r="G37" i="50"/>
  <c r="AE12" i="50"/>
  <c r="AE13" i="50" s="1"/>
  <c r="AE14" i="50" s="1"/>
  <c r="AE15" i="50" s="1"/>
  <c r="AE16" i="50" s="1"/>
  <c r="AE17" i="50" s="1"/>
  <c r="AE18" i="50" s="1"/>
  <c r="AE19" i="50" s="1"/>
  <c r="AE20" i="50" s="1"/>
  <c r="AE21" i="50" s="1"/>
  <c r="AE22" i="50" s="1"/>
  <c r="AE23" i="50" s="1"/>
  <c r="AE24" i="50" s="1"/>
  <c r="AE25" i="50" s="1"/>
  <c r="AE26" i="50" s="1"/>
  <c r="AE27" i="50" s="1"/>
  <c r="AE28" i="50" s="1"/>
  <c r="AE29" i="50" s="1"/>
  <c r="AE30" i="50" s="1"/>
  <c r="AE31" i="50" s="1"/>
  <c r="AE32" i="50" s="1"/>
  <c r="AE33" i="50" s="1"/>
  <c r="AE34" i="50" s="1"/>
  <c r="AE35" i="50" s="1"/>
  <c r="AE36" i="50" s="1"/>
  <c r="AE37" i="50" s="1"/>
  <c r="AE38" i="50" s="1"/>
  <c r="AE39" i="50" s="1"/>
  <c r="AE40" i="50" s="1"/>
  <c r="AE41" i="50" s="1"/>
  <c r="AE42" i="50" s="1"/>
  <c r="AE43" i="50" s="1"/>
  <c r="AE44" i="50" s="1"/>
  <c r="H12" i="50"/>
  <c r="H13" i="50" s="1"/>
  <c r="H14" i="50" s="1"/>
  <c r="H15" i="50" s="1"/>
  <c r="H16" i="50" s="1"/>
  <c r="H17" i="50" s="1"/>
  <c r="H18" i="50" s="1"/>
  <c r="H19" i="50" s="1"/>
  <c r="H20" i="50" s="1"/>
  <c r="H21" i="50" s="1"/>
  <c r="H22" i="50" s="1"/>
  <c r="H23" i="50" s="1"/>
  <c r="H24" i="50" s="1"/>
  <c r="H25" i="50" s="1"/>
  <c r="H26" i="50" s="1"/>
  <c r="H27" i="50" s="1"/>
  <c r="H28" i="50" s="1"/>
  <c r="H29" i="50" s="1"/>
  <c r="H30" i="50" s="1"/>
  <c r="H31" i="50" s="1"/>
  <c r="H32" i="50" s="1"/>
  <c r="H33" i="50" s="1"/>
  <c r="H34" i="50" s="1"/>
  <c r="H35" i="50" s="1"/>
  <c r="H36" i="50" s="1"/>
  <c r="H37" i="50" s="1"/>
  <c r="G43" i="50"/>
  <c r="Q12" i="50"/>
  <c r="Q13" i="50" s="1"/>
  <c r="AD14" i="15"/>
  <c r="AD15" i="15" s="1"/>
  <c r="AD16" i="15" s="1"/>
  <c r="AD17" i="15" s="1"/>
  <c r="AD18" i="15" s="1"/>
  <c r="AD19" i="15" s="1"/>
  <c r="AD20" i="15" s="1"/>
  <c r="AD21" i="15" s="1"/>
  <c r="AD22" i="15" s="1"/>
  <c r="AD23" i="15" s="1"/>
  <c r="AD24" i="15" s="1"/>
  <c r="AD25" i="15" s="1"/>
  <c r="AD26" i="15" s="1"/>
  <c r="AD27" i="15" s="1"/>
  <c r="AD28" i="15" s="1"/>
  <c r="AD29" i="15" s="1"/>
  <c r="AD30" i="15" s="1"/>
  <c r="AD31" i="15" s="1"/>
  <c r="AD32" i="15" s="1"/>
  <c r="AD33" i="15" s="1"/>
  <c r="AD34" i="15" s="1"/>
  <c r="AD35" i="15" s="1"/>
  <c r="AD36" i="15" s="1"/>
  <c r="AD37" i="15" s="1"/>
  <c r="AD38" i="15" s="1"/>
  <c r="AD39" i="15" s="1"/>
  <c r="AD40" i="15" s="1"/>
  <c r="AD41" i="15" s="1"/>
  <c r="AD42" i="15" s="1"/>
  <c r="AD43" i="15" s="1"/>
  <c r="AD44" i="15" s="1"/>
  <c r="H42" i="51"/>
  <c r="I42" i="51" s="1"/>
  <c r="H38" i="51"/>
  <c r="I38" i="51" s="1"/>
  <c r="G37" i="51"/>
  <c r="J4" i="51"/>
  <c r="F4" i="51"/>
  <c r="H44" i="51"/>
  <c r="I44" i="51" s="1"/>
  <c r="H43" i="51"/>
  <c r="I43" i="51" s="1"/>
  <c r="W12" i="51"/>
  <c r="W13" i="51" s="1"/>
  <c r="W14" i="51" s="1"/>
  <c r="W15" i="51" s="1"/>
  <c r="W16" i="51" s="1"/>
  <c r="W17" i="51" s="1"/>
  <c r="W18" i="51" s="1"/>
  <c r="W19" i="51" s="1"/>
  <c r="W20" i="51" s="1"/>
  <c r="W21" i="51" s="1"/>
  <c r="W22" i="51" s="1"/>
  <c r="W23" i="51" s="1"/>
  <c r="W24" i="51" s="1"/>
  <c r="W25" i="51" s="1"/>
  <c r="W26" i="51" s="1"/>
  <c r="W27" i="51" s="1"/>
  <c r="W28" i="51" s="1"/>
  <c r="W29" i="51" s="1"/>
  <c r="W30" i="51" s="1"/>
  <c r="W31" i="51" s="1"/>
  <c r="W32" i="51" s="1"/>
  <c r="W33" i="51" s="1"/>
  <c r="W34" i="51" s="1"/>
  <c r="W35" i="51" s="1"/>
  <c r="W36" i="51" s="1"/>
  <c r="W37" i="51" s="1"/>
  <c r="W38" i="51" s="1"/>
  <c r="W39" i="51" s="1"/>
  <c r="W40" i="51" s="1"/>
  <c r="W41" i="51" s="1"/>
  <c r="W42" i="51" s="1"/>
  <c r="W43" i="51" s="1"/>
  <c r="W44" i="51" s="1"/>
  <c r="H41" i="51"/>
  <c r="AC12" i="51"/>
  <c r="AC13" i="51" s="1"/>
  <c r="AC14" i="51" s="1"/>
  <c r="AC15" i="51" s="1"/>
  <c r="AC16" i="51" s="1"/>
  <c r="AC17" i="51" s="1"/>
  <c r="AC18" i="51" s="1"/>
  <c r="AC19" i="51" s="1"/>
  <c r="AC20" i="51" s="1"/>
  <c r="AC21" i="51" s="1"/>
  <c r="AC22" i="51" s="1"/>
  <c r="AC23" i="51" s="1"/>
  <c r="AC24" i="51" s="1"/>
  <c r="AC25" i="51" s="1"/>
  <c r="AC26" i="51" s="1"/>
  <c r="AC27" i="51" s="1"/>
  <c r="AC28" i="51" s="1"/>
  <c r="AC29" i="51" s="1"/>
  <c r="AC30" i="51" s="1"/>
  <c r="AC31" i="51" s="1"/>
  <c r="AC32" i="51" s="1"/>
  <c r="AC33" i="51" s="1"/>
  <c r="AC34" i="51" s="1"/>
  <c r="AC35" i="51" s="1"/>
  <c r="AC36" i="51" s="1"/>
  <c r="AC37" i="51" s="1"/>
  <c r="AC38" i="51" s="1"/>
  <c r="AC39" i="51" s="1"/>
  <c r="AC40" i="51" s="1"/>
  <c r="AC41" i="51" s="1"/>
  <c r="AC42" i="51" s="1"/>
  <c r="AC43" i="51" s="1"/>
  <c r="AC44" i="51" s="1"/>
  <c r="H40" i="51"/>
  <c r="I40" i="51" s="1"/>
  <c r="G41" i="51"/>
  <c r="AD12" i="51"/>
  <c r="AD13" i="51" s="1"/>
  <c r="AD14" i="51" s="1"/>
  <c r="AD15" i="51" s="1"/>
  <c r="AD16" i="51" s="1"/>
  <c r="AD17" i="51" s="1"/>
  <c r="AD18" i="51" s="1"/>
  <c r="AD19" i="51" s="1"/>
  <c r="AD20" i="51" s="1"/>
  <c r="AD21" i="51" s="1"/>
  <c r="AD22" i="51" s="1"/>
  <c r="AD23" i="51" s="1"/>
  <c r="AD24" i="51" s="1"/>
  <c r="AD25" i="51" s="1"/>
  <c r="AD26" i="51" s="1"/>
  <c r="AD27" i="51" s="1"/>
  <c r="AD28" i="51" s="1"/>
  <c r="AD29" i="51" s="1"/>
  <c r="AD30" i="51" s="1"/>
  <c r="AD31" i="51" s="1"/>
  <c r="AD32" i="51" s="1"/>
  <c r="AD33" i="51" s="1"/>
  <c r="AD34" i="51" s="1"/>
  <c r="AD35" i="51" s="1"/>
  <c r="AD36" i="51" s="1"/>
  <c r="AD37" i="51" s="1"/>
  <c r="AD38" i="51" s="1"/>
  <c r="AD39" i="51" s="1"/>
  <c r="AD40" i="51" s="1"/>
  <c r="AD41" i="51" s="1"/>
  <c r="AD42" i="51" s="1"/>
  <c r="AD43" i="51" s="1"/>
  <c r="AD44" i="51" s="1"/>
  <c r="H39" i="51"/>
  <c r="I39" i="51" s="1"/>
  <c r="AE12" i="51"/>
  <c r="AE13" i="51" s="1"/>
  <c r="AE14" i="51" s="1"/>
  <c r="AE15" i="51" s="1"/>
  <c r="AE16" i="51" s="1"/>
  <c r="AE17" i="51" s="1"/>
  <c r="AE18" i="51" s="1"/>
  <c r="AE19" i="51" s="1"/>
  <c r="AE20" i="51" s="1"/>
  <c r="AE21" i="51" s="1"/>
  <c r="AE22" i="51" s="1"/>
  <c r="AE23" i="51" s="1"/>
  <c r="AE24" i="51" s="1"/>
  <c r="AE25" i="51" s="1"/>
  <c r="AE26" i="51" s="1"/>
  <c r="AE27" i="51" s="1"/>
  <c r="AE28" i="51" s="1"/>
  <c r="AE29" i="51" s="1"/>
  <c r="AE30" i="51" s="1"/>
  <c r="AE31" i="51" s="1"/>
  <c r="AE32" i="51" s="1"/>
  <c r="AE33" i="51" s="1"/>
  <c r="AE34" i="51" s="1"/>
  <c r="AE35" i="51" s="1"/>
  <c r="AE36" i="51" s="1"/>
  <c r="AE37" i="51" s="1"/>
  <c r="AE38" i="51" s="1"/>
  <c r="AE39" i="51" s="1"/>
  <c r="AE40" i="51" s="1"/>
  <c r="AE41" i="51" s="1"/>
  <c r="AE42" i="51" s="1"/>
  <c r="AE43" i="51" s="1"/>
  <c r="AE44" i="51" s="1"/>
  <c r="Z12" i="51"/>
  <c r="Z13" i="51" s="1"/>
  <c r="Z14" i="51" s="1"/>
  <c r="Z15" i="51" s="1"/>
  <c r="Z16" i="51" s="1"/>
  <c r="Z17" i="51" s="1"/>
  <c r="Z18" i="51" s="1"/>
  <c r="Z19" i="51" s="1"/>
  <c r="Z20" i="51" s="1"/>
  <c r="Z21" i="51" s="1"/>
  <c r="Z22" i="51" s="1"/>
  <c r="Z23" i="51" s="1"/>
  <c r="Z24" i="51" s="1"/>
  <c r="Z25" i="51" s="1"/>
  <c r="Z26" i="51" s="1"/>
  <c r="Z27" i="51" s="1"/>
  <c r="Z28" i="51" s="1"/>
  <c r="Z29" i="51" s="1"/>
  <c r="Z30" i="51" s="1"/>
  <c r="Z31" i="51" s="1"/>
  <c r="Z32" i="51" s="1"/>
  <c r="Z33" i="51" s="1"/>
  <c r="Z34" i="51" s="1"/>
  <c r="Z35" i="51" s="1"/>
  <c r="Z36" i="51" s="1"/>
  <c r="Z37" i="51" s="1"/>
  <c r="Z38" i="51" s="1"/>
  <c r="Z39" i="51" s="1"/>
  <c r="Z40" i="51" s="1"/>
  <c r="Z41" i="51" s="1"/>
  <c r="Z42" i="51" s="1"/>
  <c r="Z43" i="51" s="1"/>
  <c r="Z44" i="51" s="1"/>
  <c r="AF12" i="51"/>
  <c r="AF13" i="51" s="1"/>
  <c r="AF14" i="51" s="1"/>
  <c r="AF15" i="51" s="1"/>
  <c r="AF16" i="51" s="1"/>
  <c r="AF17" i="51" s="1"/>
  <c r="AF18" i="51" s="1"/>
  <c r="AF19" i="51" s="1"/>
  <c r="AF20" i="51" s="1"/>
  <c r="AF21" i="51" s="1"/>
  <c r="AF22" i="51" s="1"/>
  <c r="AF23" i="51" s="1"/>
  <c r="AF24" i="51" s="1"/>
  <c r="AF25" i="51" s="1"/>
  <c r="AF26" i="51" s="1"/>
  <c r="AF27" i="51" s="1"/>
  <c r="AF28" i="51" s="1"/>
  <c r="AF29" i="51" s="1"/>
  <c r="AF30" i="51" s="1"/>
  <c r="AF31" i="51" s="1"/>
  <c r="AF32" i="51" s="1"/>
  <c r="AF33" i="51" s="1"/>
  <c r="AF34" i="51" s="1"/>
  <c r="AF35" i="51" s="1"/>
  <c r="AF36" i="51" s="1"/>
  <c r="AF37" i="51" s="1"/>
  <c r="AF38" i="51" s="1"/>
  <c r="AF39" i="51" s="1"/>
  <c r="AF40" i="51" s="1"/>
  <c r="AF41" i="51" s="1"/>
  <c r="AF42" i="51" s="1"/>
  <c r="AF43" i="51" s="1"/>
  <c r="AF44" i="51" s="1"/>
  <c r="H12" i="51"/>
  <c r="H13" i="51" s="1"/>
  <c r="H14" i="51" s="1"/>
  <c r="H15" i="51" s="1"/>
  <c r="H16" i="51" s="1"/>
  <c r="H17" i="51" s="1"/>
  <c r="H18" i="51" s="1"/>
  <c r="H19" i="51" s="1"/>
  <c r="H20" i="51" s="1"/>
  <c r="H21" i="51" s="1"/>
  <c r="H22" i="51" s="1"/>
  <c r="H23" i="51" s="1"/>
  <c r="H24" i="51" s="1"/>
  <c r="H25" i="51" s="1"/>
  <c r="H26" i="51" s="1"/>
  <c r="H27" i="51" s="1"/>
  <c r="H28" i="51" s="1"/>
  <c r="H29" i="51" s="1"/>
  <c r="H30" i="51" s="1"/>
  <c r="H31" i="51" s="1"/>
  <c r="H32" i="51" s="1"/>
  <c r="H33" i="51" s="1"/>
  <c r="H34" i="51" s="1"/>
  <c r="H35" i="51" s="1"/>
  <c r="H36" i="51" s="1"/>
  <c r="H37" i="51" s="1"/>
  <c r="R12" i="51"/>
  <c r="R13" i="51" s="1"/>
  <c r="R14" i="51" s="1"/>
  <c r="R15" i="51" s="1"/>
  <c r="R16" i="51" s="1"/>
  <c r="R17" i="51" s="1"/>
  <c r="R18" i="51" s="1"/>
  <c r="R19" i="51" s="1"/>
  <c r="R20" i="51" s="1"/>
  <c r="R21" i="51" s="1"/>
  <c r="R22" i="51" s="1"/>
  <c r="R23" i="51" s="1"/>
  <c r="R24" i="51" s="1"/>
  <c r="R25" i="51" s="1"/>
  <c r="R26" i="51" s="1"/>
  <c r="R27" i="51" s="1"/>
  <c r="R28" i="51" s="1"/>
  <c r="R29" i="51" s="1"/>
  <c r="R30" i="51" s="1"/>
  <c r="R31" i="51" s="1"/>
  <c r="R32" i="51" s="1"/>
  <c r="R33" i="51" s="1"/>
  <c r="R34" i="51" s="1"/>
  <c r="R35" i="51" s="1"/>
  <c r="R36" i="51" s="1"/>
  <c r="R37" i="51" s="1"/>
  <c r="R38" i="51" s="1"/>
  <c r="R39" i="51" s="1"/>
  <c r="R40" i="51" s="1"/>
  <c r="R41" i="51" s="1"/>
  <c r="R42" i="51" s="1"/>
  <c r="R43" i="51" s="1"/>
  <c r="R44" i="51" s="1"/>
  <c r="H40" i="52"/>
  <c r="F4" i="52"/>
  <c r="AN11" i="15"/>
  <c r="AN12" i="15" s="1"/>
  <c r="AN13" i="15" s="1"/>
  <c r="AN14" i="15" s="1"/>
  <c r="AN15" i="15" s="1"/>
  <c r="AN16" i="15" s="1"/>
  <c r="AN17" i="15" s="1"/>
  <c r="AN18" i="15" s="1"/>
  <c r="AN19" i="15" s="1"/>
  <c r="AN20" i="15" s="1"/>
  <c r="AN21" i="15" s="1"/>
  <c r="AN22" i="15" s="1"/>
  <c r="AN23" i="15" s="1"/>
  <c r="AN24" i="15" s="1"/>
  <c r="AN25" i="15" s="1"/>
  <c r="AN26" i="15" s="1"/>
  <c r="AN27" i="15" s="1"/>
  <c r="AN28" i="15" s="1"/>
  <c r="AN29" i="15" s="1"/>
  <c r="AN30" i="15" s="1"/>
  <c r="AN31" i="15" s="1"/>
  <c r="AN32" i="15" s="1"/>
  <c r="AN33" i="15" s="1"/>
  <c r="AN34" i="15" s="1"/>
  <c r="AN35" i="15" s="1"/>
  <c r="AN36" i="15" s="1"/>
  <c r="AN37" i="15" s="1"/>
  <c r="AN38" i="15" s="1"/>
  <c r="AN39" i="15" s="1"/>
  <c r="AN40" i="15" s="1"/>
  <c r="AN41" i="15" s="1"/>
  <c r="AN42" i="15" s="1"/>
  <c r="AN43" i="15" s="1"/>
  <c r="AN44" i="15" s="1"/>
  <c r="G41" i="52"/>
  <c r="I41" i="52" s="1"/>
  <c r="I42" i="52"/>
  <c r="AC12" i="52"/>
  <c r="AC13" i="52" s="1"/>
  <c r="AC14" i="52" s="1"/>
  <c r="AC15" i="52" s="1"/>
  <c r="AC16" i="52" s="1"/>
  <c r="AC17" i="52" s="1"/>
  <c r="AC18" i="52" s="1"/>
  <c r="AC19" i="52" s="1"/>
  <c r="AC20" i="52" s="1"/>
  <c r="AC21" i="52" s="1"/>
  <c r="AC22" i="52" s="1"/>
  <c r="AC23" i="52" s="1"/>
  <c r="AC24" i="52" s="1"/>
  <c r="AC25" i="52" s="1"/>
  <c r="AC26" i="52" s="1"/>
  <c r="AC27" i="52" s="1"/>
  <c r="AC28" i="52" s="1"/>
  <c r="AC29" i="52" s="1"/>
  <c r="AC30" i="52" s="1"/>
  <c r="AC31" i="52" s="1"/>
  <c r="AC32" i="52" s="1"/>
  <c r="AC33" i="52" s="1"/>
  <c r="AC34" i="52" s="1"/>
  <c r="AC35" i="52" s="1"/>
  <c r="AC36" i="52" s="1"/>
  <c r="AC37" i="52" s="1"/>
  <c r="AC38" i="52" s="1"/>
  <c r="AC39" i="52" s="1"/>
  <c r="AC40" i="52" s="1"/>
  <c r="AC41" i="52" s="1"/>
  <c r="AC42" i="52" s="1"/>
  <c r="AC43" i="52" s="1"/>
  <c r="AC44" i="52" s="1"/>
  <c r="J4" i="52"/>
  <c r="H39" i="52"/>
  <c r="H38" i="52"/>
  <c r="G40" i="52"/>
  <c r="AD12" i="52"/>
  <c r="AD13" i="52" s="1"/>
  <c r="AD14" i="52" s="1"/>
  <c r="AD15" i="52" s="1"/>
  <c r="AD16" i="52" s="1"/>
  <c r="AD17" i="52" s="1"/>
  <c r="AD18" i="52" s="1"/>
  <c r="AD19" i="52" s="1"/>
  <c r="AD20" i="52" s="1"/>
  <c r="AD21" i="52" s="1"/>
  <c r="AD22" i="52" s="1"/>
  <c r="AD23" i="52" s="1"/>
  <c r="AD24" i="52" s="1"/>
  <c r="AD25" i="52" s="1"/>
  <c r="AD26" i="52" s="1"/>
  <c r="AD27" i="52" s="1"/>
  <c r="AD28" i="52" s="1"/>
  <c r="AD29" i="52" s="1"/>
  <c r="AD30" i="52" s="1"/>
  <c r="AD31" i="52" s="1"/>
  <c r="AD32" i="52" s="1"/>
  <c r="AD33" i="52" s="1"/>
  <c r="AD34" i="52" s="1"/>
  <c r="AD35" i="52" s="1"/>
  <c r="AD36" i="52" s="1"/>
  <c r="AD37" i="52" s="1"/>
  <c r="AD38" i="52" s="1"/>
  <c r="AD39" i="52" s="1"/>
  <c r="AD40" i="52" s="1"/>
  <c r="AD41" i="52" s="1"/>
  <c r="AD42" i="52" s="1"/>
  <c r="AD43" i="52" s="1"/>
  <c r="AD44" i="52" s="1"/>
  <c r="H12" i="52"/>
  <c r="H13" i="52" s="1"/>
  <c r="H14" i="52" s="1"/>
  <c r="H15" i="52" s="1"/>
  <c r="H16" i="52" s="1"/>
  <c r="H17" i="52" s="1"/>
  <c r="H18" i="52" s="1"/>
  <c r="H19" i="52" s="1"/>
  <c r="H20" i="52" s="1"/>
  <c r="H21" i="52" s="1"/>
  <c r="H22" i="52" s="1"/>
  <c r="H23" i="52" s="1"/>
  <c r="H24" i="52" s="1"/>
  <c r="H25" i="52" s="1"/>
  <c r="H26" i="52" s="1"/>
  <c r="H27" i="52" s="1"/>
  <c r="H28" i="52" s="1"/>
  <c r="H29" i="52" s="1"/>
  <c r="H30" i="52" s="1"/>
  <c r="H31" i="52" s="1"/>
  <c r="H32" i="52" s="1"/>
  <c r="H33" i="52" s="1"/>
  <c r="H34" i="52" s="1"/>
  <c r="H35" i="52" s="1"/>
  <c r="H36" i="52" s="1"/>
  <c r="H37" i="52" s="1"/>
  <c r="I37" i="52" s="1"/>
  <c r="G39" i="52"/>
  <c r="AE12" i="52"/>
  <c r="AE13" i="52" s="1"/>
  <c r="AE14" i="52" s="1"/>
  <c r="AE15" i="52" s="1"/>
  <c r="AE16" i="52" s="1"/>
  <c r="AE17" i="52" s="1"/>
  <c r="AE18" i="52" s="1"/>
  <c r="AE19" i="52" s="1"/>
  <c r="AE20" i="52" s="1"/>
  <c r="AE21" i="52" s="1"/>
  <c r="AE22" i="52" s="1"/>
  <c r="AE23" i="52" s="1"/>
  <c r="AE24" i="52" s="1"/>
  <c r="AE25" i="52" s="1"/>
  <c r="AE26" i="52" s="1"/>
  <c r="AE27" i="52" s="1"/>
  <c r="AE28" i="52" s="1"/>
  <c r="AE29" i="52" s="1"/>
  <c r="AE30" i="52" s="1"/>
  <c r="AE31" i="52" s="1"/>
  <c r="AE32" i="52" s="1"/>
  <c r="AE33" i="52" s="1"/>
  <c r="AE34" i="52" s="1"/>
  <c r="AE35" i="52" s="1"/>
  <c r="AE36" i="52" s="1"/>
  <c r="AE37" i="52" s="1"/>
  <c r="AE38" i="52" s="1"/>
  <c r="AE39" i="52" s="1"/>
  <c r="AE40" i="52" s="1"/>
  <c r="AE41" i="52" s="1"/>
  <c r="AE42" i="52" s="1"/>
  <c r="AE43" i="52" s="1"/>
  <c r="AE44" i="52" s="1"/>
  <c r="H44" i="52"/>
  <c r="I44" i="52" s="1"/>
  <c r="G38" i="52"/>
  <c r="AF12" i="52"/>
  <c r="AF13" i="52" s="1"/>
  <c r="AF14" i="52" s="1"/>
  <c r="AF15" i="52" s="1"/>
  <c r="AF16" i="52" s="1"/>
  <c r="AF17" i="52" s="1"/>
  <c r="AF18" i="52" s="1"/>
  <c r="AF19" i="52" s="1"/>
  <c r="AF20" i="52" s="1"/>
  <c r="AF21" i="52" s="1"/>
  <c r="AF22" i="52" s="1"/>
  <c r="AF23" i="52" s="1"/>
  <c r="AF24" i="52" s="1"/>
  <c r="AF25" i="52" s="1"/>
  <c r="AF26" i="52" s="1"/>
  <c r="AF27" i="52" s="1"/>
  <c r="AF28" i="52" s="1"/>
  <c r="AF29" i="52" s="1"/>
  <c r="AF30" i="52" s="1"/>
  <c r="AF31" i="52" s="1"/>
  <c r="AF32" i="52" s="1"/>
  <c r="AF33" i="52" s="1"/>
  <c r="AF34" i="52" s="1"/>
  <c r="AF35" i="52" s="1"/>
  <c r="AF36" i="52" s="1"/>
  <c r="AF37" i="52" s="1"/>
  <c r="AF38" i="52" s="1"/>
  <c r="AF39" i="52" s="1"/>
  <c r="AF40" i="52" s="1"/>
  <c r="AF41" i="52" s="1"/>
  <c r="AF42" i="52" s="1"/>
  <c r="AF43" i="52" s="1"/>
  <c r="AF44" i="52" s="1"/>
  <c r="H43" i="52"/>
  <c r="I43" i="52" s="1"/>
  <c r="V12" i="52"/>
  <c r="V13" i="52" s="1"/>
  <c r="V14" i="52" s="1"/>
  <c r="V15" i="52" s="1"/>
  <c r="V16" i="52" s="1"/>
  <c r="V17" i="52" s="1"/>
  <c r="V18" i="52" s="1"/>
  <c r="V19" i="52" s="1"/>
  <c r="V20" i="52" s="1"/>
  <c r="V21" i="52" s="1"/>
  <c r="V22" i="52" s="1"/>
  <c r="V23" i="52" s="1"/>
  <c r="V24" i="52" s="1"/>
  <c r="V25" i="52" s="1"/>
  <c r="V26" i="52" s="1"/>
  <c r="V27" i="52" s="1"/>
  <c r="V28" i="52" s="1"/>
  <c r="V29" i="52" s="1"/>
  <c r="V30" i="52" s="1"/>
  <c r="V31" i="52" s="1"/>
  <c r="V32" i="52" s="1"/>
  <c r="V33" i="52" s="1"/>
  <c r="V34" i="52" s="1"/>
  <c r="V35" i="52" s="1"/>
  <c r="V36" i="52" s="1"/>
  <c r="V37" i="52" s="1"/>
  <c r="V38" i="52" s="1"/>
  <c r="V39" i="52" s="1"/>
  <c r="V40" i="52" s="1"/>
  <c r="V41" i="52" s="1"/>
  <c r="V42" i="52" s="1"/>
  <c r="V43" i="52" s="1"/>
  <c r="V44" i="52" s="1"/>
  <c r="W12" i="52"/>
  <c r="W13" i="52" s="1"/>
  <c r="W14" i="52" s="1"/>
  <c r="W15" i="52" s="1"/>
  <c r="W16" i="52" s="1"/>
  <c r="W17" i="52" s="1"/>
  <c r="W18" i="52" s="1"/>
  <c r="W19" i="52" s="1"/>
  <c r="W20" i="52" s="1"/>
  <c r="W21" i="52" s="1"/>
  <c r="W22" i="52" s="1"/>
  <c r="W23" i="52" s="1"/>
  <c r="W24" i="52" s="1"/>
  <c r="W25" i="52" s="1"/>
  <c r="W26" i="52" s="1"/>
  <c r="W27" i="52" s="1"/>
  <c r="W28" i="52" s="1"/>
  <c r="W29" i="52" s="1"/>
  <c r="W30" i="52" s="1"/>
  <c r="W31" i="52" s="1"/>
  <c r="W32" i="52" s="1"/>
  <c r="W33" i="52" s="1"/>
  <c r="W34" i="52" s="1"/>
  <c r="W35" i="52" s="1"/>
  <c r="W36" i="52" s="1"/>
  <c r="W37" i="52" s="1"/>
  <c r="W38" i="52" s="1"/>
  <c r="W39" i="52" s="1"/>
  <c r="W40" i="52" s="1"/>
  <c r="W41" i="52" s="1"/>
  <c r="W42" i="52" s="1"/>
  <c r="W43" i="52" s="1"/>
  <c r="W44" i="52" s="1"/>
  <c r="AX11" i="15"/>
  <c r="AX12" i="15" s="1"/>
  <c r="AX13" i="15" s="1"/>
  <c r="AX14" i="15" s="1"/>
  <c r="AX15" i="15" s="1"/>
  <c r="AX16" i="15" s="1"/>
  <c r="AX17" i="15" s="1"/>
  <c r="AX18" i="15" s="1"/>
  <c r="AX19" i="15" s="1"/>
  <c r="AX20" i="15" s="1"/>
  <c r="AX21" i="15" s="1"/>
  <c r="AX22" i="15" s="1"/>
  <c r="AX23" i="15" s="1"/>
  <c r="AX24" i="15" s="1"/>
  <c r="AX25" i="15" s="1"/>
  <c r="AX26" i="15" s="1"/>
  <c r="AX27" i="15" s="1"/>
  <c r="AX28" i="15" s="1"/>
  <c r="AX29" i="15" s="1"/>
  <c r="AX30" i="15" s="1"/>
  <c r="AX31" i="15" s="1"/>
  <c r="AX32" i="15" s="1"/>
  <c r="AX33" i="15" s="1"/>
  <c r="AX34" i="15" s="1"/>
  <c r="AX35" i="15" s="1"/>
  <c r="AX36" i="15" s="1"/>
  <c r="AX37" i="15" s="1"/>
  <c r="AX38" i="15" s="1"/>
  <c r="AX39" i="15" s="1"/>
  <c r="AX40" i="15" s="1"/>
  <c r="AX41" i="15" s="1"/>
  <c r="AX42" i="15" s="1"/>
  <c r="AX43" i="15" s="1"/>
  <c r="AX44" i="15" s="1"/>
  <c r="H43" i="53"/>
  <c r="I43" i="53" s="1"/>
  <c r="J4" i="53"/>
  <c r="AB12" i="53"/>
  <c r="AB13" i="53" s="1"/>
  <c r="AB14" i="53" s="1"/>
  <c r="AB15" i="53" s="1"/>
  <c r="AB16" i="53" s="1"/>
  <c r="AB17" i="53" s="1"/>
  <c r="AB18" i="53" s="1"/>
  <c r="AB19" i="53" s="1"/>
  <c r="AB20" i="53" s="1"/>
  <c r="AB21" i="53" s="1"/>
  <c r="AB22" i="53" s="1"/>
  <c r="AB23" i="53" s="1"/>
  <c r="AB24" i="53" s="1"/>
  <c r="AB25" i="53" s="1"/>
  <c r="AB26" i="53" s="1"/>
  <c r="AB27" i="53" s="1"/>
  <c r="AB28" i="53" s="1"/>
  <c r="AB29" i="53" s="1"/>
  <c r="AB30" i="53" s="1"/>
  <c r="AB31" i="53" s="1"/>
  <c r="AB32" i="53" s="1"/>
  <c r="AB33" i="53" s="1"/>
  <c r="AB34" i="53" s="1"/>
  <c r="AB35" i="53" s="1"/>
  <c r="AB36" i="53" s="1"/>
  <c r="AB37" i="53" s="1"/>
  <c r="AB38" i="53" s="1"/>
  <c r="AB39" i="53" s="1"/>
  <c r="AB40" i="53" s="1"/>
  <c r="AB41" i="53" s="1"/>
  <c r="AB42" i="53" s="1"/>
  <c r="AB43" i="53" s="1"/>
  <c r="AB44" i="53" s="1"/>
  <c r="H41" i="53"/>
  <c r="I42" i="53"/>
  <c r="H40" i="53"/>
  <c r="G41" i="53"/>
  <c r="AC12" i="53"/>
  <c r="AC13" i="53" s="1"/>
  <c r="AC14" i="53" s="1"/>
  <c r="AC15" i="53" s="1"/>
  <c r="AC16" i="53" s="1"/>
  <c r="AC17" i="53" s="1"/>
  <c r="AC18" i="53" s="1"/>
  <c r="AC19" i="53" s="1"/>
  <c r="AC20" i="53" s="1"/>
  <c r="AC21" i="53" s="1"/>
  <c r="AC22" i="53" s="1"/>
  <c r="AC23" i="53" s="1"/>
  <c r="AC24" i="53" s="1"/>
  <c r="AC25" i="53" s="1"/>
  <c r="AC26" i="53" s="1"/>
  <c r="AC27" i="53" s="1"/>
  <c r="AC28" i="53" s="1"/>
  <c r="AC29" i="53" s="1"/>
  <c r="AC30" i="53" s="1"/>
  <c r="AC31" i="53" s="1"/>
  <c r="AC32" i="53" s="1"/>
  <c r="AC33" i="53" s="1"/>
  <c r="AC34" i="53" s="1"/>
  <c r="AC35" i="53" s="1"/>
  <c r="AC36" i="53" s="1"/>
  <c r="AC37" i="53" s="1"/>
  <c r="AC38" i="53" s="1"/>
  <c r="AC39" i="53" s="1"/>
  <c r="AC40" i="53" s="1"/>
  <c r="AC41" i="53" s="1"/>
  <c r="AC42" i="53" s="1"/>
  <c r="AC43" i="53" s="1"/>
  <c r="AC44" i="53" s="1"/>
  <c r="F4" i="53"/>
  <c r="H39" i="53"/>
  <c r="I39" i="53" s="1"/>
  <c r="G40" i="53"/>
  <c r="AD12" i="53"/>
  <c r="AD13" i="53" s="1"/>
  <c r="AD14" i="53" s="1"/>
  <c r="AD15" i="53" s="1"/>
  <c r="AD16" i="53" s="1"/>
  <c r="AD17" i="53" s="1"/>
  <c r="AD18" i="53" s="1"/>
  <c r="AD19" i="53" s="1"/>
  <c r="AD20" i="53" s="1"/>
  <c r="AD21" i="53" s="1"/>
  <c r="AD22" i="53" s="1"/>
  <c r="AD23" i="53" s="1"/>
  <c r="AD24" i="53" s="1"/>
  <c r="AD25" i="53" s="1"/>
  <c r="AD26" i="53" s="1"/>
  <c r="AD27" i="53" s="1"/>
  <c r="AD28" i="53" s="1"/>
  <c r="AD29" i="53" s="1"/>
  <c r="AD30" i="53" s="1"/>
  <c r="AD31" i="53" s="1"/>
  <c r="AD32" i="53" s="1"/>
  <c r="AD33" i="53" s="1"/>
  <c r="AD34" i="53" s="1"/>
  <c r="AD35" i="53" s="1"/>
  <c r="AD36" i="53" s="1"/>
  <c r="AD37" i="53" s="1"/>
  <c r="AD38" i="53" s="1"/>
  <c r="AD39" i="53" s="1"/>
  <c r="AD40" i="53" s="1"/>
  <c r="AD41" i="53" s="1"/>
  <c r="AD42" i="53" s="1"/>
  <c r="AD43" i="53" s="1"/>
  <c r="AD44" i="53" s="1"/>
  <c r="H38" i="53"/>
  <c r="I38" i="53" s="1"/>
  <c r="AE12" i="53"/>
  <c r="AE13" i="53" s="1"/>
  <c r="AE14" i="53" s="1"/>
  <c r="AE15" i="53" s="1"/>
  <c r="AE16" i="53" s="1"/>
  <c r="AE17" i="53" s="1"/>
  <c r="AE18" i="53" s="1"/>
  <c r="AE19" i="53" s="1"/>
  <c r="AE20" i="53" s="1"/>
  <c r="AE21" i="53" s="1"/>
  <c r="AE22" i="53" s="1"/>
  <c r="AE23" i="53" s="1"/>
  <c r="AE24" i="53" s="1"/>
  <c r="AE25" i="53" s="1"/>
  <c r="AE26" i="53" s="1"/>
  <c r="AE27" i="53" s="1"/>
  <c r="AE28" i="53" s="1"/>
  <c r="AE29" i="53" s="1"/>
  <c r="AE30" i="53" s="1"/>
  <c r="AE31" i="53" s="1"/>
  <c r="AE32" i="53" s="1"/>
  <c r="AE33" i="53" s="1"/>
  <c r="AE34" i="53" s="1"/>
  <c r="AE35" i="53" s="1"/>
  <c r="AE36" i="53" s="1"/>
  <c r="AE37" i="53" s="1"/>
  <c r="AE38" i="53" s="1"/>
  <c r="AE39" i="53" s="1"/>
  <c r="AE40" i="53" s="1"/>
  <c r="AE41" i="53" s="1"/>
  <c r="AE42" i="53" s="1"/>
  <c r="AE43" i="53" s="1"/>
  <c r="AE44" i="53" s="1"/>
  <c r="Z12" i="53"/>
  <c r="Z13" i="53" s="1"/>
  <c r="Z14" i="53" s="1"/>
  <c r="Z15" i="53" s="1"/>
  <c r="Z16" i="53" s="1"/>
  <c r="Z17" i="53" s="1"/>
  <c r="Z18" i="53" s="1"/>
  <c r="Z19" i="53" s="1"/>
  <c r="Z20" i="53" s="1"/>
  <c r="Z21" i="53" s="1"/>
  <c r="Z22" i="53" s="1"/>
  <c r="Z23" i="53" s="1"/>
  <c r="Z24" i="53" s="1"/>
  <c r="Z25" i="53" s="1"/>
  <c r="Z26" i="53" s="1"/>
  <c r="Z27" i="53" s="1"/>
  <c r="Z28" i="53" s="1"/>
  <c r="Z29" i="53" s="1"/>
  <c r="Z30" i="53" s="1"/>
  <c r="Z31" i="53" s="1"/>
  <c r="Z32" i="53" s="1"/>
  <c r="Z33" i="53" s="1"/>
  <c r="Z34" i="53" s="1"/>
  <c r="Z35" i="53" s="1"/>
  <c r="Z36" i="53" s="1"/>
  <c r="Z37" i="53" s="1"/>
  <c r="Z38" i="53" s="1"/>
  <c r="Z39" i="53" s="1"/>
  <c r="Z40" i="53" s="1"/>
  <c r="Z41" i="53" s="1"/>
  <c r="Z42" i="53" s="1"/>
  <c r="Z43" i="53" s="1"/>
  <c r="Z44" i="53" s="1"/>
  <c r="H12" i="53"/>
  <c r="H13" i="53" s="1"/>
  <c r="H14" i="53" s="1"/>
  <c r="H15" i="53" s="1"/>
  <c r="H16" i="53" s="1"/>
  <c r="H17" i="53" s="1"/>
  <c r="H18" i="53" s="1"/>
  <c r="H19" i="53" s="1"/>
  <c r="H20" i="53" s="1"/>
  <c r="H21" i="53" s="1"/>
  <c r="H22" i="53" s="1"/>
  <c r="H23" i="53" s="1"/>
  <c r="H24" i="53" s="1"/>
  <c r="H25" i="53" s="1"/>
  <c r="H26" i="53" s="1"/>
  <c r="H27" i="53" s="1"/>
  <c r="H28" i="53" s="1"/>
  <c r="H29" i="53" s="1"/>
  <c r="H30" i="53" s="1"/>
  <c r="H31" i="53" s="1"/>
  <c r="H32" i="53" s="1"/>
  <c r="H33" i="53" s="1"/>
  <c r="H34" i="53" s="1"/>
  <c r="H35" i="53" s="1"/>
  <c r="H36" i="53" s="1"/>
  <c r="H37" i="53" s="1"/>
  <c r="I37" i="53" s="1"/>
  <c r="AF12" i="53"/>
  <c r="AF13" i="53" s="1"/>
  <c r="AF14" i="53" s="1"/>
  <c r="AF15" i="53" s="1"/>
  <c r="AF16" i="53" s="1"/>
  <c r="AF17" i="53" s="1"/>
  <c r="AF18" i="53" s="1"/>
  <c r="AF19" i="53" s="1"/>
  <c r="AF20" i="53" s="1"/>
  <c r="AF21" i="53" s="1"/>
  <c r="AF22" i="53" s="1"/>
  <c r="AF23" i="53" s="1"/>
  <c r="AF24" i="53" s="1"/>
  <c r="AF25" i="53" s="1"/>
  <c r="AF26" i="53" s="1"/>
  <c r="AF27" i="53" s="1"/>
  <c r="AF28" i="53" s="1"/>
  <c r="AF29" i="53" s="1"/>
  <c r="AF30" i="53" s="1"/>
  <c r="AF31" i="53" s="1"/>
  <c r="AF32" i="53" s="1"/>
  <c r="AF33" i="53" s="1"/>
  <c r="AF34" i="53" s="1"/>
  <c r="AF35" i="53" s="1"/>
  <c r="AF36" i="53" s="1"/>
  <c r="AF37" i="53" s="1"/>
  <c r="AF38" i="53" s="1"/>
  <c r="AF39" i="53" s="1"/>
  <c r="AF40" i="53" s="1"/>
  <c r="AF41" i="53" s="1"/>
  <c r="AF42" i="53" s="1"/>
  <c r="AF43" i="53" s="1"/>
  <c r="AF44" i="53" s="1"/>
  <c r="R12" i="53"/>
  <c r="R13" i="53" s="1"/>
  <c r="R14" i="53" s="1"/>
  <c r="R15" i="53" s="1"/>
  <c r="R16" i="53" s="1"/>
  <c r="R17" i="53" s="1"/>
  <c r="R18" i="53" s="1"/>
  <c r="R19" i="53" s="1"/>
  <c r="R20" i="53" s="1"/>
  <c r="R21" i="53" s="1"/>
  <c r="R22" i="53" s="1"/>
  <c r="R23" i="53" s="1"/>
  <c r="R24" i="53" s="1"/>
  <c r="R25" i="53" s="1"/>
  <c r="R26" i="53" s="1"/>
  <c r="R27" i="53" s="1"/>
  <c r="R28" i="53" s="1"/>
  <c r="R29" i="53" s="1"/>
  <c r="R30" i="53" s="1"/>
  <c r="R31" i="53" s="1"/>
  <c r="R32" i="53" s="1"/>
  <c r="R33" i="53" s="1"/>
  <c r="R34" i="53" s="1"/>
  <c r="R35" i="53" s="1"/>
  <c r="R36" i="53" s="1"/>
  <c r="R37" i="53" s="1"/>
  <c r="R38" i="53" s="1"/>
  <c r="R39" i="53" s="1"/>
  <c r="R40" i="53" s="1"/>
  <c r="R41" i="53" s="1"/>
  <c r="R42" i="53" s="1"/>
  <c r="R43" i="53" s="1"/>
  <c r="R44" i="53" s="1"/>
  <c r="H44" i="53"/>
  <c r="I44" i="53" s="1"/>
  <c r="V12" i="53"/>
  <c r="V13" i="53" s="1"/>
  <c r="V14" i="53" s="1"/>
  <c r="V15" i="53" s="1"/>
  <c r="V16" i="53" s="1"/>
  <c r="V17" i="53" s="1"/>
  <c r="V18" i="53" s="1"/>
  <c r="V19" i="53" s="1"/>
  <c r="V20" i="53" s="1"/>
  <c r="V21" i="53" s="1"/>
  <c r="V22" i="53" s="1"/>
  <c r="V23" i="53" s="1"/>
  <c r="V24" i="53" s="1"/>
  <c r="V25" i="53" s="1"/>
  <c r="V26" i="53" s="1"/>
  <c r="V27" i="53" s="1"/>
  <c r="V28" i="53" s="1"/>
  <c r="V29" i="53" s="1"/>
  <c r="V30" i="53" s="1"/>
  <c r="V31" i="53" s="1"/>
  <c r="V32" i="53" s="1"/>
  <c r="V33" i="53" s="1"/>
  <c r="V34" i="53" s="1"/>
  <c r="V35" i="53" s="1"/>
  <c r="V36" i="53" s="1"/>
  <c r="V37" i="53" s="1"/>
  <c r="V38" i="53" s="1"/>
  <c r="V39" i="53" s="1"/>
  <c r="V40" i="53" s="1"/>
  <c r="V41" i="53" s="1"/>
  <c r="V42" i="53" s="1"/>
  <c r="V43" i="53" s="1"/>
  <c r="V44" i="53" s="1"/>
  <c r="Q12" i="53"/>
  <c r="Q13" i="53" s="1"/>
  <c r="BH11" i="15"/>
  <c r="BH12" i="15" s="1"/>
  <c r="BH13" i="15" s="1"/>
  <c r="BH14" i="15" s="1"/>
  <c r="BH15" i="15" s="1"/>
  <c r="BH16" i="15" s="1"/>
  <c r="BH17" i="15" s="1"/>
  <c r="BH18" i="15" s="1"/>
  <c r="BH19" i="15" s="1"/>
  <c r="BH20" i="15" s="1"/>
  <c r="BH21" i="15" s="1"/>
  <c r="BH22" i="15" s="1"/>
  <c r="BH23" i="15" s="1"/>
  <c r="BH24" i="15" s="1"/>
  <c r="BH25" i="15" s="1"/>
  <c r="BH26" i="15" s="1"/>
  <c r="BH27" i="15" s="1"/>
  <c r="BH28" i="15" s="1"/>
  <c r="BH29" i="15" s="1"/>
  <c r="BH30" i="15" s="1"/>
  <c r="BH31" i="15" s="1"/>
  <c r="BH32" i="15" s="1"/>
  <c r="BH33" i="15" s="1"/>
  <c r="BH34" i="15" s="1"/>
  <c r="BH35" i="15" s="1"/>
  <c r="BH36" i="15" s="1"/>
  <c r="BH37" i="15" s="1"/>
  <c r="BH38" i="15" s="1"/>
  <c r="BH39" i="15" s="1"/>
  <c r="BH40" i="15" s="1"/>
  <c r="BH41" i="15" s="1"/>
  <c r="BH42" i="15" s="1"/>
  <c r="BH43" i="15" s="1"/>
  <c r="BH44" i="15" s="1"/>
  <c r="BR11" i="15"/>
  <c r="BR12" i="15" s="1"/>
  <c r="BR13" i="15" s="1"/>
  <c r="BR14" i="15" s="1"/>
  <c r="BR15" i="15" s="1"/>
  <c r="BR16" i="15" s="1"/>
  <c r="BR17" i="15" s="1"/>
  <c r="BR18" i="15" s="1"/>
  <c r="BR19" i="15" s="1"/>
  <c r="BR20" i="15" s="1"/>
  <c r="BR21" i="15" s="1"/>
  <c r="BR22" i="15" s="1"/>
  <c r="BR23" i="15" s="1"/>
  <c r="BR24" i="15" s="1"/>
  <c r="BR25" i="15" s="1"/>
  <c r="BR26" i="15" s="1"/>
  <c r="BR27" i="15" s="1"/>
  <c r="BR28" i="15" s="1"/>
  <c r="BR29" i="15" s="1"/>
  <c r="BR30" i="15" s="1"/>
  <c r="BR31" i="15" s="1"/>
  <c r="BR32" i="15" s="1"/>
  <c r="BR33" i="15" s="1"/>
  <c r="BR34" i="15" s="1"/>
  <c r="BR35" i="15" s="1"/>
  <c r="BR36" i="15" s="1"/>
  <c r="BR37" i="15" s="1"/>
  <c r="BR38" i="15" s="1"/>
  <c r="BR39" i="15" s="1"/>
  <c r="BR40" i="15" s="1"/>
  <c r="BR41" i="15" s="1"/>
  <c r="BR42" i="15" s="1"/>
  <c r="BR43" i="15" s="1"/>
  <c r="BR44" i="15" s="1"/>
  <c r="Y14" i="41"/>
  <c r="AE14" i="41"/>
  <c r="R12" i="52"/>
  <c r="R13" i="52" s="1"/>
  <c r="R14" i="52" s="1"/>
  <c r="R15" i="52" s="1"/>
  <c r="R16" i="52" s="1"/>
  <c r="R17" i="52" s="1"/>
  <c r="R18" i="52" s="1"/>
  <c r="R19" i="52" s="1"/>
  <c r="R20" i="52" s="1"/>
  <c r="R21" i="52" s="1"/>
  <c r="R22" i="52" s="1"/>
  <c r="R23" i="52" s="1"/>
  <c r="R24" i="52" s="1"/>
  <c r="R25" i="52" s="1"/>
  <c r="R26" i="52" s="1"/>
  <c r="R27" i="52" s="1"/>
  <c r="R28" i="52" s="1"/>
  <c r="R29" i="52" s="1"/>
  <c r="R30" i="52" s="1"/>
  <c r="R31" i="52" s="1"/>
  <c r="R32" i="52" s="1"/>
  <c r="R33" i="52" s="1"/>
  <c r="R34" i="52" s="1"/>
  <c r="R35" i="52" s="1"/>
  <c r="R36" i="52" s="1"/>
  <c r="R37" i="52" s="1"/>
  <c r="R38" i="52" s="1"/>
  <c r="R39" i="52" s="1"/>
  <c r="R40" i="52" s="1"/>
  <c r="R41" i="52" s="1"/>
  <c r="R42" i="52" s="1"/>
  <c r="R43" i="52" s="1"/>
  <c r="R44" i="52" s="1"/>
  <c r="BA42" i="50"/>
  <c r="BA39" i="50"/>
  <c r="BA27" i="51"/>
  <c r="BA14" i="53"/>
  <c r="BA35" i="51"/>
  <c r="BA31" i="51"/>
  <c r="BA23" i="51"/>
  <c r="BA13" i="53"/>
  <c r="BA32" i="53"/>
  <c r="BA16" i="53"/>
  <c r="BA43" i="53"/>
  <c r="BA39" i="53"/>
  <c r="BA35" i="53"/>
  <c r="BA27" i="53"/>
  <c r="BA15" i="53"/>
  <c r="BA12" i="53"/>
  <c r="BA41" i="53"/>
  <c r="BA37" i="53"/>
  <c r="BA33" i="53"/>
  <c r="BA29" i="53"/>
  <c r="BA21" i="53"/>
  <c r="M44" i="48"/>
  <c r="M45" i="48" s="1"/>
  <c r="BA41" i="51"/>
  <c r="BA32" i="51"/>
  <c r="BA43" i="51"/>
  <c r="BA39" i="51"/>
  <c r="BA42" i="51"/>
  <c r="BA38" i="51"/>
  <c r="BA34" i="51"/>
  <c r="BA30" i="51"/>
  <c r="BA26" i="51"/>
  <c r="BA22" i="51"/>
  <c r="BA44" i="52"/>
  <c r="BA40" i="52"/>
  <c r="BA36" i="52"/>
  <c r="BA16" i="52"/>
  <c r="BA15" i="52"/>
  <c r="BA40" i="50"/>
  <c r="BA20" i="51"/>
  <c r="C19" i="32"/>
  <c r="BA12" i="52"/>
  <c r="BA43" i="52"/>
  <c r="BA41" i="52"/>
  <c r="BA29" i="52"/>
  <c r="BA13" i="52"/>
  <c r="C13" i="32"/>
  <c r="BA12" i="51"/>
  <c r="BA37" i="51"/>
  <c r="BA33" i="51"/>
  <c r="BA29" i="51"/>
  <c r="BA25" i="51"/>
  <c r="BA21" i="51"/>
  <c r="BA17" i="51"/>
  <c r="BA13" i="51"/>
  <c r="BA18" i="51"/>
  <c r="BA44" i="51"/>
  <c r="BA40" i="51"/>
  <c r="BA36" i="51"/>
  <c r="BA28" i="51"/>
  <c r="BA24" i="51"/>
  <c r="BA16" i="51"/>
  <c r="BA19" i="51"/>
  <c r="BA15" i="51"/>
  <c r="BA14" i="51"/>
  <c r="M44" i="46"/>
  <c r="M45" i="46" s="1"/>
  <c r="BA43" i="50"/>
  <c r="BA35" i="50"/>
  <c r="BA31" i="50"/>
  <c r="BA27" i="50"/>
  <c r="BA23" i="50"/>
  <c r="BA19" i="50"/>
  <c r="BA15" i="50"/>
  <c r="BA12" i="50"/>
  <c r="BA41" i="50"/>
  <c r="BA37" i="50"/>
  <c r="BA33" i="50"/>
  <c r="BA29" i="50"/>
  <c r="BA25" i="50"/>
  <c r="BA21" i="50"/>
  <c r="BA17" i="50"/>
  <c r="BA13" i="50"/>
  <c r="BA44" i="50"/>
  <c r="BA36" i="50"/>
  <c r="BA32" i="50"/>
  <c r="BA28" i="50"/>
  <c r="BA24" i="50"/>
  <c r="BA20" i="50"/>
  <c r="BA16" i="50"/>
  <c r="BA38" i="50"/>
  <c r="BA34" i="50"/>
  <c r="BA30" i="50"/>
  <c r="BA26" i="50"/>
  <c r="BA22" i="50"/>
  <c r="BA18" i="50"/>
  <c r="BA14" i="50"/>
  <c r="BG29" i="56"/>
  <c r="BA15" i="13"/>
  <c r="G29" i="1"/>
  <c r="O17" i="1" s="1"/>
  <c r="AA12" i="13" s="1"/>
  <c r="AA13" i="13" s="1"/>
  <c r="AA14" i="13" s="1"/>
  <c r="AA15" i="13" s="1"/>
  <c r="AA16" i="13" s="1"/>
  <c r="AA17" i="13" s="1"/>
  <c r="AA18" i="13" s="1"/>
  <c r="AA19" i="13" s="1"/>
  <c r="AA20" i="13" s="1"/>
  <c r="AA21" i="13" s="1"/>
  <c r="AA22" i="13" s="1"/>
  <c r="AA23" i="13" s="1"/>
  <c r="AA24" i="13" s="1"/>
  <c r="AA25" i="13" s="1"/>
  <c r="AA26" i="13" s="1"/>
  <c r="AA27" i="13" s="1"/>
  <c r="AA28" i="13" s="1"/>
  <c r="AA29" i="13" s="1"/>
  <c r="AA30" i="13" s="1"/>
  <c r="AA31" i="13" s="1"/>
  <c r="AA32" i="13" s="1"/>
  <c r="AA33" i="13" s="1"/>
  <c r="AA34" i="13" s="1"/>
  <c r="AA35" i="13" s="1"/>
  <c r="AA36" i="13" s="1"/>
  <c r="AA37" i="13" s="1"/>
  <c r="AA38" i="13" s="1"/>
  <c r="AA39" i="13" s="1"/>
  <c r="AA40" i="13" s="1"/>
  <c r="AA41" i="13" s="1"/>
  <c r="AA42" i="13" s="1"/>
  <c r="AA43" i="13" s="1"/>
  <c r="AA44" i="13" s="1"/>
  <c r="BA23" i="13"/>
  <c r="BA43" i="13"/>
  <c r="M39" i="1"/>
  <c r="M44" i="1" s="1"/>
  <c r="M45" i="1" s="1"/>
  <c r="W14" i="53"/>
  <c r="W15" i="53" s="1"/>
  <c r="W16" i="53" s="1"/>
  <c r="W17" i="53" s="1"/>
  <c r="W18" i="53" s="1"/>
  <c r="W19" i="53" s="1"/>
  <c r="W20" i="53" s="1"/>
  <c r="W21" i="53" s="1"/>
  <c r="W22" i="53" s="1"/>
  <c r="W23" i="53" s="1"/>
  <c r="W24" i="53" s="1"/>
  <c r="W25" i="53" s="1"/>
  <c r="W26" i="53" s="1"/>
  <c r="W27" i="53" s="1"/>
  <c r="W28" i="53" s="1"/>
  <c r="W29" i="53" s="1"/>
  <c r="W30" i="53" s="1"/>
  <c r="W31" i="53" s="1"/>
  <c r="W32" i="53" s="1"/>
  <c r="W33" i="53" s="1"/>
  <c r="W34" i="53" s="1"/>
  <c r="W35" i="53" s="1"/>
  <c r="W36" i="53" s="1"/>
  <c r="W37" i="53" s="1"/>
  <c r="W38" i="53" s="1"/>
  <c r="W39" i="53" s="1"/>
  <c r="W40" i="53" s="1"/>
  <c r="W41" i="53" s="1"/>
  <c r="W42" i="53" s="1"/>
  <c r="W43" i="53" s="1"/>
  <c r="W44" i="53" s="1"/>
  <c r="AB14" i="52"/>
  <c r="AB15" i="52" s="1"/>
  <c r="AB16" i="52" s="1"/>
  <c r="AB17" i="52" s="1"/>
  <c r="AB18" i="52" s="1"/>
  <c r="AB19" i="52" s="1"/>
  <c r="AB20" i="52" s="1"/>
  <c r="AB21" i="52" s="1"/>
  <c r="AB22" i="52" s="1"/>
  <c r="AB23" i="52" s="1"/>
  <c r="AB24" i="52" s="1"/>
  <c r="AB25" i="52" s="1"/>
  <c r="AB26" i="52" s="1"/>
  <c r="AB27" i="52" s="1"/>
  <c r="AB28" i="52" s="1"/>
  <c r="AB29" i="52" s="1"/>
  <c r="AB30" i="52" s="1"/>
  <c r="AB31" i="52" s="1"/>
  <c r="AB32" i="52" s="1"/>
  <c r="AB33" i="52" s="1"/>
  <c r="AB34" i="52" s="1"/>
  <c r="AB35" i="52" s="1"/>
  <c r="AB36" i="52" s="1"/>
  <c r="AB37" i="52" s="1"/>
  <c r="AB38" i="52" s="1"/>
  <c r="AB39" i="52" s="1"/>
  <c r="AB40" i="52" s="1"/>
  <c r="AB41" i="52" s="1"/>
  <c r="AB42" i="52" s="1"/>
  <c r="AB43" i="52" s="1"/>
  <c r="AB44" i="52" s="1"/>
  <c r="AB14" i="51"/>
  <c r="AB15" i="51" s="1"/>
  <c r="AB16" i="51" s="1"/>
  <c r="AB17" i="51" s="1"/>
  <c r="AB18" i="51" s="1"/>
  <c r="AB19" i="51" s="1"/>
  <c r="AB20" i="51" s="1"/>
  <c r="AB21" i="51" s="1"/>
  <c r="AB22" i="51" s="1"/>
  <c r="AB23" i="51" s="1"/>
  <c r="AB24" i="51" s="1"/>
  <c r="AB25" i="51" s="1"/>
  <c r="AB26" i="51" s="1"/>
  <c r="AB27" i="51" s="1"/>
  <c r="AB28" i="51" s="1"/>
  <c r="AB29" i="51" s="1"/>
  <c r="AB30" i="51" s="1"/>
  <c r="AB31" i="51" s="1"/>
  <c r="AB32" i="51" s="1"/>
  <c r="AB33" i="51" s="1"/>
  <c r="AB34" i="51" s="1"/>
  <c r="AB35" i="51" s="1"/>
  <c r="AB36" i="51" s="1"/>
  <c r="AB37" i="51" s="1"/>
  <c r="AB38" i="51" s="1"/>
  <c r="AB39" i="51" s="1"/>
  <c r="AB40" i="51" s="1"/>
  <c r="AB41" i="51" s="1"/>
  <c r="AB42" i="51" s="1"/>
  <c r="AB43" i="51" s="1"/>
  <c r="AB44" i="51" s="1"/>
  <c r="Z14" i="13"/>
  <c r="Z15" i="13" s="1"/>
  <c r="Z16" i="13" s="1"/>
  <c r="Z17" i="13" s="1"/>
  <c r="Z18" i="13" s="1"/>
  <c r="Z19" i="13" s="1"/>
  <c r="Z20" i="13" s="1"/>
  <c r="Z21" i="13" s="1"/>
  <c r="Z22" i="13" s="1"/>
  <c r="Z23" i="13" s="1"/>
  <c r="Z24" i="13" s="1"/>
  <c r="Z25" i="13" s="1"/>
  <c r="Z26" i="13" s="1"/>
  <c r="Z27" i="13" s="1"/>
  <c r="Z28" i="13" s="1"/>
  <c r="Z29" i="13" s="1"/>
  <c r="Z30" i="13" s="1"/>
  <c r="Z31" i="13" s="1"/>
  <c r="Z32" i="13" s="1"/>
  <c r="Z33" i="13" s="1"/>
  <c r="Z34" i="13" s="1"/>
  <c r="Z35" i="13" s="1"/>
  <c r="Z36" i="13" s="1"/>
  <c r="Z37" i="13" s="1"/>
  <c r="Z38" i="13" s="1"/>
  <c r="Z39" i="13" s="1"/>
  <c r="Z40" i="13" s="1"/>
  <c r="Z41" i="13" s="1"/>
  <c r="Z42" i="13" s="1"/>
  <c r="Z43" i="13" s="1"/>
  <c r="Z44" i="13" s="1"/>
  <c r="BA42" i="53"/>
  <c r="BA38" i="53"/>
  <c r="BA34" i="53"/>
  <c r="BA17" i="53"/>
  <c r="BA44" i="53"/>
  <c r="BA36" i="53"/>
  <c r="BA28" i="53"/>
  <c r="BA42" i="52"/>
  <c r="BA38" i="52"/>
  <c r="BA34" i="52"/>
  <c r="BA26" i="52"/>
  <c r="BA22" i="52"/>
  <c r="BA14" i="52"/>
  <c r="BA33" i="52"/>
  <c r="BA17" i="52"/>
  <c r="BA24" i="52"/>
  <c r="BA21" i="13"/>
  <c r="BA12" i="13"/>
  <c r="BA18" i="13"/>
  <c r="BG12" i="56"/>
  <c r="BG41" i="56"/>
  <c r="BG37" i="56"/>
  <c r="BG33" i="56"/>
  <c r="BG25" i="56"/>
  <c r="BG21" i="56"/>
  <c r="BG17" i="56"/>
  <c r="BG13" i="56"/>
  <c r="BG19" i="56"/>
  <c r="BG44" i="56"/>
  <c r="BG40" i="56"/>
  <c r="BG36" i="56"/>
  <c r="BG32" i="56"/>
  <c r="BG28" i="56"/>
  <c r="BG24" i="56"/>
  <c r="BG20" i="56"/>
  <c r="BG16" i="56"/>
  <c r="BG35" i="56"/>
  <c r="BG42" i="56"/>
  <c r="BG38" i="56"/>
  <c r="BG34" i="56"/>
  <c r="BG30" i="56"/>
  <c r="BG26" i="56"/>
  <c r="BG22" i="56"/>
  <c r="BG18" i="56"/>
  <c r="BG14" i="56"/>
  <c r="BG43" i="56"/>
  <c r="BG39" i="56"/>
  <c r="BG31" i="56"/>
  <c r="BG27" i="56"/>
  <c r="BG23" i="56"/>
  <c r="BG15" i="56"/>
  <c r="H4" i="56"/>
  <c r="CB11" i="15"/>
  <c r="CB12" i="15" s="1"/>
  <c r="CB13" i="15" s="1"/>
  <c r="CB14" i="15" s="1"/>
  <c r="CB15" i="15" s="1"/>
  <c r="CB16" i="15" s="1"/>
  <c r="CB17" i="15" s="1"/>
  <c r="CB18" i="15" s="1"/>
  <c r="CB19" i="15" s="1"/>
  <c r="CB20" i="15" s="1"/>
  <c r="CB21" i="15" s="1"/>
  <c r="CB22" i="15" s="1"/>
  <c r="CB23" i="15" s="1"/>
  <c r="CB24" i="15" s="1"/>
  <c r="CB25" i="15" s="1"/>
  <c r="CB26" i="15" s="1"/>
  <c r="CB27" i="15" s="1"/>
  <c r="CB28" i="15" s="1"/>
  <c r="CB29" i="15" s="1"/>
  <c r="CB30" i="15" s="1"/>
  <c r="CB31" i="15" s="1"/>
  <c r="CB32" i="15" s="1"/>
  <c r="CB33" i="15" s="1"/>
  <c r="CB34" i="15" s="1"/>
  <c r="CB35" i="15" s="1"/>
  <c r="CB36" i="15" s="1"/>
  <c r="CB37" i="15" s="1"/>
  <c r="CB38" i="15" s="1"/>
  <c r="CB39" i="15" s="1"/>
  <c r="CB40" i="15" s="1"/>
  <c r="CB41" i="15" s="1"/>
  <c r="CB42" i="15" s="1"/>
  <c r="CB43" i="15" s="1"/>
  <c r="CB44" i="15" s="1"/>
  <c r="F4" i="56"/>
  <c r="G12" i="56"/>
  <c r="AH13" i="56"/>
  <c r="AH14" i="56" s="1"/>
  <c r="AH15" i="56" s="1"/>
  <c r="AH16" i="56" s="1"/>
  <c r="AH17" i="56" s="1"/>
  <c r="AH18" i="56" s="1"/>
  <c r="AH19" i="56" s="1"/>
  <c r="AH20" i="56" s="1"/>
  <c r="AH21" i="56" s="1"/>
  <c r="AH22" i="56" s="1"/>
  <c r="AH23" i="56" s="1"/>
  <c r="AH24" i="56" s="1"/>
  <c r="AH25" i="56" s="1"/>
  <c r="AH26" i="56" s="1"/>
  <c r="AH27" i="56" s="1"/>
  <c r="AH28" i="56" s="1"/>
  <c r="AH29" i="56" s="1"/>
  <c r="AH30" i="56" s="1"/>
  <c r="AH31" i="56" s="1"/>
  <c r="AH32" i="56" s="1"/>
  <c r="AH33" i="56" s="1"/>
  <c r="AH34" i="56" s="1"/>
  <c r="AH35" i="56" s="1"/>
  <c r="AH36" i="56" s="1"/>
  <c r="AH37" i="56" s="1"/>
  <c r="AH38" i="56" s="1"/>
  <c r="AH39" i="56" s="1"/>
  <c r="AH40" i="56" s="1"/>
  <c r="AH41" i="56" s="1"/>
  <c r="AH42" i="56" s="1"/>
  <c r="AH43" i="56" s="1"/>
  <c r="AH44" i="56" s="1"/>
  <c r="G44" i="56"/>
  <c r="G42" i="56"/>
  <c r="G40" i="56"/>
  <c r="G36" i="56"/>
  <c r="G34" i="56"/>
  <c r="G32" i="56"/>
  <c r="G28" i="56"/>
  <c r="G26" i="56"/>
  <c r="G24" i="56"/>
  <c r="G22" i="56"/>
  <c r="G20" i="56"/>
  <c r="G18" i="56"/>
  <c r="G16" i="56"/>
  <c r="G14" i="56"/>
  <c r="W12" i="56"/>
  <c r="W13" i="56" s="1"/>
  <c r="W14" i="56" s="1"/>
  <c r="W15" i="56" s="1"/>
  <c r="W16" i="56" s="1"/>
  <c r="W17" i="56" s="1"/>
  <c r="W18" i="56" s="1"/>
  <c r="W19" i="56" s="1"/>
  <c r="W20" i="56" s="1"/>
  <c r="W21" i="56" s="1"/>
  <c r="W22" i="56" s="1"/>
  <c r="W23" i="56" s="1"/>
  <c r="W24" i="56" s="1"/>
  <c r="W25" i="56" s="1"/>
  <c r="W26" i="56" s="1"/>
  <c r="W27" i="56" s="1"/>
  <c r="W28" i="56" s="1"/>
  <c r="W29" i="56" s="1"/>
  <c r="W30" i="56" s="1"/>
  <c r="W31" i="56" s="1"/>
  <c r="W32" i="56" s="1"/>
  <c r="W33" i="56" s="1"/>
  <c r="W34" i="56" s="1"/>
  <c r="W35" i="56" s="1"/>
  <c r="W36" i="56" s="1"/>
  <c r="W37" i="56" s="1"/>
  <c r="W38" i="56" s="1"/>
  <c r="W39" i="56" s="1"/>
  <c r="W40" i="56" s="1"/>
  <c r="W41" i="56" s="1"/>
  <c r="W42" i="56" s="1"/>
  <c r="W43" i="56" s="1"/>
  <c r="W44" i="56" s="1"/>
  <c r="AC12" i="56"/>
  <c r="AC13" i="56" s="1"/>
  <c r="AC14" i="56" s="1"/>
  <c r="AC15" i="56" s="1"/>
  <c r="AC16" i="56" s="1"/>
  <c r="AC17" i="56" s="1"/>
  <c r="AC18" i="56" s="1"/>
  <c r="AC19" i="56" s="1"/>
  <c r="AC20" i="56" s="1"/>
  <c r="AC21" i="56" s="1"/>
  <c r="AC22" i="56" s="1"/>
  <c r="AC23" i="56" s="1"/>
  <c r="AC24" i="56" s="1"/>
  <c r="AC25" i="56" s="1"/>
  <c r="AC26" i="56" s="1"/>
  <c r="AC27" i="56" s="1"/>
  <c r="AC28" i="56" s="1"/>
  <c r="AC29" i="56" s="1"/>
  <c r="AC30" i="56" s="1"/>
  <c r="AC31" i="56" s="1"/>
  <c r="AC32" i="56" s="1"/>
  <c r="AC33" i="56" s="1"/>
  <c r="AC34" i="56" s="1"/>
  <c r="AC35" i="56" s="1"/>
  <c r="AC36" i="56" s="1"/>
  <c r="AC37" i="56" s="1"/>
  <c r="AC38" i="56" s="1"/>
  <c r="AC39" i="56" s="1"/>
  <c r="AC40" i="56" s="1"/>
  <c r="AC41" i="56" s="1"/>
  <c r="AC42" i="56" s="1"/>
  <c r="AC43" i="56" s="1"/>
  <c r="AC44" i="56" s="1"/>
  <c r="AF12" i="56"/>
  <c r="P13" i="56"/>
  <c r="AG12" i="56"/>
  <c r="AK12" i="56"/>
  <c r="AK13" i="56" s="1"/>
  <c r="AK14" i="56" s="1"/>
  <c r="AK15" i="56" s="1"/>
  <c r="AK16" i="56" s="1"/>
  <c r="AK17" i="56" s="1"/>
  <c r="AK18" i="56" s="1"/>
  <c r="AK19" i="56" s="1"/>
  <c r="AK20" i="56" s="1"/>
  <c r="AK21" i="56" s="1"/>
  <c r="AK22" i="56" s="1"/>
  <c r="AK23" i="56" s="1"/>
  <c r="AK24" i="56" s="1"/>
  <c r="AK25" i="56" s="1"/>
  <c r="AK26" i="56" s="1"/>
  <c r="AK27" i="56" s="1"/>
  <c r="AK28" i="56" s="1"/>
  <c r="AK29" i="56" s="1"/>
  <c r="AK30" i="56" s="1"/>
  <c r="AK31" i="56" s="1"/>
  <c r="AK32" i="56" s="1"/>
  <c r="AK33" i="56" s="1"/>
  <c r="AK34" i="56" s="1"/>
  <c r="AK35" i="56" s="1"/>
  <c r="AK36" i="56" s="1"/>
  <c r="AK37" i="56" s="1"/>
  <c r="AK38" i="56" s="1"/>
  <c r="AK39" i="56" s="1"/>
  <c r="AK40" i="56" s="1"/>
  <c r="AK41" i="56" s="1"/>
  <c r="AK42" i="56" s="1"/>
  <c r="AK43" i="56" s="1"/>
  <c r="AK44" i="56" s="1"/>
  <c r="AJ12" i="56"/>
  <c r="AJ13" i="56" s="1"/>
  <c r="AJ14" i="56" s="1"/>
  <c r="AJ15" i="56" s="1"/>
  <c r="AJ16" i="56" s="1"/>
  <c r="AJ17" i="56" s="1"/>
  <c r="AJ18" i="56" s="1"/>
  <c r="AJ19" i="56" s="1"/>
  <c r="AJ20" i="56" s="1"/>
  <c r="AJ21" i="56" s="1"/>
  <c r="AJ22" i="56" s="1"/>
  <c r="AJ23" i="56" s="1"/>
  <c r="AJ24" i="56" s="1"/>
  <c r="AJ25" i="56" s="1"/>
  <c r="AJ26" i="56" s="1"/>
  <c r="AJ27" i="56" s="1"/>
  <c r="AJ28" i="56" s="1"/>
  <c r="AJ29" i="56" s="1"/>
  <c r="AJ30" i="56" s="1"/>
  <c r="AJ31" i="56" s="1"/>
  <c r="AJ32" i="56" s="1"/>
  <c r="AJ33" i="56" s="1"/>
  <c r="AJ34" i="56" s="1"/>
  <c r="AJ35" i="56" s="1"/>
  <c r="AJ36" i="56" s="1"/>
  <c r="AJ37" i="56" s="1"/>
  <c r="AJ38" i="56" s="1"/>
  <c r="AJ39" i="56" s="1"/>
  <c r="AJ40" i="56" s="1"/>
  <c r="AJ41" i="56" s="1"/>
  <c r="AJ42" i="56" s="1"/>
  <c r="AJ43" i="56" s="1"/>
  <c r="AJ44" i="56" s="1"/>
  <c r="AI12" i="56"/>
  <c r="AL12" i="56"/>
  <c r="AL13" i="56" s="1"/>
  <c r="AL14" i="56" s="1"/>
  <c r="AL15" i="56" s="1"/>
  <c r="AL16" i="56" s="1"/>
  <c r="AL17" i="56" s="1"/>
  <c r="AL18" i="56" s="1"/>
  <c r="AL19" i="56" s="1"/>
  <c r="AL20" i="56" s="1"/>
  <c r="AL21" i="56" s="1"/>
  <c r="AL22" i="56" s="1"/>
  <c r="AL23" i="56" s="1"/>
  <c r="AL24" i="56" s="1"/>
  <c r="AL25" i="56" s="1"/>
  <c r="AL26" i="56" s="1"/>
  <c r="AL27" i="56" s="1"/>
  <c r="AL28" i="56" s="1"/>
  <c r="AL29" i="56" s="1"/>
  <c r="AL30" i="56" s="1"/>
  <c r="AL31" i="56" s="1"/>
  <c r="AL32" i="56" s="1"/>
  <c r="AL33" i="56" s="1"/>
  <c r="AL34" i="56" s="1"/>
  <c r="AL35" i="56" s="1"/>
  <c r="AL36" i="56" s="1"/>
  <c r="AL37" i="56" s="1"/>
  <c r="AL38" i="56" s="1"/>
  <c r="AL39" i="56" s="1"/>
  <c r="AL40" i="56" s="1"/>
  <c r="AL41" i="56" s="1"/>
  <c r="AL42" i="56" s="1"/>
  <c r="AL43" i="56" s="1"/>
  <c r="AL44" i="56" s="1"/>
  <c r="AB12" i="56"/>
  <c r="AB13" i="56" s="1"/>
  <c r="AB14" i="56" s="1"/>
  <c r="AB15" i="56" s="1"/>
  <c r="AB16" i="56" s="1"/>
  <c r="AB17" i="56" s="1"/>
  <c r="AB18" i="56" s="1"/>
  <c r="AB19" i="56" s="1"/>
  <c r="AB20" i="56" s="1"/>
  <c r="AB21" i="56" s="1"/>
  <c r="AB22" i="56" s="1"/>
  <c r="AB23" i="56" s="1"/>
  <c r="AB24" i="56" s="1"/>
  <c r="AB25" i="56" s="1"/>
  <c r="AB26" i="56" s="1"/>
  <c r="AB27" i="56" s="1"/>
  <c r="AB28" i="56" s="1"/>
  <c r="AB29" i="56" s="1"/>
  <c r="AB30" i="56" s="1"/>
  <c r="AB31" i="56" s="1"/>
  <c r="AB32" i="56" s="1"/>
  <c r="AB33" i="56" s="1"/>
  <c r="AB34" i="56" s="1"/>
  <c r="AB35" i="56" s="1"/>
  <c r="AB36" i="56" s="1"/>
  <c r="AB37" i="56" s="1"/>
  <c r="AB38" i="56" s="1"/>
  <c r="AB39" i="56" s="1"/>
  <c r="AB40" i="56" s="1"/>
  <c r="AB41" i="56" s="1"/>
  <c r="AB42" i="56" s="1"/>
  <c r="AB43" i="56" s="1"/>
  <c r="AB44" i="56" s="1"/>
  <c r="BA39" i="52"/>
  <c r="BA35" i="52"/>
  <c r="BA27" i="52"/>
  <c r="BA19" i="52"/>
  <c r="BA16" i="13"/>
  <c r="BA44" i="13"/>
  <c r="N27" i="32"/>
  <c r="BA21" i="52"/>
  <c r="BA42" i="13"/>
  <c r="N29" i="45"/>
  <c r="O29" i="45" s="1"/>
  <c r="O35" i="45" s="1"/>
  <c r="BA30" i="13"/>
  <c r="BA22" i="13"/>
  <c r="BA37" i="13"/>
  <c r="BA33" i="13"/>
  <c r="BA32" i="13"/>
  <c r="BA29" i="13"/>
  <c r="BA14" i="13"/>
  <c r="BA19" i="53"/>
  <c r="BA28" i="52"/>
  <c r="BA18" i="53"/>
  <c r="BA19" i="13"/>
  <c r="BA24" i="53"/>
  <c r="BA27" i="13"/>
  <c r="BA20" i="53"/>
  <c r="BA18" i="52"/>
  <c r="BA38" i="13"/>
  <c r="BA25" i="52"/>
  <c r="BA26" i="13"/>
  <c r="BA32" i="52"/>
  <c r="BA35" i="13"/>
  <c r="BA13" i="13"/>
  <c r="BA17" i="13"/>
  <c r="BA34" i="13"/>
  <c r="BA25" i="13"/>
  <c r="BA40" i="53"/>
  <c r="BA41" i="13"/>
  <c r="BA40" i="13"/>
  <c r="BA23" i="53"/>
  <c r="BA30" i="53"/>
  <c r="N10" i="32"/>
  <c r="N10" i="45"/>
  <c r="N10" i="46"/>
  <c r="N10" i="48"/>
  <c r="N10" i="41"/>
  <c r="BA36" i="13"/>
  <c r="BA24" i="13"/>
  <c r="N8" i="41"/>
  <c r="BA28" i="13"/>
  <c r="O35" i="48"/>
  <c r="BA31" i="52"/>
  <c r="BA26" i="53"/>
  <c r="O35" i="32"/>
  <c r="BA20" i="52"/>
  <c r="BA22" i="53"/>
  <c r="BA20" i="13"/>
  <c r="BA30" i="52"/>
  <c r="BA25" i="53"/>
  <c r="BA39" i="13"/>
  <c r="BA37" i="52"/>
  <c r="BA23" i="52"/>
  <c r="BA31" i="13"/>
  <c r="BA31" i="53"/>
  <c r="N10" i="1"/>
  <c r="O35" i="1"/>
  <c r="CL18" i="15"/>
  <c r="CL19" i="15" s="1"/>
  <c r="CL20" i="15" s="1"/>
  <c r="CL21" i="15" s="1"/>
  <c r="CL22" i="15" s="1"/>
  <c r="CL23" i="15" s="1"/>
  <c r="CL24" i="15" s="1"/>
  <c r="CL25" i="15" s="1"/>
  <c r="CL26" i="15" s="1"/>
  <c r="CL27" i="15" s="1"/>
  <c r="CL28" i="15" s="1"/>
  <c r="CL29" i="15" s="1"/>
  <c r="CL30" i="15" s="1"/>
  <c r="CL31" i="15" s="1"/>
  <c r="CL32" i="15" s="1"/>
  <c r="CL33" i="15" s="1"/>
  <c r="CL34" i="15" s="1"/>
  <c r="CL35" i="15" s="1"/>
  <c r="CL36" i="15" s="1"/>
  <c r="CL37" i="15" s="1"/>
  <c r="CL38" i="15" s="1"/>
  <c r="CL39" i="15" s="1"/>
  <c r="CL40" i="15" s="1"/>
  <c r="CL41" i="15" s="1"/>
  <c r="CL42" i="15" s="1"/>
  <c r="CL43" i="15" s="1"/>
  <c r="CL44" i="15" s="1"/>
  <c r="CN10" i="15"/>
  <c r="DF18" i="15"/>
  <c r="DF19" i="15" s="1"/>
  <c r="DF20" i="15" s="1"/>
  <c r="DF21" i="15" s="1"/>
  <c r="DF22" i="15" s="1"/>
  <c r="DF23" i="15" s="1"/>
  <c r="DF24" i="15" s="1"/>
  <c r="DF25" i="15" s="1"/>
  <c r="DF26" i="15" s="1"/>
  <c r="DF27" i="15" s="1"/>
  <c r="DF28" i="15" s="1"/>
  <c r="DF29" i="15" s="1"/>
  <c r="DF30" i="15" s="1"/>
  <c r="DF31" i="15" s="1"/>
  <c r="DF32" i="15" s="1"/>
  <c r="DF33" i="15" s="1"/>
  <c r="DF34" i="15" s="1"/>
  <c r="DF35" i="15" s="1"/>
  <c r="DF36" i="15" s="1"/>
  <c r="DF37" i="15" s="1"/>
  <c r="DF38" i="15" s="1"/>
  <c r="DF39" i="15" s="1"/>
  <c r="DF40" i="15" s="1"/>
  <c r="DF41" i="15" s="1"/>
  <c r="DF42" i="15" s="1"/>
  <c r="DF43" i="15" s="1"/>
  <c r="DF44" i="15" s="1"/>
  <c r="DM10" i="15"/>
  <c r="DL10" i="15"/>
  <c r="DK11" i="15" s="1"/>
  <c r="G34" i="52" l="1"/>
  <c r="G17" i="52"/>
  <c r="G19" i="52"/>
  <c r="I19" i="52" s="1"/>
  <c r="G31" i="46"/>
  <c r="G27" i="51" s="1"/>
  <c r="I27" i="51" s="1"/>
  <c r="G32" i="52"/>
  <c r="I32" i="52" s="1"/>
  <c r="G13" i="52"/>
  <c r="I13" i="52" s="1"/>
  <c r="G33" i="52"/>
  <c r="G26" i="52"/>
  <c r="G12" i="52"/>
  <c r="I12" i="52" s="1"/>
  <c r="M12" i="52" s="1"/>
  <c r="G23" i="52"/>
  <c r="I23" i="52" s="1"/>
  <c r="G16" i="52"/>
  <c r="I16" i="52" s="1"/>
  <c r="G18" i="52"/>
  <c r="G35" i="52"/>
  <c r="I35" i="52" s="1"/>
  <c r="G20" i="52"/>
  <c r="I20" i="52" s="1"/>
  <c r="G22" i="52"/>
  <c r="I22" i="52" s="1"/>
  <c r="G30" i="52"/>
  <c r="I30" i="52" s="1"/>
  <c r="G31" i="52"/>
  <c r="I31" i="52" s="1"/>
  <c r="G15" i="52"/>
  <c r="I15" i="52" s="1"/>
  <c r="G29" i="52"/>
  <c r="I29" i="52" s="1"/>
  <c r="G21" i="52"/>
  <c r="G27" i="52"/>
  <c r="I27" i="52" s="1"/>
  <c r="G25" i="52"/>
  <c r="I25" i="52" s="1"/>
  <c r="G14" i="52"/>
  <c r="I14" i="52" s="1"/>
  <c r="N14" i="52" s="1"/>
  <c r="G24" i="52"/>
  <c r="I24" i="52" s="1"/>
  <c r="G28" i="52"/>
  <c r="I28" i="52" s="1"/>
  <c r="G36" i="52"/>
  <c r="I36" i="52" s="1"/>
  <c r="G29" i="48"/>
  <c r="O17" i="48" s="1"/>
  <c r="AA12" i="53" s="1"/>
  <c r="AA13" i="53" s="1"/>
  <c r="AA14" i="53" s="1"/>
  <c r="AA15" i="53" s="1"/>
  <c r="AA16" i="53" s="1"/>
  <c r="AA17" i="53" s="1"/>
  <c r="AA18" i="53" s="1"/>
  <c r="AA19" i="53" s="1"/>
  <c r="AA20" i="53" s="1"/>
  <c r="AA21" i="53" s="1"/>
  <c r="AA22" i="53" s="1"/>
  <c r="AA23" i="53" s="1"/>
  <c r="AA24" i="53" s="1"/>
  <c r="AA25" i="53" s="1"/>
  <c r="AA26" i="53" s="1"/>
  <c r="AA27" i="53" s="1"/>
  <c r="AA28" i="53" s="1"/>
  <c r="AA29" i="53" s="1"/>
  <c r="AA30" i="53" s="1"/>
  <c r="AA31" i="53" s="1"/>
  <c r="AA32" i="53" s="1"/>
  <c r="AA33" i="53" s="1"/>
  <c r="AA34" i="53" s="1"/>
  <c r="AA35" i="53" s="1"/>
  <c r="AA36" i="53" s="1"/>
  <c r="AA37" i="53" s="1"/>
  <c r="AA38" i="53" s="1"/>
  <c r="AA39" i="53" s="1"/>
  <c r="AA40" i="53" s="1"/>
  <c r="AA41" i="53" s="1"/>
  <c r="AA42" i="53" s="1"/>
  <c r="AA43" i="53" s="1"/>
  <c r="AA44" i="53" s="1"/>
  <c r="C46" i="48"/>
  <c r="C47" i="48" s="1"/>
  <c r="C48" i="48" s="1"/>
  <c r="G31" i="45"/>
  <c r="G12" i="50" s="1"/>
  <c r="C29" i="32"/>
  <c r="O9" i="32" s="1"/>
  <c r="S12" i="52" s="1"/>
  <c r="S13" i="52" s="1"/>
  <c r="S14" i="52" s="1"/>
  <c r="S15" i="52" s="1"/>
  <c r="S16" i="52" s="1"/>
  <c r="S17" i="52" s="1"/>
  <c r="S18" i="52" s="1"/>
  <c r="S19" i="52" s="1"/>
  <c r="S20" i="52" s="1"/>
  <c r="S21" i="52" s="1"/>
  <c r="S22" i="52" s="1"/>
  <c r="S23" i="52" s="1"/>
  <c r="S24" i="52" s="1"/>
  <c r="S25" i="52" s="1"/>
  <c r="S26" i="52" s="1"/>
  <c r="S27" i="52" s="1"/>
  <c r="S28" i="52" s="1"/>
  <c r="S29" i="52" s="1"/>
  <c r="S30" i="52" s="1"/>
  <c r="S31" i="52" s="1"/>
  <c r="S32" i="52" s="1"/>
  <c r="S33" i="52" s="1"/>
  <c r="S34" i="52" s="1"/>
  <c r="S35" i="52" s="1"/>
  <c r="S36" i="52" s="1"/>
  <c r="S37" i="52" s="1"/>
  <c r="S38" i="52" s="1"/>
  <c r="S39" i="52" s="1"/>
  <c r="S40" i="52" s="1"/>
  <c r="S41" i="52" s="1"/>
  <c r="S42" i="52" s="1"/>
  <c r="S43" i="52" s="1"/>
  <c r="S44" i="52" s="1"/>
  <c r="G14" i="46"/>
  <c r="BI11" i="51" s="1"/>
  <c r="BH12" i="51" s="1"/>
  <c r="I40" i="52"/>
  <c r="G16" i="46"/>
  <c r="G14" i="1"/>
  <c r="P8" i="15" s="1"/>
  <c r="O9" i="15" s="1"/>
  <c r="P9" i="15" s="1"/>
  <c r="O10" i="15" s="1"/>
  <c r="AV11" i="13"/>
  <c r="AW11" i="13" s="1"/>
  <c r="G15" i="1"/>
  <c r="BP11" i="13" s="1"/>
  <c r="O35" i="46"/>
  <c r="O11" i="46"/>
  <c r="U12" i="51" s="1"/>
  <c r="U13" i="51" s="1"/>
  <c r="U14" i="51" s="1"/>
  <c r="U15" i="51" s="1"/>
  <c r="U16" i="51" s="1"/>
  <c r="U17" i="51" s="1"/>
  <c r="U18" i="51" s="1"/>
  <c r="U19" i="51" s="1"/>
  <c r="U20" i="51" s="1"/>
  <c r="U21" i="51" s="1"/>
  <c r="U22" i="51" s="1"/>
  <c r="U23" i="51" s="1"/>
  <c r="U24" i="51" s="1"/>
  <c r="U25" i="51" s="1"/>
  <c r="U26" i="51" s="1"/>
  <c r="U27" i="51" s="1"/>
  <c r="U28" i="51" s="1"/>
  <c r="U29" i="51" s="1"/>
  <c r="U30" i="51" s="1"/>
  <c r="U31" i="51" s="1"/>
  <c r="U32" i="51" s="1"/>
  <c r="U33" i="51" s="1"/>
  <c r="U34" i="51" s="1"/>
  <c r="U35" i="51" s="1"/>
  <c r="U36" i="51" s="1"/>
  <c r="U37" i="51" s="1"/>
  <c r="U38" i="51" s="1"/>
  <c r="U39" i="51" s="1"/>
  <c r="U40" i="51" s="1"/>
  <c r="U41" i="51" s="1"/>
  <c r="U42" i="51" s="1"/>
  <c r="U43" i="51" s="1"/>
  <c r="U44" i="51" s="1"/>
  <c r="O8" i="62"/>
  <c r="O19" i="62" s="1"/>
  <c r="O22" i="62" s="1"/>
  <c r="O14" i="62"/>
  <c r="O17" i="62"/>
  <c r="G15" i="46"/>
  <c r="BP11" i="51" s="1"/>
  <c r="AB14" i="48"/>
  <c r="G15" i="48"/>
  <c r="AA14" i="48"/>
  <c r="Y14" i="48"/>
  <c r="Z14" i="48"/>
  <c r="AD14" i="48"/>
  <c r="AE14" i="48"/>
  <c r="AC14" i="48"/>
  <c r="O10" i="46"/>
  <c r="T12" i="51" s="1"/>
  <c r="T13" i="51" s="1"/>
  <c r="T14" i="51" s="1"/>
  <c r="T15" i="51" s="1"/>
  <c r="T16" i="51" s="1"/>
  <c r="T17" i="51" s="1"/>
  <c r="T18" i="51" s="1"/>
  <c r="T19" i="51" s="1"/>
  <c r="T20" i="51" s="1"/>
  <c r="T21" i="51" s="1"/>
  <c r="T22" i="51" s="1"/>
  <c r="T23" i="51" s="1"/>
  <c r="T24" i="51" s="1"/>
  <c r="T25" i="51" s="1"/>
  <c r="T26" i="51" s="1"/>
  <c r="T27" i="51" s="1"/>
  <c r="T28" i="51" s="1"/>
  <c r="T29" i="51" s="1"/>
  <c r="T30" i="51" s="1"/>
  <c r="T31" i="51" s="1"/>
  <c r="T32" i="51" s="1"/>
  <c r="T33" i="51" s="1"/>
  <c r="T34" i="51" s="1"/>
  <c r="T35" i="51" s="1"/>
  <c r="T36" i="51" s="1"/>
  <c r="T37" i="51" s="1"/>
  <c r="T38" i="51" s="1"/>
  <c r="T39" i="51" s="1"/>
  <c r="T40" i="51" s="1"/>
  <c r="T41" i="51" s="1"/>
  <c r="T42" i="51" s="1"/>
  <c r="T43" i="51" s="1"/>
  <c r="T44" i="51" s="1"/>
  <c r="O9" i="41"/>
  <c r="Y12" i="56" s="1"/>
  <c r="Y13" i="56" s="1"/>
  <c r="Y14" i="56" s="1"/>
  <c r="Y15" i="56" s="1"/>
  <c r="Y16" i="56" s="1"/>
  <c r="Y17" i="56" s="1"/>
  <c r="Y18" i="56" s="1"/>
  <c r="Y19" i="56" s="1"/>
  <c r="Y20" i="56" s="1"/>
  <c r="Y21" i="56" s="1"/>
  <c r="Y22" i="56" s="1"/>
  <c r="Y23" i="56" s="1"/>
  <c r="Y24" i="56" s="1"/>
  <c r="Y25" i="56" s="1"/>
  <c r="Y26" i="56" s="1"/>
  <c r="Y27" i="56" s="1"/>
  <c r="Y28" i="56" s="1"/>
  <c r="Y29" i="56" s="1"/>
  <c r="Y30" i="56" s="1"/>
  <c r="Y31" i="56" s="1"/>
  <c r="Y32" i="56" s="1"/>
  <c r="Y33" i="56" s="1"/>
  <c r="Y34" i="56" s="1"/>
  <c r="Y35" i="56" s="1"/>
  <c r="Y36" i="56" s="1"/>
  <c r="Y37" i="56" s="1"/>
  <c r="Y38" i="56" s="1"/>
  <c r="Y39" i="56" s="1"/>
  <c r="Y40" i="56" s="1"/>
  <c r="Y41" i="56" s="1"/>
  <c r="Y42" i="56" s="1"/>
  <c r="Y43" i="56" s="1"/>
  <c r="Y44" i="56" s="1"/>
  <c r="O11" i="48"/>
  <c r="U12" i="53" s="1"/>
  <c r="U13" i="53" s="1"/>
  <c r="U14" i="53" s="1"/>
  <c r="U15" i="53" s="1"/>
  <c r="U16" i="53" s="1"/>
  <c r="U17" i="53" s="1"/>
  <c r="U18" i="53" s="1"/>
  <c r="U19" i="53" s="1"/>
  <c r="U20" i="53" s="1"/>
  <c r="U21" i="53" s="1"/>
  <c r="U22" i="53" s="1"/>
  <c r="U23" i="53" s="1"/>
  <c r="U24" i="53" s="1"/>
  <c r="U25" i="53" s="1"/>
  <c r="U26" i="53" s="1"/>
  <c r="U27" i="53" s="1"/>
  <c r="U28" i="53" s="1"/>
  <c r="U29" i="53" s="1"/>
  <c r="U30" i="53" s="1"/>
  <c r="U31" i="53" s="1"/>
  <c r="U32" i="53" s="1"/>
  <c r="U33" i="53" s="1"/>
  <c r="U34" i="53" s="1"/>
  <c r="U35" i="53" s="1"/>
  <c r="U36" i="53" s="1"/>
  <c r="U37" i="53" s="1"/>
  <c r="U38" i="53" s="1"/>
  <c r="U39" i="53" s="1"/>
  <c r="U40" i="53" s="1"/>
  <c r="U41" i="53" s="1"/>
  <c r="U42" i="53" s="1"/>
  <c r="U43" i="53" s="1"/>
  <c r="U44" i="53" s="1"/>
  <c r="AV11" i="51"/>
  <c r="AV9" i="51" s="1"/>
  <c r="O10" i="1"/>
  <c r="T12" i="13" s="1"/>
  <c r="T13" i="13" s="1"/>
  <c r="T14" i="13" s="1"/>
  <c r="T15" i="13" s="1"/>
  <c r="T16" i="13" s="1"/>
  <c r="T17" i="13" s="1"/>
  <c r="T18" i="13" s="1"/>
  <c r="T19" i="13" s="1"/>
  <c r="T20" i="13" s="1"/>
  <c r="T21" i="13" s="1"/>
  <c r="T22" i="13" s="1"/>
  <c r="T23" i="13" s="1"/>
  <c r="T24" i="13" s="1"/>
  <c r="T25" i="13" s="1"/>
  <c r="T26" i="13" s="1"/>
  <c r="T27" i="13" s="1"/>
  <c r="T28" i="13" s="1"/>
  <c r="T29" i="13" s="1"/>
  <c r="T30" i="13" s="1"/>
  <c r="T31" i="13" s="1"/>
  <c r="T32" i="13" s="1"/>
  <c r="T33" i="13" s="1"/>
  <c r="T34" i="13" s="1"/>
  <c r="T35" i="13" s="1"/>
  <c r="T36" i="13" s="1"/>
  <c r="T37" i="13" s="1"/>
  <c r="T38" i="13" s="1"/>
  <c r="T39" i="13" s="1"/>
  <c r="T40" i="13" s="1"/>
  <c r="T41" i="13" s="1"/>
  <c r="T42" i="13" s="1"/>
  <c r="T43" i="13" s="1"/>
  <c r="T44" i="13" s="1"/>
  <c r="O10" i="48"/>
  <c r="T12" i="53" s="1"/>
  <c r="T13" i="53" s="1"/>
  <c r="T14" i="53" s="1"/>
  <c r="T15" i="53" s="1"/>
  <c r="T16" i="53" s="1"/>
  <c r="T17" i="53" s="1"/>
  <c r="T18" i="53" s="1"/>
  <c r="T19" i="53" s="1"/>
  <c r="T20" i="53" s="1"/>
  <c r="T21" i="53" s="1"/>
  <c r="T22" i="53" s="1"/>
  <c r="T23" i="53" s="1"/>
  <c r="T24" i="53" s="1"/>
  <c r="T25" i="53" s="1"/>
  <c r="T26" i="53" s="1"/>
  <c r="T27" i="53" s="1"/>
  <c r="T28" i="53" s="1"/>
  <c r="T29" i="53" s="1"/>
  <c r="T30" i="53" s="1"/>
  <c r="T31" i="53" s="1"/>
  <c r="T32" i="53" s="1"/>
  <c r="T33" i="53" s="1"/>
  <c r="T34" i="53" s="1"/>
  <c r="T35" i="53" s="1"/>
  <c r="T36" i="53" s="1"/>
  <c r="T37" i="53" s="1"/>
  <c r="T38" i="53" s="1"/>
  <c r="T39" i="53" s="1"/>
  <c r="T40" i="53" s="1"/>
  <c r="T41" i="53" s="1"/>
  <c r="T42" i="53" s="1"/>
  <c r="T43" i="53" s="1"/>
  <c r="T44" i="53" s="1"/>
  <c r="Z14" i="41"/>
  <c r="AA14" i="41"/>
  <c r="O11" i="1"/>
  <c r="U12" i="13" s="1"/>
  <c r="U13" i="13" s="1"/>
  <c r="U14" i="13" s="1"/>
  <c r="U15" i="13" s="1"/>
  <c r="U16" i="13" s="1"/>
  <c r="U17" i="13" s="1"/>
  <c r="U18" i="13" s="1"/>
  <c r="U19" i="13" s="1"/>
  <c r="U20" i="13" s="1"/>
  <c r="U21" i="13" s="1"/>
  <c r="U22" i="13" s="1"/>
  <c r="U23" i="13" s="1"/>
  <c r="U24" i="13" s="1"/>
  <c r="U25" i="13" s="1"/>
  <c r="U26" i="13" s="1"/>
  <c r="U27" i="13" s="1"/>
  <c r="U28" i="13" s="1"/>
  <c r="U29" i="13" s="1"/>
  <c r="U30" i="13" s="1"/>
  <c r="U31" i="13" s="1"/>
  <c r="U32" i="13" s="1"/>
  <c r="U33" i="13" s="1"/>
  <c r="U34" i="13" s="1"/>
  <c r="U35" i="13" s="1"/>
  <c r="U36" i="13" s="1"/>
  <c r="U37" i="13" s="1"/>
  <c r="U38" i="13" s="1"/>
  <c r="U39" i="13" s="1"/>
  <c r="U40" i="13" s="1"/>
  <c r="U41" i="13" s="1"/>
  <c r="U42" i="13" s="1"/>
  <c r="U43" i="13" s="1"/>
  <c r="U44" i="13" s="1"/>
  <c r="AB14" i="41"/>
  <c r="O9" i="1"/>
  <c r="S12" i="13" s="1"/>
  <c r="S13" i="13" s="1"/>
  <c r="S14" i="13" s="1"/>
  <c r="S15" i="13" s="1"/>
  <c r="S16" i="13" s="1"/>
  <c r="S17" i="13" s="1"/>
  <c r="S18" i="13" s="1"/>
  <c r="S19" i="13" s="1"/>
  <c r="S20" i="13" s="1"/>
  <c r="S21" i="13" s="1"/>
  <c r="S22" i="13" s="1"/>
  <c r="S23" i="13" s="1"/>
  <c r="S24" i="13" s="1"/>
  <c r="S25" i="13" s="1"/>
  <c r="S26" i="13" s="1"/>
  <c r="S27" i="13" s="1"/>
  <c r="S28" i="13" s="1"/>
  <c r="S29" i="13" s="1"/>
  <c r="S30" i="13" s="1"/>
  <c r="S31" i="13" s="1"/>
  <c r="S32" i="13" s="1"/>
  <c r="S33" i="13" s="1"/>
  <c r="S34" i="13" s="1"/>
  <c r="S35" i="13" s="1"/>
  <c r="S36" i="13" s="1"/>
  <c r="S37" i="13" s="1"/>
  <c r="S38" i="13" s="1"/>
  <c r="S39" i="13" s="1"/>
  <c r="S40" i="13" s="1"/>
  <c r="S41" i="13" s="1"/>
  <c r="S42" i="13" s="1"/>
  <c r="S43" i="13" s="1"/>
  <c r="S44" i="13" s="1"/>
  <c r="J18" i="1"/>
  <c r="O11" i="32"/>
  <c r="U12" i="52" s="1"/>
  <c r="U13" i="52" s="1"/>
  <c r="U14" i="52" s="1"/>
  <c r="U15" i="52" s="1"/>
  <c r="U16" i="52" s="1"/>
  <c r="U17" i="52" s="1"/>
  <c r="U18" i="52" s="1"/>
  <c r="U19" i="52" s="1"/>
  <c r="U20" i="52" s="1"/>
  <c r="U21" i="52" s="1"/>
  <c r="U22" i="52" s="1"/>
  <c r="U23" i="52" s="1"/>
  <c r="U24" i="52" s="1"/>
  <c r="U25" i="52" s="1"/>
  <c r="U26" i="52" s="1"/>
  <c r="U27" i="52" s="1"/>
  <c r="U28" i="52" s="1"/>
  <c r="U29" i="52" s="1"/>
  <c r="U30" i="52" s="1"/>
  <c r="U31" i="52" s="1"/>
  <c r="U32" i="52" s="1"/>
  <c r="U33" i="52" s="1"/>
  <c r="U34" i="52" s="1"/>
  <c r="U35" i="52" s="1"/>
  <c r="U36" i="52" s="1"/>
  <c r="U37" i="52" s="1"/>
  <c r="U38" i="52" s="1"/>
  <c r="U39" i="52" s="1"/>
  <c r="U40" i="52" s="1"/>
  <c r="U41" i="52" s="1"/>
  <c r="U42" i="52" s="1"/>
  <c r="U43" i="52" s="1"/>
  <c r="U44" i="52" s="1"/>
  <c r="AC14" i="41"/>
  <c r="O10" i="32"/>
  <c r="T12" i="52" s="1"/>
  <c r="T13" i="52" s="1"/>
  <c r="T14" i="52" s="1"/>
  <c r="T15" i="52" s="1"/>
  <c r="T16" i="52" s="1"/>
  <c r="T17" i="52" s="1"/>
  <c r="T18" i="52" s="1"/>
  <c r="T19" i="52" s="1"/>
  <c r="T20" i="52" s="1"/>
  <c r="T21" i="52" s="1"/>
  <c r="T22" i="52" s="1"/>
  <c r="T23" i="52" s="1"/>
  <c r="T24" i="52" s="1"/>
  <c r="T25" i="52" s="1"/>
  <c r="T26" i="52" s="1"/>
  <c r="T27" i="52" s="1"/>
  <c r="T28" i="52" s="1"/>
  <c r="T29" i="52" s="1"/>
  <c r="T30" i="52" s="1"/>
  <c r="T31" i="52" s="1"/>
  <c r="T32" i="52" s="1"/>
  <c r="T33" i="52" s="1"/>
  <c r="T34" i="52" s="1"/>
  <c r="T35" i="52" s="1"/>
  <c r="T36" i="52" s="1"/>
  <c r="T37" i="52" s="1"/>
  <c r="T38" i="52" s="1"/>
  <c r="T39" i="52" s="1"/>
  <c r="T40" i="52" s="1"/>
  <c r="T41" i="52" s="1"/>
  <c r="T42" i="52" s="1"/>
  <c r="T43" i="52" s="1"/>
  <c r="T44" i="52" s="1"/>
  <c r="M14" i="62"/>
  <c r="M17" i="62"/>
  <c r="M8" i="62"/>
  <c r="J18" i="46"/>
  <c r="I14" i="16" s="1"/>
  <c r="AJ15" i="51" s="1"/>
  <c r="N8" i="62"/>
  <c r="N14" i="62"/>
  <c r="N17" i="62"/>
  <c r="O24" i="62"/>
  <c r="O11" i="62"/>
  <c r="N15" i="70"/>
  <c r="N16" i="68"/>
  <c r="N17" i="68" s="1"/>
  <c r="M16" i="68"/>
  <c r="B19" i="67"/>
  <c r="B20" i="66"/>
  <c r="D20" i="66"/>
  <c r="C19" i="66"/>
  <c r="D20" i="65"/>
  <c r="C19" i="65"/>
  <c r="W11" i="70"/>
  <c r="W13" i="69"/>
  <c r="X14" i="68"/>
  <c r="W13" i="68"/>
  <c r="V11" i="64"/>
  <c r="W11" i="64" s="1"/>
  <c r="X11" i="64" s="1"/>
  <c r="W12" i="62"/>
  <c r="D19" i="64"/>
  <c r="C18" i="64"/>
  <c r="G16" i="62"/>
  <c r="J11" i="62"/>
  <c r="G15" i="62"/>
  <c r="G14" i="62"/>
  <c r="B16" i="61"/>
  <c r="D15" i="61"/>
  <c r="C14" i="61"/>
  <c r="X13" i="60"/>
  <c r="C13" i="60"/>
  <c r="W12" i="60" s="1"/>
  <c r="M18" i="60"/>
  <c r="M11" i="60"/>
  <c r="M4" i="60" s="1"/>
  <c r="M15" i="60"/>
  <c r="N15" i="60"/>
  <c r="N18" i="60"/>
  <c r="N11" i="60"/>
  <c r="N4" i="60" s="1"/>
  <c r="O9" i="45"/>
  <c r="S12" i="50" s="1"/>
  <c r="S13" i="50" s="1"/>
  <c r="S14" i="50" s="1"/>
  <c r="S15" i="50" s="1"/>
  <c r="S16" i="50" s="1"/>
  <c r="S17" i="50" s="1"/>
  <c r="S18" i="50" s="1"/>
  <c r="S19" i="50" s="1"/>
  <c r="S20" i="50" s="1"/>
  <c r="S21" i="50" s="1"/>
  <c r="S22" i="50" s="1"/>
  <c r="S23" i="50" s="1"/>
  <c r="S24" i="50" s="1"/>
  <c r="S25" i="50" s="1"/>
  <c r="S26" i="50" s="1"/>
  <c r="S27" i="50" s="1"/>
  <c r="S28" i="50" s="1"/>
  <c r="S29" i="50" s="1"/>
  <c r="S30" i="50" s="1"/>
  <c r="S31" i="50" s="1"/>
  <c r="S32" i="50" s="1"/>
  <c r="S33" i="50" s="1"/>
  <c r="S34" i="50" s="1"/>
  <c r="S35" i="50" s="1"/>
  <c r="S36" i="50" s="1"/>
  <c r="S37" i="50" s="1"/>
  <c r="S38" i="50" s="1"/>
  <c r="S39" i="50" s="1"/>
  <c r="S40" i="50" s="1"/>
  <c r="S41" i="50" s="1"/>
  <c r="S42" i="50" s="1"/>
  <c r="S43" i="50" s="1"/>
  <c r="S44" i="50" s="1"/>
  <c r="S9" i="50" s="1"/>
  <c r="AV11" i="50"/>
  <c r="AW11" i="50" s="1"/>
  <c r="J18" i="45"/>
  <c r="F26" i="16" s="1"/>
  <c r="AJ27" i="50" s="1"/>
  <c r="G15" i="45"/>
  <c r="G16" i="45"/>
  <c r="O11" i="45"/>
  <c r="Y14" i="45"/>
  <c r="Z14" i="45"/>
  <c r="AA14" i="45"/>
  <c r="AB14" i="45"/>
  <c r="AC14" i="45"/>
  <c r="AE14" i="45"/>
  <c r="M44" i="45"/>
  <c r="M45" i="45" s="1"/>
  <c r="O10" i="45" s="1"/>
  <c r="T12" i="50" s="1"/>
  <c r="T13" i="50" s="1"/>
  <c r="T14" i="50" s="1"/>
  <c r="T15" i="50" s="1"/>
  <c r="T16" i="50" s="1"/>
  <c r="T17" i="50" s="1"/>
  <c r="T18" i="50" s="1"/>
  <c r="T19" i="50" s="1"/>
  <c r="T20" i="50" s="1"/>
  <c r="T21" i="50" s="1"/>
  <c r="T22" i="50" s="1"/>
  <c r="T23" i="50" s="1"/>
  <c r="T24" i="50" s="1"/>
  <c r="T25" i="50" s="1"/>
  <c r="T26" i="50" s="1"/>
  <c r="T27" i="50" s="1"/>
  <c r="T28" i="50" s="1"/>
  <c r="T29" i="50" s="1"/>
  <c r="T30" i="50" s="1"/>
  <c r="T31" i="50" s="1"/>
  <c r="T32" i="50" s="1"/>
  <c r="T33" i="50" s="1"/>
  <c r="T34" i="50" s="1"/>
  <c r="T35" i="50" s="1"/>
  <c r="T36" i="50" s="1"/>
  <c r="T37" i="50" s="1"/>
  <c r="T38" i="50" s="1"/>
  <c r="T39" i="50" s="1"/>
  <c r="T40" i="50" s="1"/>
  <c r="T41" i="50" s="1"/>
  <c r="T42" i="50" s="1"/>
  <c r="T43" i="50" s="1"/>
  <c r="T44" i="50" s="1"/>
  <c r="G14" i="45"/>
  <c r="AZ11" i="50" s="1"/>
  <c r="AZ9" i="50" s="1"/>
  <c r="AD14" i="45"/>
  <c r="CY10" i="15"/>
  <c r="AJ12" i="67" s="1"/>
  <c r="AD14" i="32"/>
  <c r="AC14" i="32"/>
  <c r="AB14" i="32"/>
  <c r="AE14" i="32"/>
  <c r="AA14" i="32"/>
  <c r="Z14" i="32"/>
  <c r="Y14" i="32"/>
  <c r="I38" i="13"/>
  <c r="G11" i="15"/>
  <c r="G12" i="15" s="1"/>
  <c r="G13" i="15" s="1"/>
  <c r="G14" i="15" s="1"/>
  <c r="D16" i="13"/>
  <c r="D17" i="13" s="1"/>
  <c r="C12" i="51"/>
  <c r="D14" i="51"/>
  <c r="C14" i="13"/>
  <c r="I44" i="13"/>
  <c r="C13" i="53"/>
  <c r="I39" i="13"/>
  <c r="AD9" i="13"/>
  <c r="D15" i="53"/>
  <c r="C14" i="53"/>
  <c r="C13" i="56"/>
  <c r="D14" i="56"/>
  <c r="D13" i="52"/>
  <c r="C12" i="52"/>
  <c r="D15" i="51"/>
  <c r="C14" i="51"/>
  <c r="I42" i="13"/>
  <c r="D14" i="50"/>
  <c r="C13" i="50"/>
  <c r="I42" i="50"/>
  <c r="I40" i="50"/>
  <c r="I43" i="50"/>
  <c r="I41" i="50"/>
  <c r="I37" i="50"/>
  <c r="I37" i="51"/>
  <c r="W9" i="51"/>
  <c r="I41" i="51"/>
  <c r="I39" i="52"/>
  <c r="I34" i="52"/>
  <c r="I21" i="52"/>
  <c r="V9" i="52"/>
  <c r="I38" i="52"/>
  <c r="I18" i="52"/>
  <c r="I33" i="52"/>
  <c r="I26" i="52"/>
  <c r="I17" i="52"/>
  <c r="I40" i="53"/>
  <c r="I41" i="53"/>
  <c r="R9" i="53"/>
  <c r="O8" i="41"/>
  <c r="X12" i="56" s="1"/>
  <c r="X13" i="56" s="1"/>
  <c r="X14" i="56" s="1"/>
  <c r="X15" i="56" s="1"/>
  <c r="X16" i="56" s="1"/>
  <c r="X17" i="56" s="1"/>
  <c r="X18" i="56" s="1"/>
  <c r="X19" i="56" s="1"/>
  <c r="X20" i="56" s="1"/>
  <c r="X21" i="56" s="1"/>
  <c r="X22" i="56" s="1"/>
  <c r="X23" i="56" s="1"/>
  <c r="X24" i="56" s="1"/>
  <c r="X25" i="56" s="1"/>
  <c r="X26" i="56" s="1"/>
  <c r="X27" i="56" s="1"/>
  <c r="X28" i="56" s="1"/>
  <c r="X29" i="56" s="1"/>
  <c r="X30" i="56" s="1"/>
  <c r="X31" i="56" s="1"/>
  <c r="X32" i="56" s="1"/>
  <c r="X33" i="56" s="1"/>
  <c r="X34" i="56" s="1"/>
  <c r="X35" i="56" s="1"/>
  <c r="X36" i="56" s="1"/>
  <c r="X37" i="56" s="1"/>
  <c r="X38" i="56" s="1"/>
  <c r="X39" i="56" s="1"/>
  <c r="X40" i="56" s="1"/>
  <c r="X41" i="56" s="1"/>
  <c r="X42" i="56" s="1"/>
  <c r="X43" i="56" s="1"/>
  <c r="X44" i="56" s="1"/>
  <c r="O11" i="41"/>
  <c r="AA12" i="56" s="1"/>
  <c r="AA13" i="56" s="1"/>
  <c r="AA14" i="56" s="1"/>
  <c r="AA15" i="56" s="1"/>
  <c r="AA16" i="56" s="1"/>
  <c r="AA17" i="56" s="1"/>
  <c r="AA18" i="56" s="1"/>
  <c r="AA19" i="56" s="1"/>
  <c r="AA20" i="56" s="1"/>
  <c r="AA21" i="56" s="1"/>
  <c r="AA22" i="56" s="1"/>
  <c r="AA23" i="56" s="1"/>
  <c r="AA24" i="56" s="1"/>
  <c r="AA25" i="56" s="1"/>
  <c r="AA26" i="56" s="1"/>
  <c r="AA27" i="56" s="1"/>
  <c r="AA28" i="56" s="1"/>
  <c r="AA29" i="56" s="1"/>
  <c r="AA30" i="56" s="1"/>
  <c r="AA31" i="56" s="1"/>
  <c r="AA32" i="56" s="1"/>
  <c r="AA33" i="56" s="1"/>
  <c r="AA34" i="56" s="1"/>
  <c r="AA35" i="56" s="1"/>
  <c r="AA36" i="56" s="1"/>
  <c r="AA37" i="56" s="1"/>
  <c r="AA38" i="56" s="1"/>
  <c r="AA39" i="56" s="1"/>
  <c r="AA40" i="56" s="1"/>
  <c r="AA41" i="56" s="1"/>
  <c r="AA42" i="56" s="1"/>
  <c r="AA43" i="56" s="1"/>
  <c r="AA44" i="56" s="1"/>
  <c r="O10" i="41"/>
  <c r="Z12" i="56" s="1"/>
  <c r="Z13" i="56" s="1"/>
  <c r="Z14" i="56" s="1"/>
  <c r="Z15" i="56" s="1"/>
  <c r="Z16" i="56" s="1"/>
  <c r="Z17" i="56" s="1"/>
  <c r="Z18" i="56" s="1"/>
  <c r="Z19" i="56" s="1"/>
  <c r="Z20" i="56" s="1"/>
  <c r="Z21" i="56" s="1"/>
  <c r="Z22" i="56" s="1"/>
  <c r="Z23" i="56" s="1"/>
  <c r="Z24" i="56" s="1"/>
  <c r="Z25" i="56" s="1"/>
  <c r="Z26" i="56" s="1"/>
  <c r="Z27" i="56" s="1"/>
  <c r="Z28" i="56" s="1"/>
  <c r="Z29" i="56" s="1"/>
  <c r="Z30" i="56" s="1"/>
  <c r="Z31" i="56" s="1"/>
  <c r="Z32" i="56" s="1"/>
  <c r="Z33" i="56" s="1"/>
  <c r="Z34" i="56" s="1"/>
  <c r="Z35" i="56" s="1"/>
  <c r="Z36" i="56" s="1"/>
  <c r="Z37" i="56" s="1"/>
  <c r="Z38" i="56" s="1"/>
  <c r="Z39" i="56" s="1"/>
  <c r="Z40" i="56" s="1"/>
  <c r="Z41" i="56" s="1"/>
  <c r="Z42" i="56" s="1"/>
  <c r="Z43" i="56" s="1"/>
  <c r="Z44" i="56" s="1"/>
  <c r="G15" i="51"/>
  <c r="I15" i="51" s="1"/>
  <c r="G19" i="51"/>
  <c r="I19" i="51" s="1"/>
  <c r="G23" i="51"/>
  <c r="I23" i="51" s="1"/>
  <c r="G35" i="51"/>
  <c r="I35" i="51" s="1"/>
  <c r="G24" i="51"/>
  <c r="I24" i="51" s="1"/>
  <c r="G28" i="51"/>
  <c r="I28" i="51" s="1"/>
  <c r="G32" i="51"/>
  <c r="I32" i="51" s="1"/>
  <c r="G22" i="51"/>
  <c r="I22" i="51" s="1"/>
  <c r="G17" i="51"/>
  <c r="I17" i="51" s="1"/>
  <c r="G21" i="51"/>
  <c r="I21" i="51" s="1"/>
  <c r="G25" i="51"/>
  <c r="I25" i="51" s="1"/>
  <c r="G12" i="51"/>
  <c r="G30" i="51"/>
  <c r="I30" i="51" s="1"/>
  <c r="G15" i="50"/>
  <c r="I15" i="50" s="1"/>
  <c r="G17" i="50"/>
  <c r="I17" i="50" s="1"/>
  <c r="G34" i="50"/>
  <c r="I34" i="50" s="1"/>
  <c r="G31" i="1"/>
  <c r="G19" i="13" s="1"/>
  <c r="I19" i="13" s="1"/>
  <c r="AC9" i="13"/>
  <c r="AD9" i="53"/>
  <c r="AC9" i="53"/>
  <c r="AB9" i="53"/>
  <c r="Z9" i="53"/>
  <c r="W9" i="53"/>
  <c r="AD9" i="52"/>
  <c r="AC9" i="52"/>
  <c r="AB9" i="52"/>
  <c r="AA9" i="52"/>
  <c r="Z9" i="52"/>
  <c r="W9" i="52"/>
  <c r="AD9" i="51"/>
  <c r="AC9" i="51"/>
  <c r="AB9" i="51"/>
  <c r="AA9" i="51"/>
  <c r="Z9" i="51"/>
  <c r="AD9" i="50"/>
  <c r="AC9" i="50"/>
  <c r="AB9" i="50"/>
  <c r="AA9" i="50"/>
  <c r="W9" i="50"/>
  <c r="AB9" i="13"/>
  <c r="AA9" i="13"/>
  <c r="Z9" i="13"/>
  <c r="W9" i="13"/>
  <c r="Q9" i="13"/>
  <c r="Z9" i="50"/>
  <c r="O13" i="56"/>
  <c r="T12" i="56"/>
  <c r="T13" i="56"/>
  <c r="G4" i="56"/>
  <c r="L17" i="17" s="1"/>
  <c r="S12" i="56"/>
  <c r="O17" i="56"/>
  <c r="AH9" i="56"/>
  <c r="Q12" i="56"/>
  <c r="AI13" i="56"/>
  <c r="AI14" i="56" s="1"/>
  <c r="AI15" i="56" s="1"/>
  <c r="AI16" i="56" s="1"/>
  <c r="AI17" i="56" s="1"/>
  <c r="AI18" i="56" s="1"/>
  <c r="AI19" i="56" s="1"/>
  <c r="AI20" i="56" s="1"/>
  <c r="AI21" i="56" s="1"/>
  <c r="AI22" i="56" s="1"/>
  <c r="AI23" i="56" s="1"/>
  <c r="AI24" i="56" s="1"/>
  <c r="AI25" i="56" s="1"/>
  <c r="AI26" i="56" s="1"/>
  <c r="AI27" i="56" s="1"/>
  <c r="AI28" i="56" s="1"/>
  <c r="AI29" i="56" s="1"/>
  <c r="AI30" i="56" s="1"/>
  <c r="AI31" i="56" s="1"/>
  <c r="AI32" i="56" s="1"/>
  <c r="AI33" i="56" s="1"/>
  <c r="AI34" i="56" s="1"/>
  <c r="AI35" i="56" s="1"/>
  <c r="AI36" i="56" s="1"/>
  <c r="AI37" i="56" s="1"/>
  <c r="AI38" i="56" s="1"/>
  <c r="AI39" i="56" s="1"/>
  <c r="AI40" i="56" s="1"/>
  <c r="AI41" i="56" s="1"/>
  <c r="AI42" i="56" s="1"/>
  <c r="AI43" i="56" s="1"/>
  <c r="AI44" i="56" s="1"/>
  <c r="O19" i="56"/>
  <c r="R15" i="56"/>
  <c r="O15" i="56"/>
  <c r="AG13" i="56"/>
  <c r="AG14" i="56" s="1"/>
  <c r="AG15" i="56" s="1"/>
  <c r="AG16" i="56" s="1"/>
  <c r="AG17" i="56" s="1"/>
  <c r="AG18" i="56" s="1"/>
  <c r="AG19" i="56" s="1"/>
  <c r="AG20" i="56" s="1"/>
  <c r="AG21" i="56" s="1"/>
  <c r="AG22" i="56" s="1"/>
  <c r="AG23" i="56" s="1"/>
  <c r="AG24" i="56" s="1"/>
  <c r="AG25" i="56" s="1"/>
  <c r="AG26" i="56" s="1"/>
  <c r="AG27" i="56" s="1"/>
  <c r="AG28" i="56" s="1"/>
  <c r="AG29" i="56" s="1"/>
  <c r="AG30" i="56" s="1"/>
  <c r="AG31" i="56" s="1"/>
  <c r="AG32" i="56" s="1"/>
  <c r="AG33" i="56" s="1"/>
  <c r="AG34" i="56" s="1"/>
  <c r="AG35" i="56" s="1"/>
  <c r="AG36" i="56" s="1"/>
  <c r="AG37" i="56" s="1"/>
  <c r="AG38" i="56" s="1"/>
  <c r="AG39" i="56" s="1"/>
  <c r="AG40" i="56" s="1"/>
  <c r="AG41" i="56" s="1"/>
  <c r="AG42" i="56" s="1"/>
  <c r="AG43" i="56" s="1"/>
  <c r="AG44" i="56" s="1"/>
  <c r="O14" i="56"/>
  <c r="R14" i="56"/>
  <c r="G9" i="56"/>
  <c r="R12" i="56"/>
  <c r="AC9" i="56"/>
  <c r="O16" i="56"/>
  <c r="O12" i="56"/>
  <c r="O18" i="56"/>
  <c r="AJ9" i="56"/>
  <c r="R13" i="56"/>
  <c r="AF13" i="56"/>
  <c r="AF14" i="56" s="1"/>
  <c r="AF15" i="56" s="1"/>
  <c r="AF16" i="56" s="1"/>
  <c r="AF17" i="56" s="1"/>
  <c r="AF18" i="56" s="1"/>
  <c r="AF19" i="56" s="1"/>
  <c r="AF20" i="56" s="1"/>
  <c r="AF21" i="56" s="1"/>
  <c r="AF22" i="56" s="1"/>
  <c r="AF23" i="56" s="1"/>
  <c r="AF24" i="56" s="1"/>
  <c r="AF25" i="56" s="1"/>
  <c r="AF26" i="56" s="1"/>
  <c r="AF27" i="56" s="1"/>
  <c r="AF28" i="56" s="1"/>
  <c r="AF29" i="56" s="1"/>
  <c r="AF30" i="56" s="1"/>
  <c r="AF31" i="56" s="1"/>
  <c r="AF32" i="56" s="1"/>
  <c r="AF33" i="56" s="1"/>
  <c r="AF34" i="56" s="1"/>
  <c r="AF35" i="56" s="1"/>
  <c r="AF36" i="56" s="1"/>
  <c r="AF37" i="56" s="1"/>
  <c r="AF38" i="56" s="1"/>
  <c r="AF39" i="56" s="1"/>
  <c r="AF40" i="56" s="1"/>
  <c r="AF41" i="56" s="1"/>
  <c r="AF42" i="56" s="1"/>
  <c r="AF43" i="56" s="1"/>
  <c r="AF44" i="56" s="1"/>
  <c r="W9" i="56"/>
  <c r="P12" i="56"/>
  <c r="V9" i="53"/>
  <c r="V9" i="51"/>
  <c r="R9" i="52"/>
  <c r="AB9" i="56"/>
  <c r="R9" i="51"/>
  <c r="R9" i="50"/>
  <c r="V9" i="50"/>
  <c r="V9" i="13"/>
  <c r="Q14" i="53"/>
  <c r="Q16" i="51"/>
  <c r="R14" i="13"/>
  <c r="S13" i="51"/>
  <c r="Q14" i="52"/>
  <c r="Q14" i="50"/>
  <c r="CP10" i="15"/>
  <c r="AK12" i="66" s="1"/>
  <c r="DI11" i="15"/>
  <c r="AJ13" i="65" s="1"/>
  <c r="G26" i="51" l="1"/>
  <c r="I26" i="51" s="1"/>
  <c r="G13" i="51"/>
  <c r="I13" i="51" s="1"/>
  <c r="N13" i="51" s="1"/>
  <c r="G20" i="51"/>
  <c r="I20" i="51" s="1"/>
  <c r="G18" i="51"/>
  <c r="I18" i="51" s="1"/>
  <c r="G34" i="51"/>
  <c r="I34" i="51" s="1"/>
  <c r="G16" i="51"/>
  <c r="I16" i="51" s="1"/>
  <c r="G33" i="51"/>
  <c r="I33" i="51" s="1"/>
  <c r="G14" i="51"/>
  <c r="I14" i="51" s="1"/>
  <c r="N14" i="51" s="1"/>
  <c r="G31" i="51"/>
  <c r="I31" i="51" s="1"/>
  <c r="G29" i="51"/>
  <c r="I29" i="51" s="1"/>
  <c r="G36" i="51"/>
  <c r="I36" i="51" s="1"/>
  <c r="G30" i="50"/>
  <c r="I30" i="50" s="1"/>
  <c r="G36" i="50"/>
  <c r="I36" i="50" s="1"/>
  <c r="G25" i="50"/>
  <c r="I25" i="50" s="1"/>
  <c r="G27" i="50"/>
  <c r="I27" i="50" s="1"/>
  <c r="G16" i="50"/>
  <c r="I16" i="50" s="1"/>
  <c r="G28" i="50"/>
  <c r="I28" i="50" s="1"/>
  <c r="G29" i="50"/>
  <c r="I29" i="50" s="1"/>
  <c r="G9" i="52"/>
  <c r="AA9" i="53"/>
  <c r="G31" i="48"/>
  <c r="G18" i="53" s="1"/>
  <c r="I18" i="53" s="1"/>
  <c r="G26" i="50"/>
  <c r="I26" i="50" s="1"/>
  <c r="G21" i="50"/>
  <c r="I21" i="50" s="1"/>
  <c r="G31" i="50"/>
  <c r="I31" i="50" s="1"/>
  <c r="G18" i="50"/>
  <c r="I18" i="50" s="1"/>
  <c r="G13" i="50"/>
  <c r="I13" i="50" s="1"/>
  <c r="N13" i="50" s="1"/>
  <c r="G33" i="50"/>
  <c r="I33" i="50" s="1"/>
  <c r="G23" i="50"/>
  <c r="I23" i="50" s="1"/>
  <c r="G20" i="50"/>
  <c r="I20" i="50" s="1"/>
  <c r="G32" i="50"/>
  <c r="I32" i="50" s="1"/>
  <c r="G22" i="50"/>
  <c r="I22" i="50" s="1"/>
  <c r="G19" i="50"/>
  <c r="I19" i="50" s="1"/>
  <c r="G24" i="50"/>
  <c r="I24" i="50" s="1"/>
  <c r="G14" i="50"/>
  <c r="I14" i="50" s="1"/>
  <c r="N14" i="50" s="1"/>
  <c r="G35" i="50"/>
  <c r="I35" i="50" s="1"/>
  <c r="AA4" i="68"/>
  <c r="H16" i="65"/>
  <c r="I16" i="65" s="1"/>
  <c r="H24" i="65"/>
  <c r="H32" i="65"/>
  <c r="H40" i="65"/>
  <c r="H18" i="65"/>
  <c r="T18" i="65" s="1"/>
  <c r="U18" i="65" s="1"/>
  <c r="X18" i="65" s="1"/>
  <c r="AB18" i="65" s="1"/>
  <c r="H26" i="65"/>
  <c r="H34" i="65"/>
  <c r="H42" i="65"/>
  <c r="H19" i="65"/>
  <c r="T19" i="65" s="1"/>
  <c r="U19" i="65" s="1"/>
  <c r="X19" i="65" s="1"/>
  <c r="AB19" i="65" s="1"/>
  <c r="H27" i="65"/>
  <c r="H35" i="65"/>
  <c r="H43" i="65"/>
  <c r="H13" i="65"/>
  <c r="H21" i="65"/>
  <c r="H29" i="65"/>
  <c r="H37" i="65"/>
  <c r="H12" i="65"/>
  <c r="H20" i="65"/>
  <c r="H28" i="65"/>
  <c r="H36" i="65"/>
  <c r="H44" i="65"/>
  <c r="I44" i="65" s="1"/>
  <c r="H14" i="65"/>
  <c r="H22" i="65"/>
  <c r="H30" i="65"/>
  <c r="H38" i="65"/>
  <c r="I38" i="65" s="1"/>
  <c r="H15" i="65"/>
  <c r="H23" i="65"/>
  <c r="H31" i="65"/>
  <c r="H39" i="65"/>
  <c r="I39" i="65" s="1"/>
  <c r="H17" i="65"/>
  <c r="H25" i="65"/>
  <c r="H33" i="65"/>
  <c r="H41" i="65"/>
  <c r="I41" i="65" s="1"/>
  <c r="AA4" i="70"/>
  <c r="H15" i="66"/>
  <c r="H23" i="66"/>
  <c r="I23" i="66" s="1"/>
  <c r="H31" i="66"/>
  <c r="H39" i="66"/>
  <c r="I39" i="66" s="1"/>
  <c r="H16" i="66"/>
  <c r="H24" i="66"/>
  <c r="I24" i="66" s="1"/>
  <c r="H32" i="66"/>
  <c r="H40" i="66"/>
  <c r="I40" i="66" s="1"/>
  <c r="H17" i="66"/>
  <c r="I17" i="66" s="1"/>
  <c r="H25" i="66"/>
  <c r="H33" i="66"/>
  <c r="H41" i="66"/>
  <c r="H18" i="66"/>
  <c r="H26" i="66"/>
  <c r="I26" i="66" s="1"/>
  <c r="H34" i="66"/>
  <c r="H42" i="66"/>
  <c r="T42" i="66" s="1"/>
  <c r="U42" i="66" s="1"/>
  <c r="X42" i="66" s="1"/>
  <c r="AB42" i="66" s="1"/>
  <c r="H19" i="66"/>
  <c r="H27" i="66"/>
  <c r="H35" i="66"/>
  <c r="H43" i="66"/>
  <c r="T43" i="66" s="1"/>
  <c r="U43" i="66" s="1"/>
  <c r="X43" i="66" s="1"/>
  <c r="AB43" i="66" s="1"/>
  <c r="H20" i="66"/>
  <c r="H28" i="66"/>
  <c r="I28" i="66" s="1"/>
  <c r="H36" i="66"/>
  <c r="H44" i="66"/>
  <c r="I44" i="66" s="1"/>
  <c r="H13" i="66"/>
  <c r="H21" i="66"/>
  <c r="T21" i="66" s="1"/>
  <c r="U21" i="66" s="1"/>
  <c r="X21" i="66" s="1"/>
  <c r="AB21" i="66" s="1"/>
  <c r="H29" i="66"/>
  <c r="H37" i="66"/>
  <c r="T37" i="66" s="1"/>
  <c r="U37" i="66" s="1"/>
  <c r="X37" i="66" s="1"/>
  <c r="AB37" i="66" s="1"/>
  <c r="H12" i="66"/>
  <c r="H14" i="66"/>
  <c r="T14" i="66" s="1"/>
  <c r="U14" i="66" s="1"/>
  <c r="X14" i="66" s="1"/>
  <c r="AB14" i="66" s="1"/>
  <c r="H22" i="66"/>
  <c r="H30" i="66"/>
  <c r="T30" i="66" s="1"/>
  <c r="U30" i="66" s="1"/>
  <c r="X30" i="66" s="1"/>
  <c r="AB30" i="66" s="1"/>
  <c r="H38" i="66"/>
  <c r="T18" i="66"/>
  <c r="U18" i="66" s="1"/>
  <c r="X18" i="66" s="1"/>
  <c r="AB18" i="66" s="1"/>
  <c r="I16" i="66"/>
  <c r="I32" i="66"/>
  <c r="T15" i="66"/>
  <c r="U15" i="66" s="1"/>
  <c r="X15" i="66" s="1"/>
  <c r="AB15" i="66" s="1"/>
  <c r="AZ11" i="51"/>
  <c r="AZ9" i="51" s="1"/>
  <c r="BB11" i="56"/>
  <c r="BC11" i="56" s="1"/>
  <c r="BD11" i="56" s="1"/>
  <c r="G17" i="46"/>
  <c r="AJ8" i="15"/>
  <c r="AI9" i="15" s="1"/>
  <c r="AJ9" i="15" s="1"/>
  <c r="AI10" i="15" s="1"/>
  <c r="AG10" i="15" s="1"/>
  <c r="BJ12" i="51" s="1"/>
  <c r="AL12" i="51" s="1"/>
  <c r="I25" i="16"/>
  <c r="AJ26" i="51" s="1"/>
  <c r="G14" i="48"/>
  <c r="BI11" i="53" s="1"/>
  <c r="BH12" i="53" s="1"/>
  <c r="I24" i="16"/>
  <c r="AJ25" i="51" s="1"/>
  <c r="AY11" i="51"/>
  <c r="AY9" i="51" s="1"/>
  <c r="AZ11" i="13"/>
  <c r="AZ9" i="13" s="1"/>
  <c r="I28" i="16"/>
  <c r="AJ29" i="51" s="1"/>
  <c r="AY11" i="13"/>
  <c r="AV9" i="13"/>
  <c r="I35" i="16"/>
  <c r="AJ36" i="51" s="1"/>
  <c r="I12" i="16"/>
  <c r="AJ13" i="51" s="1"/>
  <c r="I23" i="16"/>
  <c r="AJ24" i="51" s="1"/>
  <c r="G16" i="48"/>
  <c r="J18" i="48"/>
  <c r="O28" i="16" s="1"/>
  <c r="AJ29" i="53" s="1"/>
  <c r="BT11" i="51"/>
  <c r="AW11" i="51"/>
  <c r="AX11" i="51" s="1"/>
  <c r="BO11" i="51"/>
  <c r="T41" i="66"/>
  <c r="U41" i="66" s="1"/>
  <c r="X41" i="66" s="1"/>
  <c r="AB41" i="66" s="1"/>
  <c r="T29" i="66"/>
  <c r="U29" i="66" s="1"/>
  <c r="X29" i="66" s="1"/>
  <c r="AB29" i="66" s="1"/>
  <c r="T25" i="66"/>
  <c r="U25" i="66" s="1"/>
  <c r="X25" i="66" s="1"/>
  <c r="AB25" i="66" s="1"/>
  <c r="T13" i="66"/>
  <c r="U13" i="66" s="1"/>
  <c r="X13" i="66" s="1"/>
  <c r="AB13" i="66" s="1"/>
  <c r="I36" i="66"/>
  <c r="T31" i="66"/>
  <c r="U31" i="66" s="1"/>
  <c r="X31" i="66" s="1"/>
  <c r="AB31" i="66" s="1"/>
  <c r="I38" i="66"/>
  <c r="N16" i="70"/>
  <c r="AB4" i="70" s="1"/>
  <c r="I34" i="66"/>
  <c r="T23" i="66"/>
  <c r="U23" i="66" s="1"/>
  <c r="X23" i="66" s="1"/>
  <c r="AB23" i="66" s="1"/>
  <c r="T27" i="66"/>
  <c r="U27" i="66" s="1"/>
  <c r="X27" i="66" s="1"/>
  <c r="AB27" i="66" s="1"/>
  <c r="I22" i="66"/>
  <c r="I19" i="66"/>
  <c r="BT11" i="13"/>
  <c r="BO11" i="13"/>
  <c r="G17" i="1"/>
  <c r="BI11" i="13"/>
  <c r="BH12" i="13" s="1"/>
  <c r="G16" i="41"/>
  <c r="J25" i="41"/>
  <c r="X27" i="16" s="1"/>
  <c r="AP28" i="56" s="1"/>
  <c r="G14" i="41"/>
  <c r="CH8" i="15" s="1"/>
  <c r="CG9" i="15" s="1"/>
  <c r="CH9" i="15" s="1"/>
  <c r="CG10" i="15" s="1"/>
  <c r="CE10" i="15" s="1"/>
  <c r="BP12" i="56" s="1"/>
  <c r="S9" i="13"/>
  <c r="G15" i="41"/>
  <c r="BZ11" i="56" s="1"/>
  <c r="I30" i="16"/>
  <c r="AJ31" i="51" s="1"/>
  <c r="I34" i="16"/>
  <c r="AJ35" i="51" s="1"/>
  <c r="I22" i="16"/>
  <c r="AJ23" i="51" s="1"/>
  <c r="I26" i="16"/>
  <c r="AJ27" i="51" s="1"/>
  <c r="I32" i="16"/>
  <c r="AJ33" i="51" s="1"/>
  <c r="I29" i="16"/>
  <c r="AJ30" i="51" s="1"/>
  <c r="I33" i="16"/>
  <c r="AJ34" i="51" s="1"/>
  <c r="I31" i="16"/>
  <c r="AJ32" i="51" s="1"/>
  <c r="I20" i="16"/>
  <c r="AJ21" i="51" s="1"/>
  <c r="I17" i="16"/>
  <c r="AJ18" i="51" s="1"/>
  <c r="I13" i="16"/>
  <c r="AJ14" i="51" s="1"/>
  <c r="I27" i="16"/>
  <c r="AJ28" i="51" s="1"/>
  <c r="I11" i="16"/>
  <c r="AJ12" i="51" s="1"/>
  <c r="I19" i="16"/>
  <c r="AJ20" i="51" s="1"/>
  <c r="O27" i="62"/>
  <c r="O9" i="48"/>
  <c r="S12" i="53" s="1"/>
  <c r="S13" i="53" s="1"/>
  <c r="S14" i="53" s="1"/>
  <c r="S15" i="53" s="1"/>
  <c r="S16" i="53" s="1"/>
  <c r="S17" i="53" s="1"/>
  <c r="S18" i="53" s="1"/>
  <c r="S19" i="53" s="1"/>
  <c r="S20" i="53" s="1"/>
  <c r="S21" i="53" s="1"/>
  <c r="S22" i="53" s="1"/>
  <c r="S23" i="53" s="1"/>
  <c r="S24" i="53" s="1"/>
  <c r="S25" i="53" s="1"/>
  <c r="S26" i="53" s="1"/>
  <c r="S27" i="53" s="1"/>
  <c r="S28" i="53" s="1"/>
  <c r="S29" i="53" s="1"/>
  <c r="S30" i="53" s="1"/>
  <c r="S31" i="53" s="1"/>
  <c r="S32" i="53" s="1"/>
  <c r="S33" i="53" s="1"/>
  <c r="S34" i="53" s="1"/>
  <c r="S35" i="53" s="1"/>
  <c r="S36" i="53" s="1"/>
  <c r="S37" i="53" s="1"/>
  <c r="S38" i="53" s="1"/>
  <c r="S39" i="53" s="1"/>
  <c r="S40" i="53" s="1"/>
  <c r="S41" i="53" s="1"/>
  <c r="S42" i="53" s="1"/>
  <c r="S43" i="53" s="1"/>
  <c r="S44" i="53" s="1"/>
  <c r="AV11" i="53"/>
  <c r="N19" i="62"/>
  <c r="N22" i="62" s="1"/>
  <c r="N24" i="62"/>
  <c r="N11" i="62"/>
  <c r="I16" i="16"/>
  <c r="AJ17" i="51" s="1"/>
  <c r="I21" i="16"/>
  <c r="AJ22" i="51" s="1"/>
  <c r="I18" i="16"/>
  <c r="AJ19" i="51" s="1"/>
  <c r="I15" i="16"/>
  <c r="AJ16" i="51" s="1"/>
  <c r="M11" i="62"/>
  <c r="M19" i="62"/>
  <c r="M22" i="62" s="1"/>
  <c r="M24" i="62"/>
  <c r="C13" i="16"/>
  <c r="AJ14" i="13" s="1"/>
  <c r="C26" i="16"/>
  <c r="AJ27" i="13" s="1"/>
  <c r="C21" i="16"/>
  <c r="AJ22" i="13" s="1"/>
  <c r="C24" i="16"/>
  <c r="AJ25" i="13" s="1"/>
  <c r="C11" i="16"/>
  <c r="C22" i="16"/>
  <c r="AJ23" i="13" s="1"/>
  <c r="C33" i="16"/>
  <c r="AJ34" i="13" s="1"/>
  <c r="C17" i="16"/>
  <c r="AJ18" i="13" s="1"/>
  <c r="C20" i="16"/>
  <c r="AJ21" i="13" s="1"/>
  <c r="C31" i="16"/>
  <c r="AJ32" i="13" s="1"/>
  <c r="C15" i="16"/>
  <c r="AJ16" i="13" s="1"/>
  <c r="C34" i="16"/>
  <c r="AJ35" i="13" s="1"/>
  <c r="C29" i="16"/>
  <c r="AJ30" i="13" s="1"/>
  <c r="C23" i="16"/>
  <c r="AJ24" i="13" s="1"/>
  <c r="C19" i="16"/>
  <c r="AJ20" i="13" s="1"/>
  <c r="C18" i="16"/>
  <c r="AJ19" i="13" s="1"/>
  <c r="C32" i="16"/>
  <c r="AJ33" i="13" s="1"/>
  <c r="C16" i="16"/>
  <c r="AJ17" i="13" s="1"/>
  <c r="C27" i="16"/>
  <c r="AJ28" i="13" s="1"/>
  <c r="C28" i="16"/>
  <c r="AJ29" i="13" s="1"/>
  <c r="C35" i="16"/>
  <c r="AJ36" i="13" s="1"/>
  <c r="C30" i="16"/>
  <c r="AJ31" i="13" s="1"/>
  <c r="C14" i="16"/>
  <c r="AJ15" i="13" s="1"/>
  <c r="C25" i="16"/>
  <c r="AJ26" i="13" s="1"/>
  <c r="C12" i="16"/>
  <c r="AJ13" i="13" s="1"/>
  <c r="N20" i="60"/>
  <c r="M20" i="60"/>
  <c r="R14" i="16"/>
  <c r="R22" i="16"/>
  <c r="R30" i="16"/>
  <c r="R11" i="16"/>
  <c r="R15" i="16"/>
  <c r="R23" i="16"/>
  <c r="R31" i="16"/>
  <c r="R16" i="16"/>
  <c r="R24" i="16"/>
  <c r="R32" i="16"/>
  <c r="R20" i="16"/>
  <c r="R21" i="16"/>
  <c r="R17" i="16"/>
  <c r="R25" i="16"/>
  <c r="R33" i="16"/>
  <c r="R18" i="16"/>
  <c r="R26" i="16"/>
  <c r="R34" i="16"/>
  <c r="R19" i="16"/>
  <c r="R27" i="16"/>
  <c r="R35" i="16"/>
  <c r="R12" i="16"/>
  <c r="R28" i="16"/>
  <c r="R13" i="16"/>
  <c r="R29" i="16"/>
  <c r="M13" i="65"/>
  <c r="M17" i="68"/>
  <c r="AB4" i="68" s="1"/>
  <c r="T14" i="65"/>
  <c r="U14" i="65" s="1"/>
  <c r="X14" i="65" s="1"/>
  <c r="AB14" i="65" s="1"/>
  <c r="T22" i="65"/>
  <c r="U22" i="65" s="1"/>
  <c r="X22" i="65" s="1"/>
  <c r="AB22" i="65" s="1"/>
  <c r="T30" i="65"/>
  <c r="U30" i="65" s="1"/>
  <c r="X30" i="65" s="1"/>
  <c r="AB30" i="65" s="1"/>
  <c r="T15" i="65"/>
  <c r="U15" i="65" s="1"/>
  <c r="X15" i="65" s="1"/>
  <c r="AB15" i="65" s="1"/>
  <c r="I23" i="65"/>
  <c r="I31" i="65"/>
  <c r="T24" i="65"/>
  <c r="U24" i="65" s="1"/>
  <c r="X24" i="65" s="1"/>
  <c r="AB24" i="65" s="1"/>
  <c r="T32" i="65"/>
  <c r="U32" i="65" s="1"/>
  <c r="X32" i="65" s="1"/>
  <c r="AB32" i="65" s="1"/>
  <c r="T40" i="65"/>
  <c r="U40" i="65" s="1"/>
  <c r="X40" i="65" s="1"/>
  <c r="AB40" i="65" s="1"/>
  <c r="T20" i="65"/>
  <c r="U20" i="65" s="1"/>
  <c r="X20" i="65" s="1"/>
  <c r="AB20" i="65" s="1"/>
  <c r="T36" i="65"/>
  <c r="U36" i="65" s="1"/>
  <c r="X36" i="65" s="1"/>
  <c r="AB36" i="65" s="1"/>
  <c r="T21" i="65"/>
  <c r="U21" i="65" s="1"/>
  <c r="X21" i="65" s="1"/>
  <c r="AB21" i="65" s="1"/>
  <c r="I37" i="65"/>
  <c r="T17" i="65"/>
  <c r="U17" i="65" s="1"/>
  <c r="X17" i="65" s="1"/>
  <c r="AB17" i="65" s="1"/>
  <c r="I25" i="65"/>
  <c r="T33" i="65"/>
  <c r="U33" i="65" s="1"/>
  <c r="X33" i="65" s="1"/>
  <c r="AB33" i="65" s="1"/>
  <c r="I26" i="65"/>
  <c r="T34" i="65"/>
  <c r="U34" i="65" s="1"/>
  <c r="X34" i="65" s="1"/>
  <c r="AB34" i="65" s="1"/>
  <c r="T42" i="65"/>
  <c r="U42" i="65" s="1"/>
  <c r="X42" i="65" s="1"/>
  <c r="AB42" i="65" s="1"/>
  <c r="I27" i="65"/>
  <c r="T35" i="65"/>
  <c r="U35" i="65" s="1"/>
  <c r="X35" i="65" s="1"/>
  <c r="AB35" i="65" s="1"/>
  <c r="I43" i="65"/>
  <c r="T28" i="65"/>
  <c r="U28" i="65" s="1"/>
  <c r="X28" i="65" s="1"/>
  <c r="AB28" i="65" s="1"/>
  <c r="I13" i="65"/>
  <c r="I29" i="65"/>
  <c r="C29" i="60"/>
  <c r="V11" i="61" s="1"/>
  <c r="W11" i="61" s="1"/>
  <c r="X11" i="61" s="1"/>
  <c r="W5" i="60"/>
  <c r="W6" i="60"/>
  <c r="W7" i="60"/>
  <c r="W8" i="60"/>
  <c r="W10" i="60"/>
  <c r="W9" i="60"/>
  <c r="W11" i="60"/>
  <c r="I22" i="65"/>
  <c r="I22" i="67"/>
  <c r="T22" i="67"/>
  <c r="U22" i="67" s="1"/>
  <c r="X22" i="67" s="1"/>
  <c r="AB22" i="67" s="1"/>
  <c r="T40" i="67"/>
  <c r="U40" i="67" s="1"/>
  <c r="X40" i="67" s="1"/>
  <c r="AB40" i="67" s="1"/>
  <c r="I40" i="67"/>
  <c r="T39" i="67"/>
  <c r="U39" i="67" s="1"/>
  <c r="X39" i="67" s="1"/>
  <c r="AB39" i="67" s="1"/>
  <c r="I39" i="67"/>
  <c r="I20" i="67"/>
  <c r="T20" i="67"/>
  <c r="U20" i="67" s="1"/>
  <c r="X20" i="67" s="1"/>
  <c r="AB20" i="67" s="1"/>
  <c r="I30" i="67"/>
  <c r="T30" i="67"/>
  <c r="U30" i="67" s="1"/>
  <c r="X30" i="67" s="1"/>
  <c r="AB30" i="67" s="1"/>
  <c r="I31" i="67"/>
  <c r="T31" i="67"/>
  <c r="U31" i="67" s="1"/>
  <c r="X31" i="67" s="1"/>
  <c r="AB31" i="67" s="1"/>
  <c r="I23" i="67"/>
  <c r="T23" i="67"/>
  <c r="U23" i="67" s="1"/>
  <c r="X23" i="67" s="1"/>
  <c r="AB23" i="67" s="1"/>
  <c r="I14" i="67"/>
  <c r="T14" i="67"/>
  <c r="U14" i="67" s="1"/>
  <c r="X14" i="67" s="1"/>
  <c r="AB14" i="67" s="1"/>
  <c r="I34" i="67"/>
  <c r="T34" i="67"/>
  <c r="U34" i="67" s="1"/>
  <c r="X34" i="67" s="1"/>
  <c r="AB34" i="67" s="1"/>
  <c r="I17" i="67"/>
  <c r="T17" i="67"/>
  <c r="U17" i="67" s="1"/>
  <c r="X17" i="67" s="1"/>
  <c r="AB17" i="67" s="1"/>
  <c r="I41" i="67"/>
  <c r="T41" i="67"/>
  <c r="U41" i="67" s="1"/>
  <c r="X41" i="67" s="1"/>
  <c r="AB41" i="67" s="1"/>
  <c r="I38" i="67"/>
  <c r="T38" i="67"/>
  <c r="U38" i="67" s="1"/>
  <c r="X38" i="67" s="1"/>
  <c r="AB38" i="67" s="1"/>
  <c r="I26" i="67"/>
  <c r="T26" i="67"/>
  <c r="U26" i="67" s="1"/>
  <c r="X26" i="67" s="1"/>
  <c r="AB26" i="67" s="1"/>
  <c r="T33" i="67"/>
  <c r="U33" i="67" s="1"/>
  <c r="X33" i="67" s="1"/>
  <c r="AB33" i="67" s="1"/>
  <c r="I33" i="67"/>
  <c r="T25" i="67"/>
  <c r="U25" i="67" s="1"/>
  <c r="X25" i="67" s="1"/>
  <c r="AB25" i="67" s="1"/>
  <c r="I25" i="67"/>
  <c r="I36" i="67"/>
  <c r="T36" i="67"/>
  <c r="U36" i="67" s="1"/>
  <c r="X36" i="67" s="1"/>
  <c r="AB36" i="67" s="1"/>
  <c r="I18" i="67"/>
  <c r="T18" i="67"/>
  <c r="U18" i="67" s="1"/>
  <c r="X18" i="67" s="1"/>
  <c r="AB18" i="67" s="1"/>
  <c r="I35" i="67"/>
  <c r="T35" i="67"/>
  <c r="U35" i="67" s="1"/>
  <c r="X35" i="67" s="1"/>
  <c r="AB35" i="67" s="1"/>
  <c r="I43" i="67"/>
  <c r="T43" i="67"/>
  <c r="U43" i="67" s="1"/>
  <c r="X43" i="67" s="1"/>
  <c r="AB43" i="67" s="1"/>
  <c r="I28" i="67"/>
  <c r="T28" i="67"/>
  <c r="U28" i="67" s="1"/>
  <c r="X28" i="67" s="1"/>
  <c r="AB28" i="67" s="1"/>
  <c r="T42" i="67"/>
  <c r="U42" i="67" s="1"/>
  <c r="X42" i="67" s="1"/>
  <c r="AB42" i="67" s="1"/>
  <c r="I42" i="67"/>
  <c r="I19" i="67"/>
  <c r="T19" i="67"/>
  <c r="U19" i="67" s="1"/>
  <c r="X19" i="67" s="1"/>
  <c r="AB19" i="67" s="1"/>
  <c r="I27" i="67"/>
  <c r="T27" i="67"/>
  <c r="U27" i="67" s="1"/>
  <c r="X27" i="67" s="1"/>
  <c r="AB27" i="67" s="1"/>
  <c r="I13" i="67"/>
  <c r="T13" i="67"/>
  <c r="U13" i="67" s="1"/>
  <c r="X13" i="67" s="1"/>
  <c r="AB13" i="67" s="1"/>
  <c r="I32" i="67"/>
  <c r="T32" i="67"/>
  <c r="U32" i="67" s="1"/>
  <c r="X32" i="67" s="1"/>
  <c r="AB32" i="67" s="1"/>
  <c r="I37" i="67"/>
  <c r="T37" i="67"/>
  <c r="U37" i="67" s="1"/>
  <c r="X37" i="67" s="1"/>
  <c r="AB37" i="67" s="1"/>
  <c r="I29" i="67"/>
  <c r="T29" i="67"/>
  <c r="U29" i="67" s="1"/>
  <c r="X29" i="67" s="1"/>
  <c r="AB29" i="67" s="1"/>
  <c r="I16" i="67"/>
  <c r="T16" i="67"/>
  <c r="U16" i="67" s="1"/>
  <c r="X16" i="67" s="1"/>
  <c r="AB16" i="67" s="1"/>
  <c r="I44" i="67"/>
  <c r="T44" i="67"/>
  <c r="U44" i="67" s="1"/>
  <c r="X44" i="67" s="1"/>
  <c r="AB44" i="67" s="1"/>
  <c r="I24" i="67"/>
  <c r="T24" i="67"/>
  <c r="U24" i="67" s="1"/>
  <c r="X24" i="67" s="1"/>
  <c r="AB24" i="67" s="1"/>
  <c r="I21" i="67"/>
  <c r="T21" i="67"/>
  <c r="U21" i="67" s="1"/>
  <c r="X21" i="67" s="1"/>
  <c r="AB21" i="67" s="1"/>
  <c r="I15" i="67"/>
  <c r="T15" i="67"/>
  <c r="U15" i="67" s="1"/>
  <c r="X15" i="67" s="1"/>
  <c r="AB15" i="67" s="1"/>
  <c r="I20" i="66"/>
  <c r="T20" i="66"/>
  <c r="U20" i="66" s="1"/>
  <c r="X20" i="66" s="1"/>
  <c r="AB20" i="66" s="1"/>
  <c r="I21" i="66"/>
  <c r="I42" i="66"/>
  <c r="T33" i="66"/>
  <c r="U33" i="66" s="1"/>
  <c r="X33" i="66" s="1"/>
  <c r="AB33" i="66" s="1"/>
  <c r="I33" i="66"/>
  <c r="I14" i="66"/>
  <c r="I35" i="66"/>
  <c r="T35" i="66"/>
  <c r="U35" i="66" s="1"/>
  <c r="X35" i="66" s="1"/>
  <c r="AB35" i="66" s="1"/>
  <c r="I37" i="66"/>
  <c r="I18" i="66"/>
  <c r="T32" i="66"/>
  <c r="U32" i="66" s="1"/>
  <c r="X32" i="66" s="1"/>
  <c r="AB32" i="66" s="1"/>
  <c r="T38" i="66"/>
  <c r="U38" i="66" s="1"/>
  <c r="X38" i="66" s="1"/>
  <c r="AB38" i="66" s="1"/>
  <c r="T26" i="66"/>
  <c r="U26" i="66" s="1"/>
  <c r="X26" i="66" s="1"/>
  <c r="AB26" i="66" s="1"/>
  <c r="T19" i="66"/>
  <c r="U19" i="66" s="1"/>
  <c r="X19" i="66" s="1"/>
  <c r="AB19" i="66" s="1"/>
  <c r="T44" i="66"/>
  <c r="U44" i="66" s="1"/>
  <c r="X44" i="66" s="1"/>
  <c r="AB44" i="66" s="1"/>
  <c r="B20" i="67"/>
  <c r="D21" i="66"/>
  <c r="C20" i="66"/>
  <c r="B21" i="66"/>
  <c r="D21" i="65"/>
  <c r="C20" i="65"/>
  <c r="W12" i="70"/>
  <c r="W15" i="69"/>
  <c r="W14" i="69"/>
  <c r="W14" i="68"/>
  <c r="X15" i="68"/>
  <c r="W15" i="68" s="1"/>
  <c r="AE11" i="64"/>
  <c r="AF11" i="64"/>
  <c r="AG11" i="64"/>
  <c r="BN8" i="15"/>
  <c r="Z11" i="64"/>
  <c r="AI11" i="64"/>
  <c r="AO11" i="64"/>
  <c r="Y11" i="64"/>
  <c r="AP11" i="64"/>
  <c r="AT11" i="64"/>
  <c r="F12" i="16"/>
  <c r="AJ13" i="50" s="1"/>
  <c r="W13" i="62"/>
  <c r="G17" i="62"/>
  <c r="C19" i="64"/>
  <c r="D20" i="64"/>
  <c r="C15" i="61"/>
  <c r="D16" i="61"/>
  <c r="B17" i="61"/>
  <c r="F25" i="16"/>
  <c r="AJ26" i="50" s="1"/>
  <c r="W13" i="60"/>
  <c r="X14" i="60"/>
  <c r="AV9" i="50"/>
  <c r="BT11" i="50"/>
  <c r="F31" i="16"/>
  <c r="AJ32" i="50" s="1"/>
  <c r="F30" i="16"/>
  <c r="AJ31" i="50" s="1"/>
  <c r="BO11" i="50"/>
  <c r="F23" i="16"/>
  <c r="AJ24" i="50" s="1"/>
  <c r="F34" i="16"/>
  <c r="AJ35" i="50" s="1"/>
  <c r="F15" i="16"/>
  <c r="AJ16" i="50" s="1"/>
  <c r="F18" i="16"/>
  <c r="AJ19" i="50" s="1"/>
  <c r="F11" i="16"/>
  <c r="AJ12" i="50" s="1"/>
  <c r="F33" i="16"/>
  <c r="AJ34" i="50" s="1"/>
  <c r="AY11" i="50"/>
  <c r="AY9" i="50" s="1"/>
  <c r="F21" i="16"/>
  <c r="AJ22" i="50" s="1"/>
  <c r="F16" i="16"/>
  <c r="AJ17" i="50" s="1"/>
  <c r="F28" i="16"/>
  <c r="AJ29" i="50" s="1"/>
  <c r="G17" i="45"/>
  <c r="F20" i="16"/>
  <c r="AJ21" i="50" s="1"/>
  <c r="BP11" i="50"/>
  <c r="F22" i="16"/>
  <c r="AJ23" i="50" s="1"/>
  <c r="F35" i="16"/>
  <c r="AJ36" i="50" s="1"/>
  <c r="F17" i="16"/>
  <c r="AJ18" i="50" s="1"/>
  <c r="F14" i="16"/>
  <c r="AJ15" i="50" s="1"/>
  <c r="F27" i="16"/>
  <c r="AJ28" i="50" s="1"/>
  <c r="F32" i="16"/>
  <c r="AJ33" i="50" s="1"/>
  <c r="BI11" i="50"/>
  <c r="BH12" i="50" s="1"/>
  <c r="F29" i="16"/>
  <c r="AJ30" i="50" s="1"/>
  <c r="F19" i="16"/>
  <c r="AJ20" i="50" s="1"/>
  <c r="F24" i="16"/>
  <c r="AJ25" i="50" s="1"/>
  <c r="Z8" i="15"/>
  <c r="Y9" i="15" s="1"/>
  <c r="Z9" i="15" s="1"/>
  <c r="Y10" i="15" s="1"/>
  <c r="W10" i="15" s="1"/>
  <c r="F13" i="16"/>
  <c r="AJ14" i="50" s="1"/>
  <c r="U12" i="50"/>
  <c r="U13" i="50" s="1"/>
  <c r="U14" i="50" s="1"/>
  <c r="U15" i="50" s="1"/>
  <c r="U16" i="50" s="1"/>
  <c r="U17" i="50" s="1"/>
  <c r="U18" i="50" s="1"/>
  <c r="U19" i="50" s="1"/>
  <c r="U20" i="50" s="1"/>
  <c r="U21" i="50" s="1"/>
  <c r="U22" i="50" s="1"/>
  <c r="U23" i="50" s="1"/>
  <c r="U24" i="50" s="1"/>
  <c r="U25" i="50" s="1"/>
  <c r="U26" i="50" s="1"/>
  <c r="U27" i="50" s="1"/>
  <c r="U28" i="50" s="1"/>
  <c r="U29" i="50" s="1"/>
  <c r="U30" i="50" s="1"/>
  <c r="U31" i="50" s="1"/>
  <c r="U32" i="50" s="1"/>
  <c r="U33" i="50" s="1"/>
  <c r="U34" i="50" s="1"/>
  <c r="U35" i="50" s="1"/>
  <c r="U36" i="50" s="1"/>
  <c r="U37" i="50" s="1"/>
  <c r="U38" i="50" s="1"/>
  <c r="U39" i="50" s="1"/>
  <c r="U40" i="50" s="1"/>
  <c r="U41" i="50" s="1"/>
  <c r="U42" i="50" s="1"/>
  <c r="U43" i="50" s="1"/>
  <c r="U44" i="50" s="1"/>
  <c r="CX10" i="15"/>
  <c r="C12" i="15"/>
  <c r="C11" i="15"/>
  <c r="C13" i="15"/>
  <c r="C16" i="13"/>
  <c r="C17" i="13"/>
  <c r="D18" i="13"/>
  <c r="C13" i="52"/>
  <c r="D14" i="52"/>
  <c r="C14" i="56"/>
  <c r="D15" i="56"/>
  <c r="D15" i="50"/>
  <c r="C14" i="50"/>
  <c r="D16" i="51"/>
  <c r="C15" i="51"/>
  <c r="G15" i="15"/>
  <c r="C14" i="15"/>
  <c r="D16" i="53"/>
  <c r="C15" i="53"/>
  <c r="N12" i="52"/>
  <c r="M14" i="52"/>
  <c r="AA9" i="56"/>
  <c r="J18" i="32"/>
  <c r="L29" i="16" s="1"/>
  <c r="AJ30" i="52" s="1"/>
  <c r="G16" i="32"/>
  <c r="G14" i="32"/>
  <c r="BI11" i="52" s="1"/>
  <c r="BH12" i="52" s="1"/>
  <c r="G15" i="32"/>
  <c r="BO11" i="52" s="1"/>
  <c r="AV11" i="52"/>
  <c r="I9" i="52"/>
  <c r="N13" i="52"/>
  <c r="I4" i="52"/>
  <c r="D17" i="17" s="1"/>
  <c r="M13" i="52"/>
  <c r="I12" i="51"/>
  <c r="I12" i="50"/>
  <c r="G26" i="13"/>
  <c r="I26" i="13" s="1"/>
  <c r="G27" i="13"/>
  <c r="I27" i="13" s="1"/>
  <c r="G30" i="13"/>
  <c r="I30" i="13" s="1"/>
  <c r="G14" i="13"/>
  <c r="I14" i="13" s="1"/>
  <c r="N14" i="13" s="1"/>
  <c r="G23" i="13"/>
  <c r="I23" i="13" s="1"/>
  <c r="G25" i="13"/>
  <c r="I25" i="13" s="1"/>
  <c r="G21" i="13"/>
  <c r="I21" i="13" s="1"/>
  <c r="G12" i="13"/>
  <c r="I12" i="13" s="1"/>
  <c r="G16" i="13"/>
  <c r="I16" i="13" s="1"/>
  <c r="N16" i="13" s="1"/>
  <c r="G18" i="13"/>
  <c r="I18" i="13" s="1"/>
  <c r="G13" i="13"/>
  <c r="I13" i="13" s="1"/>
  <c r="N13" i="13" s="1"/>
  <c r="G17" i="13"/>
  <c r="I17" i="13" s="1"/>
  <c r="G31" i="13"/>
  <c r="I31" i="13" s="1"/>
  <c r="G15" i="13"/>
  <c r="I15" i="13" s="1"/>
  <c r="N15" i="13" s="1"/>
  <c r="G22" i="13"/>
  <c r="I22" i="13" s="1"/>
  <c r="G32" i="13"/>
  <c r="I32" i="13" s="1"/>
  <c r="G35" i="13"/>
  <c r="I35" i="13" s="1"/>
  <c r="G33" i="13"/>
  <c r="I33" i="13" s="1"/>
  <c r="G29" i="13"/>
  <c r="I29" i="13" s="1"/>
  <c r="G24" i="13"/>
  <c r="I24" i="13" s="1"/>
  <c r="G34" i="13"/>
  <c r="I34" i="13" s="1"/>
  <c r="G36" i="13"/>
  <c r="I36" i="13" s="1"/>
  <c r="G28" i="13"/>
  <c r="I28" i="13" s="1"/>
  <c r="G20" i="13"/>
  <c r="I20" i="13" s="1"/>
  <c r="N15" i="52"/>
  <c r="T15" i="56"/>
  <c r="P14" i="56"/>
  <c r="O20" i="56"/>
  <c r="AI9" i="56"/>
  <c r="S13" i="56"/>
  <c r="Q13" i="56"/>
  <c r="AF9" i="56"/>
  <c r="R16" i="56"/>
  <c r="P15" i="56"/>
  <c r="AG9" i="56"/>
  <c r="R17" i="56"/>
  <c r="O21" i="56"/>
  <c r="BT11" i="53"/>
  <c r="BP11" i="53"/>
  <c r="BO11" i="53"/>
  <c r="T9" i="52"/>
  <c r="Z9" i="56"/>
  <c r="T9" i="51"/>
  <c r="U9" i="52"/>
  <c r="T9" i="53"/>
  <c r="U9" i="53"/>
  <c r="U9" i="51"/>
  <c r="X9" i="56"/>
  <c r="T9" i="50"/>
  <c r="Y9" i="56"/>
  <c r="S14" i="51"/>
  <c r="Q15" i="50"/>
  <c r="M14" i="50"/>
  <c r="AX11" i="13"/>
  <c r="AW9" i="13"/>
  <c r="Q15" i="53"/>
  <c r="T9" i="13"/>
  <c r="S9" i="52"/>
  <c r="M15" i="52"/>
  <c r="R15" i="13"/>
  <c r="Q17" i="51"/>
  <c r="Q15" i="52"/>
  <c r="M10" i="15"/>
  <c r="AX11" i="50"/>
  <c r="AW9" i="50"/>
  <c r="U9" i="13"/>
  <c r="CR10" i="15"/>
  <c r="CQ11" i="15" s="1"/>
  <c r="CO11" i="15" s="1"/>
  <c r="CS10" i="15"/>
  <c r="DH11" i="15"/>
  <c r="G9" i="51" l="1"/>
  <c r="M13" i="51"/>
  <c r="G14" i="53"/>
  <c r="I14" i="53" s="1"/>
  <c r="M14" i="53" s="1"/>
  <c r="G27" i="53"/>
  <c r="I27" i="53" s="1"/>
  <c r="G24" i="53"/>
  <c r="I24" i="53" s="1"/>
  <c r="G22" i="53"/>
  <c r="I22" i="53" s="1"/>
  <c r="G15" i="53"/>
  <c r="I15" i="53" s="1"/>
  <c r="M15" i="53" s="1"/>
  <c r="G31" i="53"/>
  <c r="I31" i="53" s="1"/>
  <c r="G20" i="53"/>
  <c r="I20" i="53" s="1"/>
  <c r="G32" i="53"/>
  <c r="I32" i="53" s="1"/>
  <c r="G33" i="53"/>
  <c r="I33" i="53" s="1"/>
  <c r="G35" i="53"/>
  <c r="I35" i="53" s="1"/>
  <c r="G34" i="53"/>
  <c r="I34" i="53" s="1"/>
  <c r="G29" i="53"/>
  <c r="I29" i="53" s="1"/>
  <c r="G16" i="53"/>
  <c r="I16" i="53" s="1"/>
  <c r="G28" i="53"/>
  <c r="I28" i="53" s="1"/>
  <c r="G17" i="53"/>
  <c r="I17" i="53" s="1"/>
  <c r="G13" i="53"/>
  <c r="I13" i="53" s="1"/>
  <c r="M13" i="53" s="1"/>
  <c r="G23" i="53"/>
  <c r="I23" i="53" s="1"/>
  <c r="G30" i="53"/>
  <c r="I30" i="53" s="1"/>
  <c r="G12" i="53"/>
  <c r="I12" i="53" s="1"/>
  <c r="N12" i="53" s="1"/>
  <c r="G36" i="53"/>
  <c r="I36" i="53" s="1"/>
  <c r="G21" i="53"/>
  <c r="I21" i="53" s="1"/>
  <c r="G25" i="53"/>
  <c r="I25" i="53" s="1"/>
  <c r="G26" i="53"/>
  <c r="I26" i="53" s="1"/>
  <c r="G19" i="53"/>
  <c r="I19" i="53" s="1"/>
  <c r="G9" i="50"/>
  <c r="M13" i="50"/>
  <c r="T41" i="65"/>
  <c r="U41" i="65" s="1"/>
  <c r="X41" i="65" s="1"/>
  <c r="AB41" i="65" s="1"/>
  <c r="T24" i="66"/>
  <c r="U24" i="66" s="1"/>
  <c r="X24" i="66" s="1"/>
  <c r="AB24" i="66" s="1"/>
  <c r="I30" i="66"/>
  <c r="T28" i="66"/>
  <c r="U28" i="66" s="1"/>
  <c r="X28" i="66" s="1"/>
  <c r="AB28" i="66" s="1"/>
  <c r="I27" i="66"/>
  <c r="I29" i="66"/>
  <c r="L29" i="66" s="1"/>
  <c r="I31" i="66"/>
  <c r="I15" i="66"/>
  <c r="L15" i="66" s="1"/>
  <c r="T39" i="66"/>
  <c r="U39" i="66" s="1"/>
  <c r="X39" i="66" s="1"/>
  <c r="AB39" i="66" s="1"/>
  <c r="I13" i="66"/>
  <c r="L13" i="66" s="1"/>
  <c r="T16" i="66"/>
  <c r="U16" i="66" s="1"/>
  <c r="X16" i="66" s="1"/>
  <c r="AB16" i="66" s="1"/>
  <c r="T22" i="66"/>
  <c r="U22" i="66" s="1"/>
  <c r="X22" i="66" s="1"/>
  <c r="AB22" i="66" s="1"/>
  <c r="I43" i="66"/>
  <c r="L43" i="66" s="1"/>
  <c r="T34" i="66"/>
  <c r="U34" i="66" s="1"/>
  <c r="X34" i="66" s="1"/>
  <c r="AB34" i="66" s="1"/>
  <c r="I40" i="65"/>
  <c r="J40" i="65" s="1"/>
  <c r="X31" i="16"/>
  <c r="AP32" i="56" s="1"/>
  <c r="BC9" i="56"/>
  <c r="BB9" i="56"/>
  <c r="O19" i="16"/>
  <c r="AJ20" i="53" s="1"/>
  <c r="O20" i="16"/>
  <c r="AJ21" i="53" s="1"/>
  <c r="AF10" i="15"/>
  <c r="AH10" i="15" s="1"/>
  <c r="AK10" i="15" s="1"/>
  <c r="O26" i="16"/>
  <c r="AJ27" i="53" s="1"/>
  <c r="O24" i="16"/>
  <c r="AJ25" i="53" s="1"/>
  <c r="O27" i="16"/>
  <c r="AJ28" i="53" s="1"/>
  <c r="O30" i="16"/>
  <c r="AJ31" i="53" s="1"/>
  <c r="O14" i="16"/>
  <c r="AJ15" i="53" s="1"/>
  <c r="AZ11" i="53"/>
  <c r="AZ9" i="53" s="1"/>
  <c r="BD8" i="15"/>
  <c r="BC9" i="15" s="1"/>
  <c r="BD9" i="15" s="1"/>
  <c r="BC10" i="15" s="1"/>
  <c r="BA10" i="15" s="1"/>
  <c r="AZ10" i="15" s="1"/>
  <c r="BB10" i="15" s="1"/>
  <c r="BK12" i="53" s="1"/>
  <c r="X22" i="16"/>
  <c r="AP23" i="56" s="1"/>
  <c r="X13" i="16"/>
  <c r="AP14" i="56" s="1"/>
  <c r="X33" i="16"/>
  <c r="AP34" i="56" s="1"/>
  <c r="BF11" i="56"/>
  <c r="BF9" i="56" s="1"/>
  <c r="CD10" i="15"/>
  <c r="CF10" i="15" s="1"/>
  <c r="O33" i="16"/>
  <c r="AJ34" i="53" s="1"/>
  <c r="O21" i="16"/>
  <c r="AJ22" i="53" s="1"/>
  <c r="O17" i="16"/>
  <c r="AJ18" i="53" s="1"/>
  <c r="O35" i="16"/>
  <c r="AJ36" i="53" s="1"/>
  <c r="O23" i="16"/>
  <c r="AJ24" i="53" s="1"/>
  <c r="G17" i="48"/>
  <c r="X23" i="16"/>
  <c r="AP24" i="56" s="1"/>
  <c r="X24" i="16"/>
  <c r="AP25" i="56" s="1"/>
  <c r="X25" i="16"/>
  <c r="AP26" i="56" s="1"/>
  <c r="X29" i="16"/>
  <c r="AP30" i="56" s="1"/>
  <c r="X28" i="16"/>
  <c r="AP29" i="56" s="1"/>
  <c r="X20" i="16"/>
  <c r="AP21" i="56" s="1"/>
  <c r="X19" i="16"/>
  <c r="AP20" i="56" s="1"/>
  <c r="X15" i="16"/>
  <c r="AP16" i="56" s="1"/>
  <c r="X12" i="16"/>
  <c r="AP13" i="56" s="1"/>
  <c r="X17" i="16"/>
  <c r="AP18" i="56" s="1"/>
  <c r="X26" i="16"/>
  <c r="AP27" i="56" s="1"/>
  <c r="X30" i="16"/>
  <c r="AP31" i="56" s="1"/>
  <c r="X32" i="16"/>
  <c r="AP33" i="56" s="1"/>
  <c r="X21" i="16"/>
  <c r="AP22" i="56" s="1"/>
  <c r="X18" i="16"/>
  <c r="AP19" i="56" s="1"/>
  <c r="X11" i="16"/>
  <c r="AP12" i="56" s="1"/>
  <c r="X16" i="16"/>
  <c r="AP17" i="56" s="1"/>
  <c r="X34" i="16"/>
  <c r="AP35" i="56" s="1"/>
  <c r="X14" i="16"/>
  <c r="AP15" i="56" s="1"/>
  <c r="X35" i="16"/>
  <c r="AP36" i="56" s="1"/>
  <c r="O34" i="16"/>
  <c r="AJ35" i="53" s="1"/>
  <c r="O16" i="16"/>
  <c r="AJ17" i="53" s="1"/>
  <c r="O22" i="16"/>
  <c r="AJ23" i="53" s="1"/>
  <c r="O12" i="16"/>
  <c r="AJ13" i="53" s="1"/>
  <c r="O18" i="16"/>
  <c r="AJ19" i="53" s="1"/>
  <c r="O31" i="16"/>
  <c r="AJ32" i="53" s="1"/>
  <c r="O29" i="16"/>
  <c r="AJ30" i="53" s="1"/>
  <c r="O25" i="16"/>
  <c r="AJ26" i="53" s="1"/>
  <c r="O15" i="16"/>
  <c r="AJ16" i="53" s="1"/>
  <c r="O13" i="16"/>
  <c r="AJ14" i="53" s="1"/>
  <c r="O32" i="16"/>
  <c r="AJ33" i="53" s="1"/>
  <c r="O11" i="16"/>
  <c r="AJ12" i="53" s="1"/>
  <c r="BA11" i="13"/>
  <c r="BA9" i="13" s="1"/>
  <c r="AW9" i="51"/>
  <c r="BA11" i="51"/>
  <c r="BA9" i="51" s="1"/>
  <c r="AY9" i="13"/>
  <c r="BO11" i="56"/>
  <c r="BN12" i="56" s="1"/>
  <c r="AY11" i="53"/>
  <c r="BU11" i="56"/>
  <c r="BV11" i="56"/>
  <c r="BE11" i="56"/>
  <c r="BE9" i="56" s="1"/>
  <c r="G17" i="41"/>
  <c r="T40" i="66"/>
  <c r="U40" i="66" s="1"/>
  <c r="X40" i="66" s="1"/>
  <c r="AB40" i="66" s="1"/>
  <c r="I41" i="66"/>
  <c r="J41" i="66" s="1"/>
  <c r="T17" i="66"/>
  <c r="U17" i="66" s="1"/>
  <c r="X17" i="66" s="1"/>
  <c r="AB17" i="66" s="1"/>
  <c r="I25" i="66"/>
  <c r="J25" i="66" s="1"/>
  <c r="T36" i="66"/>
  <c r="U36" i="66" s="1"/>
  <c r="X36" i="66" s="1"/>
  <c r="AB36" i="66" s="1"/>
  <c r="AJ9" i="51"/>
  <c r="S9" i="53"/>
  <c r="N27" i="62"/>
  <c r="N28" i="62" s="1"/>
  <c r="M27" i="62"/>
  <c r="M28" i="62" s="1"/>
  <c r="M29" i="62" s="1"/>
  <c r="I9" i="16"/>
  <c r="AJ12" i="13"/>
  <c r="AJ9" i="13" s="1"/>
  <c r="C9" i="16"/>
  <c r="AW11" i="53"/>
  <c r="AV9" i="53"/>
  <c r="I19" i="65"/>
  <c r="L19" i="65" s="1"/>
  <c r="CN11" i="15"/>
  <c r="CP11" i="15" s="1"/>
  <c r="AK13" i="66" s="1"/>
  <c r="AJ13" i="66"/>
  <c r="M13" i="66" s="1"/>
  <c r="I36" i="65"/>
  <c r="J36" i="65" s="1"/>
  <c r="T23" i="65"/>
  <c r="U23" i="65" s="1"/>
  <c r="X23" i="65" s="1"/>
  <c r="AB23" i="65" s="1"/>
  <c r="I30" i="65"/>
  <c r="L30" i="65" s="1"/>
  <c r="T26" i="65"/>
  <c r="U26" i="65" s="1"/>
  <c r="X26" i="65" s="1"/>
  <c r="AB26" i="65" s="1"/>
  <c r="I33" i="65"/>
  <c r="L33" i="65" s="1"/>
  <c r="T25" i="65"/>
  <c r="U25" i="65" s="1"/>
  <c r="X25" i="65" s="1"/>
  <c r="AB25" i="65" s="1"/>
  <c r="I18" i="65"/>
  <c r="L18" i="65" s="1"/>
  <c r="I15" i="65"/>
  <c r="J15" i="65" s="1"/>
  <c r="T13" i="65"/>
  <c r="U13" i="65" s="1"/>
  <c r="X13" i="65" s="1"/>
  <c r="AB13" i="65" s="1"/>
  <c r="I20" i="65"/>
  <c r="J20" i="65" s="1"/>
  <c r="T39" i="65"/>
  <c r="U39" i="65" s="1"/>
  <c r="X39" i="65" s="1"/>
  <c r="AB39" i="65" s="1"/>
  <c r="T43" i="65"/>
  <c r="U43" i="65" s="1"/>
  <c r="X43" i="65" s="1"/>
  <c r="AB43" i="65" s="1"/>
  <c r="T38" i="65"/>
  <c r="U38" i="65" s="1"/>
  <c r="X38" i="65" s="1"/>
  <c r="AB38" i="65" s="1"/>
  <c r="T29" i="65"/>
  <c r="U29" i="65" s="1"/>
  <c r="X29" i="65" s="1"/>
  <c r="AB29" i="65" s="1"/>
  <c r="T37" i="65"/>
  <c r="U37" i="65" s="1"/>
  <c r="X37" i="65" s="1"/>
  <c r="AB37" i="65" s="1"/>
  <c r="I17" i="65"/>
  <c r="L17" i="65" s="1"/>
  <c r="I32" i="65"/>
  <c r="L32" i="65" s="1"/>
  <c r="I14" i="65"/>
  <c r="J14" i="65" s="1"/>
  <c r="T27" i="65"/>
  <c r="U27" i="65" s="1"/>
  <c r="X27" i="65" s="1"/>
  <c r="AB27" i="65" s="1"/>
  <c r="I34" i="65"/>
  <c r="L34" i="65" s="1"/>
  <c r="I24" i="65"/>
  <c r="L24" i="65" s="1"/>
  <c r="I42" i="65"/>
  <c r="J42" i="65" s="1"/>
  <c r="T31" i="65"/>
  <c r="U31" i="65" s="1"/>
  <c r="X31" i="65" s="1"/>
  <c r="AB31" i="65" s="1"/>
  <c r="I35" i="65"/>
  <c r="J35" i="65" s="1"/>
  <c r="T16" i="65"/>
  <c r="U16" i="65" s="1"/>
  <c r="X16" i="65" s="1"/>
  <c r="AB16" i="65" s="1"/>
  <c r="T44" i="65"/>
  <c r="U44" i="65" s="1"/>
  <c r="X44" i="65" s="1"/>
  <c r="AB44" i="65" s="1"/>
  <c r="I21" i="65"/>
  <c r="L21" i="65" s="1"/>
  <c r="I28" i="65"/>
  <c r="J28" i="65" s="1"/>
  <c r="AF11" i="61"/>
  <c r="AG11" i="61"/>
  <c r="AE11" i="61"/>
  <c r="J11" i="60"/>
  <c r="G15" i="60"/>
  <c r="AP11" i="61" s="1"/>
  <c r="G16" i="60"/>
  <c r="G14" i="60"/>
  <c r="BX8" i="15" s="1"/>
  <c r="BW9" i="15" s="1"/>
  <c r="BX9" i="15" s="1"/>
  <c r="BW10" i="15" s="1"/>
  <c r="BU10" i="15" s="1"/>
  <c r="O4" i="60"/>
  <c r="BA11" i="50"/>
  <c r="BA9" i="50" s="1"/>
  <c r="J33" i="65"/>
  <c r="J19" i="65"/>
  <c r="J43" i="65"/>
  <c r="L43" i="65"/>
  <c r="J27" i="65"/>
  <c r="L27" i="65"/>
  <c r="J25" i="65"/>
  <c r="L25" i="65"/>
  <c r="J31" i="65"/>
  <c r="L31" i="65"/>
  <c r="J13" i="65"/>
  <c r="L13" i="65"/>
  <c r="N13" i="65" s="1"/>
  <c r="O13" i="65" s="1"/>
  <c r="J41" i="65"/>
  <c r="L41" i="65"/>
  <c r="J29" i="65"/>
  <c r="L29" i="65"/>
  <c r="J23" i="65"/>
  <c r="L23" i="65"/>
  <c r="L22" i="65"/>
  <c r="J22" i="65"/>
  <c r="J39" i="65"/>
  <c r="L39" i="65"/>
  <c r="J26" i="65"/>
  <c r="L26" i="65"/>
  <c r="J44" i="65"/>
  <c r="L44" i="65"/>
  <c r="J38" i="65"/>
  <c r="L38" i="65"/>
  <c r="J32" i="65"/>
  <c r="J16" i="65"/>
  <c r="L16" i="65"/>
  <c r="J37" i="65"/>
  <c r="L37" i="65"/>
  <c r="L15" i="67"/>
  <c r="J15" i="67"/>
  <c r="J16" i="67"/>
  <c r="L16" i="67"/>
  <c r="J13" i="67"/>
  <c r="L13" i="67"/>
  <c r="J28" i="67"/>
  <c r="L28" i="67"/>
  <c r="J36" i="67"/>
  <c r="L36" i="67"/>
  <c r="L38" i="67"/>
  <c r="J38" i="67"/>
  <c r="J14" i="67"/>
  <c r="L14" i="67"/>
  <c r="L20" i="67"/>
  <c r="J20" i="67"/>
  <c r="J25" i="67"/>
  <c r="L25" i="67"/>
  <c r="L39" i="67"/>
  <c r="J39" i="67"/>
  <c r="J21" i="67"/>
  <c r="L21" i="67"/>
  <c r="J29" i="67"/>
  <c r="L29" i="67"/>
  <c r="L27" i="67"/>
  <c r="J27" i="67"/>
  <c r="L43" i="67"/>
  <c r="J43" i="67"/>
  <c r="J41" i="67"/>
  <c r="L41" i="67"/>
  <c r="L23" i="67"/>
  <c r="J23" i="67"/>
  <c r="J33" i="67"/>
  <c r="L33" i="67"/>
  <c r="J40" i="67"/>
  <c r="L40" i="67"/>
  <c r="J24" i="67"/>
  <c r="L24" i="67"/>
  <c r="J37" i="67"/>
  <c r="L37" i="67"/>
  <c r="L19" i="67"/>
  <c r="J19" i="67"/>
  <c r="L35" i="67"/>
  <c r="J35" i="67"/>
  <c r="J17" i="67"/>
  <c r="L17" i="67"/>
  <c r="L31" i="67"/>
  <c r="J31" i="67"/>
  <c r="J42" i="67"/>
  <c r="L42" i="67"/>
  <c r="J44" i="67"/>
  <c r="L44" i="67"/>
  <c r="L32" i="67"/>
  <c r="J32" i="67"/>
  <c r="J18" i="67"/>
  <c r="L18" i="67"/>
  <c r="J26" i="67"/>
  <c r="L26" i="67"/>
  <c r="J34" i="67"/>
  <c r="L34" i="67"/>
  <c r="J30" i="67"/>
  <c r="L30" i="67"/>
  <c r="J22" i="67"/>
  <c r="L22" i="67"/>
  <c r="J28" i="66"/>
  <c r="L28" i="66"/>
  <c r="L31" i="66"/>
  <c r="J31" i="66"/>
  <c r="L26" i="66"/>
  <c r="J26" i="66"/>
  <c r="J24" i="66"/>
  <c r="L24" i="66"/>
  <c r="J23" i="66"/>
  <c r="L23" i="66"/>
  <c r="L18" i="66"/>
  <c r="J18" i="66"/>
  <c r="L42" i="66"/>
  <c r="J42" i="66"/>
  <c r="J44" i="66"/>
  <c r="L44" i="66"/>
  <c r="J38" i="66"/>
  <c r="L38" i="66"/>
  <c r="L17" i="66"/>
  <c r="J17" i="66"/>
  <c r="J27" i="66"/>
  <c r="L27" i="66"/>
  <c r="L22" i="66"/>
  <c r="J22" i="66"/>
  <c r="L21" i="66"/>
  <c r="J21" i="66"/>
  <c r="J30" i="66"/>
  <c r="L30" i="66"/>
  <c r="L19" i="66"/>
  <c r="J19" i="66"/>
  <c r="J37" i="66"/>
  <c r="L37" i="66"/>
  <c r="J16" i="66"/>
  <c r="L16" i="66"/>
  <c r="J32" i="66"/>
  <c r="L32" i="66"/>
  <c r="J35" i="66"/>
  <c r="L35" i="66"/>
  <c r="L34" i="66"/>
  <c r="J34" i="66"/>
  <c r="J43" i="66"/>
  <c r="J15" i="66"/>
  <c r="J33" i="66"/>
  <c r="L33" i="66"/>
  <c r="J40" i="66"/>
  <c r="L40" i="66"/>
  <c r="J13" i="66"/>
  <c r="J14" i="66"/>
  <c r="L14" i="66"/>
  <c r="L39" i="66"/>
  <c r="J39" i="66"/>
  <c r="J20" i="66"/>
  <c r="L20" i="66"/>
  <c r="J36" i="66"/>
  <c r="L36" i="66"/>
  <c r="B21" i="67"/>
  <c r="D22" i="66"/>
  <c r="C21" i="66"/>
  <c r="B22" i="66"/>
  <c r="D22" i="65"/>
  <c r="C21" i="65"/>
  <c r="W13" i="70"/>
  <c r="T12" i="67"/>
  <c r="U12" i="67" s="1"/>
  <c r="X12" i="67" s="1"/>
  <c r="AB12" i="67" s="1"/>
  <c r="I12" i="67"/>
  <c r="J12" i="67" s="1"/>
  <c r="T12" i="65"/>
  <c r="U12" i="65" s="1"/>
  <c r="X12" i="65" s="1"/>
  <c r="AB12" i="65" s="1"/>
  <c r="I12" i="65"/>
  <c r="J12" i="65" s="1"/>
  <c r="AH12" i="65"/>
  <c r="AH12" i="66"/>
  <c r="AH12" i="67"/>
  <c r="T12" i="66"/>
  <c r="U12" i="66" s="1"/>
  <c r="X12" i="66" s="1"/>
  <c r="AB12" i="66" s="1"/>
  <c r="I12" i="66"/>
  <c r="J12" i="66" s="1"/>
  <c r="AH12" i="64"/>
  <c r="W15" i="62"/>
  <c r="W14" i="62"/>
  <c r="D21" i="64"/>
  <c r="C20" i="64"/>
  <c r="B18" i="61"/>
  <c r="C16" i="61"/>
  <c r="D17" i="61"/>
  <c r="W14" i="60"/>
  <c r="X15" i="60"/>
  <c r="W15" i="60" s="1"/>
  <c r="BJ12" i="50"/>
  <c r="AL12" i="50" s="1"/>
  <c r="V10" i="15"/>
  <c r="X10" i="15" s="1"/>
  <c r="Z10" i="15" s="1"/>
  <c r="Y11" i="15" s="1"/>
  <c r="AJ9" i="50"/>
  <c r="U9" i="50"/>
  <c r="F9" i="16"/>
  <c r="BM9" i="15"/>
  <c r="BN9" i="15" s="1"/>
  <c r="BM10" i="15" s="1"/>
  <c r="BK10" i="15" s="1"/>
  <c r="AJ12" i="64" s="1"/>
  <c r="K12" i="64"/>
  <c r="CZ10" i="15"/>
  <c r="AK12" i="67" s="1"/>
  <c r="D17" i="51"/>
  <c r="C16" i="51"/>
  <c r="C15" i="15"/>
  <c r="G16" i="15"/>
  <c r="D16" i="56"/>
  <c r="C15" i="56"/>
  <c r="D16" i="50"/>
  <c r="C15" i="50"/>
  <c r="C14" i="52"/>
  <c r="D15" i="52"/>
  <c r="D17" i="53"/>
  <c r="C16" i="53"/>
  <c r="C18" i="13"/>
  <c r="D19" i="13"/>
  <c r="L20" i="16"/>
  <c r="AJ21" i="52" s="1"/>
  <c r="L23" i="16"/>
  <c r="AJ24" i="52" s="1"/>
  <c r="L27" i="16"/>
  <c r="AJ28" i="52" s="1"/>
  <c r="L25" i="16"/>
  <c r="AJ26" i="52" s="1"/>
  <c r="L21" i="16"/>
  <c r="AJ22" i="52" s="1"/>
  <c r="L14" i="16"/>
  <c r="AJ15" i="52" s="1"/>
  <c r="BP11" i="52"/>
  <c r="L26" i="16"/>
  <c r="AJ27" i="52" s="1"/>
  <c r="L32" i="16"/>
  <c r="AJ33" i="52" s="1"/>
  <c r="L22" i="16"/>
  <c r="AJ23" i="52" s="1"/>
  <c r="L30" i="16"/>
  <c r="AJ31" i="52" s="1"/>
  <c r="L13" i="16"/>
  <c r="AJ14" i="52" s="1"/>
  <c r="L24" i="16"/>
  <c r="AJ25" i="52" s="1"/>
  <c r="L16" i="16"/>
  <c r="AJ17" i="52" s="1"/>
  <c r="L17" i="16"/>
  <c r="AJ18" i="52" s="1"/>
  <c r="L33" i="16"/>
  <c r="AJ34" i="52" s="1"/>
  <c r="L34" i="16"/>
  <c r="AJ35" i="52" s="1"/>
  <c r="L15" i="16"/>
  <c r="AJ16" i="52" s="1"/>
  <c r="L35" i="16"/>
  <c r="AJ36" i="52" s="1"/>
  <c r="L31" i="16"/>
  <c r="AJ32" i="52" s="1"/>
  <c r="L28" i="16"/>
  <c r="AJ29" i="52" s="1"/>
  <c r="L19" i="16"/>
  <c r="AJ20" i="52" s="1"/>
  <c r="L18" i="16"/>
  <c r="AJ19" i="52" s="1"/>
  <c r="L12" i="16"/>
  <c r="AJ13" i="52" s="1"/>
  <c r="L11" i="16"/>
  <c r="AJ12" i="52" s="1"/>
  <c r="G17" i="32"/>
  <c r="AW11" i="52"/>
  <c r="AV9" i="52"/>
  <c r="AY11" i="52"/>
  <c r="AY9" i="52" s="1"/>
  <c r="BT11" i="52"/>
  <c r="AT8" i="15"/>
  <c r="AS9" i="15" s="1"/>
  <c r="AT9" i="15" s="1"/>
  <c r="AS10" i="15" s="1"/>
  <c r="AQ10" i="15" s="1"/>
  <c r="AZ11" i="52"/>
  <c r="AZ9" i="52" s="1"/>
  <c r="I9" i="51"/>
  <c r="I4" i="51"/>
  <c r="L3" i="17" s="1"/>
  <c r="N12" i="51"/>
  <c r="M12" i="51"/>
  <c r="I9" i="50"/>
  <c r="I4" i="50"/>
  <c r="H3" i="17" s="1"/>
  <c r="N12" i="50"/>
  <c r="M12" i="50"/>
  <c r="M13" i="13"/>
  <c r="M14" i="13"/>
  <c r="G9" i="13"/>
  <c r="I4" i="13"/>
  <c r="D3" i="17" s="1"/>
  <c r="I9" i="13"/>
  <c r="M12" i="13"/>
  <c r="N12" i="13"/>
  <c r="N16" i="52"/>
  <c r="N15" i="50"/>
  <c r="N17" i="13"/>
  <c r="T16" i="56"/>
  <c r="T14" i="56"/>
  <c r="Q14" i="56"/>
  <c r="S14" i="56"/>
  <c r="R18" i="56"/>
  <c r="O22" i="56"/>
  <c r="P16" i="56"/>
  <c r="BG11" i="51"/>
  <c r="BF11" i="51"/>
  <c r="BE11" i="51"/>
  <c r="M15" i="13"/>
  <c r="BM11" i="56"/>
  <c r="BL11" i="56"/>
  <c r="BK11" i="56"/>
  <c r="Q18" i="51"/>
  <c r="M15" i="50"/>
  <c r="AR12" i="56"/>
  <c r="Q16" i="50"/>
  <c r="N15" i="51"/>
  <c r="R16" i="13"/>
  <c r="BG11" i="50"/>
  <c r="BF11" i="50"/>
  <c r="BE11" i="50"/>
  <c r="BE11" i="13"/>
  <c r="BF11" i="13"/>
  <c r="BG11" i="13"/>
  <c r="M14" i="51"/>
  <c r="M16" i="52"/>
  <c r="S15" i="51"/>
  <c r="L10" i="15"/>
  <c r="BJ12" i="13"/>
  <c r="Q16" i="52"/>
  <c r="Q16" i="53"/>
  <c r="DJ11" i="15"/>
  <c r="AK13" i="65" s="1"/>
  <c r="AL13" i="65" s="1"/>
  <c r="N14" i="53" l="1"/>
  <c r="M12" i="53"/>
  <c r="G9" i="53"/>
  <c r="I4" i="53"/>
  <c r="H17" i="17" s="1"/>
  <c r="I9" i="53"/>
  <c r="N13" i="53"/>
  <c r="H13" i="64"/>
  <c r="H21" i="64"/>
  <c r="H29" i="64"/>
  <c r="I29" i="64" s="1"/>
  <c r="J29" i="64" s="1"/>
  <c r="H37" i="64"/>
  <c r="T37" i="64" s="1"/>
  <c r="U37" i="64" s="1"/>
  <c r="X37" i="64" s="1"/>
  <c r="AB37" i="64" s="1"/>
  <c r="H12" i="64"/>
  <c r="H38" i="64"/>
  <c r="H14" i="64"/>
  <c r="I14" i="64" s="1"/>
  <c r="J14" i="64" s="1"/>
  <c r="H15" i="64"/>
  <c r="I15" i="64" s="1"/>
  <c r="J15" i="64" s="1"/>
  <c r="H23" i="64"/>
  <c r="H31" i="64"/>
  <c r="H39" i="64"/>
  <c r="H34" i="64"/>
  <c r="I34" i="64" s="1"/>
  <c r="J34" i="64" s="1"/>
  <c r="H16" i="64"/>
  <c r="H24" i="64"/>
  <c r="H32" i="64"/>
  <c r="I32" i="64" s="1"/>
  <c r="J32" i="64" s="1"/>
  <c r="H40" i="64"/>
  <c r="T40" i="64" s="1"/>
  <c r="U40" i="64" s="1"/>
  <c r="X40" i="64" s="1"/>
  <c r="AB40" i="64" s="1"/>
  <c r="H26" i="64"/>
  <c r="H17" i="64"/>
  <c r="H25" i="64"/>
  <c r="H33" i="64"/>
  <c r="H41" i="64"/>
  <c r="H42" i="64"/>
  <c r="H18" i="64"/>
  <c r="T18" i="64" s="1"/>
  <c r="U18" i="64" s="1"/>
  <c r="X18" i="64" s="1"/>
  <c r="AB18" i="64" s="1"/>
  <c r="H19" i="64"/>
  <c r="I19" i="64" s="1"/>
  <c r="J19" i="64" s="1"/>
  <c r="H27" i="64"/>
  <c r="H35" i="64"/>
  <c r="H43" i="64"/>
  <c r="H22" i="64"/>
  <c r="H20" i="64"/>
  <c r="H28" i="64"/>
  <c r="I28" i="64" s="1"/>
  <c r="J28" i="64" s="1"/>
  <c r="H36" i="64"/>
  <c r="I36" i="64" s="1"/>
  <c r="J36" i="64" s="1"/>
  <c r="H44" i="64"/>
  <c r="H30" i="64"/>
  <c r="L25" i="66"/>
  <c r="L40" i="65"/>
  <c r="J18" i="65"/>
  <c r="J24" i="65"/>
  <c r="BA11" i="53"/>
  <c r="BA9" i="53" s="1"/>
  <c r="J29" i="66"/>
  <c r="L41" i="66"/>
  <c r="BK12" i="51"/>
  <c r="BI12" i="51" s="1"/>
  <c r="BH13" i="51" s="1"/>
  <c r="J34" i="65"/>
  <c r="I16" i="64"/>
  <c r="J16" i="64" s="1"/>
  <c r="T39" i="64"/>
  <c r="U39" i="64" s="1"/>
  <c r="X39" i="64" s="1"/>
  <c r="AB39" i="64" s="1"/>
  <c r="I41" i="64"/>
  <c r="J41" i="64" s="1"/>
  <c r="AJ10" i="15"/>
  <c r="AI11" i="15" s="1"/>
  <c r="AG11" i="15" s="1"/>
  <c r="BJ12" i="53"/>
  <c r="AL12" i="53" s="1"/>
  <c r="AP9" i="56"/>
  <c r="AY9" i="53"/>
  <c r="BB11" i="13"/>
  <c r="BQ11" i="13" s="1"/>
  <c r="BS11" i="13" s="1"/>
  <c r="X9" i="16"/>
  <c r="O9" i="16"/>
  <c r="AJ9" i="53"/>
  <c r="BB11" i="51"/>
  <c r="BQ11" i="51" s="1"/>
  <c r="BS11" i="51" s="1"/>
  <c r="BC11" i="51" s="1"/>
  <c r="O12" i="51" s="1"/>
  <c r="T12" i="64"/>
  <c r="U12" i="64" s="1"/>
  <c r="X12" i="64" s="1"/>
  <c r="AB12" i="64" s="1"/>
  <c r="BG11" i="56"/>
  <c r="BG9" i="56" s="1"/>
  <c r="T17" i="64"/>
  <c r="U17" i="64" s="1"/>
  <c r="X17" i="64" s="1"/>
  <c r="AB17" i="64" s="1"/>
  <c r="T21" i="64"/>
  <c r="U21" i="64" s="1"/>
  <c r="X21" i="64" s="1"/>
  <c r="AB21" i="64" s="1"/>
  <c r="I42" i="64"/>
  <c r="J42" i="64" s="1"/>
  <c r="I38" i="64"/>
  <c r="J38" i="64" s="1"/>
  <c r="I13" i="64"/>
  <c r="J13" i="64" s="1"/>
  <c r="I43" i="64"/>
  <c r="J43" i="64" s="1"/>
  <c r="I30" i="64"/>
  <c r="J30" i="64" s="1"/>
  <c r="T44" i="64"/>
  <c r="U44" i="64" s="1"/>
  <c r="X44" i="64" s="1"/>
  <c r="AB44" i="64" s="1"/>
  <c r="AA4" i="62"/>
  <c r="T26" i="64"/>
  <c r="U26" i="64" s="1"/>
  <c r="X26" i="64" s="1"/>
  <c r="AB26" i="64" s="1"/>
  <c r="I24" i="64"/>
  <c r="J24" i="64" s="1"/>
  <c r="I22" i="64"/>
  <c r="J22" i="64" s="1"/>
  <c r="I20" i="64"/>
  <c r="J20" i="64" s="1"/>
  <c r="I35" i="64"/>
  <c r="J35" i="64" s="1"/>
  <c r="I33" i="64"/>
  <c r="J33" i="64" s="1"/>
  <c r="T31" i="64"/>
  <c r="U31" i="64" s="1"/>
  <c r="X31" i="64" s="1"/>
  <c r="AB31" i="64" s="1"/>
  <c r="N29" i="62"/>
  <c r="AB4" i="62" s="1"/>
  <c r="I27" i="64"/>
  <c r="J27" i="64" s="1"/>
  <c r="I25" i="64"/>
  <c r="J25" i="64" s="1"/>
  <c r="I23" i="64"/>
  <c r="J23" i="64" s="1"/>
  <c r="AX11" i="53"/>
  <c r="AW9" i="53"/>
  <c r="O20" i="60"/>
  <c r="O12" i="60"/>
  <c r="N13" i="66"/>
  <c r="O13" i="66" s="1"/>
  <c r="AD13" i="66" s="1"/>
  <c r="AG13" i="66" s="1"/>
  <c r="U18" i="16"/>
  <c r="U26" i="16"/>
  <c r="K27" i="61" s="1"/>
  <c r="U34" i="16"/>
  <c r="U19" i="16"/>
  <c r="K20" i="61" s="1"/>
  <c r="U27" i="16"/>
  <c r="K28" i="61" s="1"/>
  <c r="U35" i="16"/>
  <c r="K36" i="61" s="1"/>
  <c r="U22" i="16"/>
  <c r="U11" i="16"/>
  <c r="K12" i="61" s="1"/>
  <c r="U23" i="16"/>
  <c r="K24" i="61" s="1"/>
  <c r="U16" i="16"/>
  <c r="K17" i="61" s="1"/>
  <c r="U32" i="16"/>
  <c r="U25" i="16"/>
  <c r="K26" i="61" s="1"/>
  <c r="U12" i="16"/>
  <c r="K13" i="61" s="1"/>
  <c r="U20" i="16"/>
  <c r="K21" i="61" s="1"/>
  <c r="U28" i="16"/>
  <c r="U13" i="16"/>
  <c r="U21" i="16"/>
  <c r="K22" i="61" s="1"/>
  <c r="U29" i="16"/>
  <c r="U14" i="16"/>
  <c r="U30" i="16"/>
  <c r="K31" i="61" s="1"/>
  <c r="U15" i="16"/>
  <c r="K16" i="61" s="1"/>
  <c r="U31" i="16"/>
  <c r="U24" i="16"/>
  <c r="U17" i="16"/>
  <c r="U33" i="16"/>
  <c r="K34" i="61" s="1"/>
  <c r="J30" i="65"/>
  <c r="L20" i="65"/>
  <c r="AL13" i="66"/>
  <c r="T29" i="64"/>
  <c r="U29" i="64" s="1"/>
  <c r="X29" i="64" s="1"/>
  <c r="AB29" i="64" s="1"/>
  <c r="L36" i="65"/>
  <c r="L28" i="65"/>
  <c r="L15" i="65"/>
  <c r="J17" i="65"/>
  <c r="L35" i="65"/>
  <c r="L42" i="65"/>
  <c r="J21" i="65"/>
  <c r="I39" i="64"/>
  <c r="J39" i="64" s="1"/>
  <c r="T41" i="64"/>
  <c r="U41" i="64" s="1"/>
  <c r="X41" i="64" s="1"/>
  <c r="AB41" i="64" s="1"/>
  <c r="AI11" i="61"/>
  <c r="AH12" i="61" s="1"/>
  <c r="L14" i="65"/>
  <c r="Y11" i="61"/>
  <c r="AO11" i="61"/>
  <c r="AT11" i="61"/>
  <c r="G17" i="60"/>
  <c r="Z11" i="61"/>
  <c r="BB11" i="50"/>
  <c r="BQ11" i="50" s="1"/>
  <c r="BS11" i="50" s="1"/>
  <c r="BC11" i="50" s="1"/>
  <c r="O12" i="50" s="1"/>
  <c r="P12" i="50" s="1"/>
  <c r="P13" i="65"/>
  <c r="Q13" i="65" s="1"/>
  <c r="AD13" i="65"/>
  <c r="AG13" i="65" s="1"/>
  <c r="B22" i="67"/>
  <c r="D23" i="66"/>
  <c r="C22" i="66"/>
  <c r="B23" i="66"/>
  <c r="D23" i="65"/>
  <c r="C22" i="65"/>
  <c r="W15" i="70"/>
  <c r="W14" i="70"/>
  <c r="M12" i="66"/>
  <c r="M12" i="65"/>
  <c r="M12" i="67"/>
  <c r="AA11" i="65"/>
  <c r="AB11" i="65" s="1"/>
  <c r="AQ11" i="65" s="1"/>
  <c r="AS11" i="65" s="1"/>
  <c r="AC11" i="65" s="1"/>
  <c r="AA11" i="67"/>
  <c r="AB11" i="67" s="1"/>
  <c r="AQ11" i="67" s="1"/>
  <c r="AS11" i="67" s="1"/>
  <c r="AC11" i="67" s="1"/>
  <c r="AA11" i="66"/>
  <c r="AB11" i="66" s="1"/>
  <c r="AQ11" i="66" s="1"/>
  <c r="AS11" i="66" s="1"/>
  <c r="AC11" i="66" s="1"/>
  <c r="L12" i="67"/>
  <c r="K31" i="64"/>
  <c r="K35" i="64"/>
  <c r="K33" i="64"/>
  <c r="K24" i="64"/>
  <c r="K22" i="64"/>
  <c r="K32" i="64"/>
  <c r="K17" i="64"/>
  <c r="K15" i="64"/>
  <c r="K13" i="64"/>
  <c r="K30" i="64"/>
  <c r="K27" i="64"/>
  <c r="K25" i="64"/>
  <c r="K36" i="64"/>
  <c r="K28" i="64"/>
  <c r="K14" i="64"/>
  <c r="K34" i="64"/>
  <c r="K18" i="64"/>
  <c r="K19" i="64"/>
  <c r="K23" i="64"/>
  <c r="K16" i="64"/>
  <c r="L16" i="64" s="1"/>
  <c r="K29" i="64"/>
  <c r="K26" i="64"/>
  <c r="K21" i="64"/>
  <c r="K20" i="64"/>
  <c r="AA11" i="64"/>
  <c r="AB11" i="64" s="1"/>
  <c r="AQ11" i="64" s="1"/>
  <c r="AS11" i="64" s="1"/>
  <c r="AJ12" i="61"/>
  <c r="M12" i="61" s="1"/>
  <c r="C21" i="64"/>
  <c r="D22" i="64"/>
  <c r="C17" i="61"/>
  <c r="D18" i="61"/>
  <c r="B19" i="61"/>
  <c r="AA10" i="15"/>
  <c r="BK12" i="50"/>
  <c r="BL12" i="50" s="1"/>
  <c r="R9" i="16"/>
  <c r="BJ10" i="15"/>
  <c r="BL10" i="15" s="1"/>
  <c r="BT10" i="15"/>
  <c r="BV10" i="15" s="1"/>
  <c r="DB10" i="15"/>
  <c r="DA11" i="15" s="1"/>
  <c r="DC10" i="15"/>
  <c r="C17" i="53"/>
  <c r="D18" i="53"/>
  <c r="D17" i="56"/>
  <c r="C16" i="56"/>
  <c r="C15" i="52"/>
  <c r="D16" i="52"/>
  <c r="G17" i="15"/>
  <c r="C16" i="15"/>
  <c r="D20" i="13"/>
  <c r="C19" i="13"/>
  <c r="D17" i="50"/>
  <c r="C16" i="50"/>
  <c r="C17" i="51"/>
  <c r="D18" i="51"/>
  <c r="BA11" i="52"/>
  <c r="BA9" i="52" s="1"/>
  <c r="AJ9" i="52"/>
  <c r="L9" i="16"/>
  <c r="AX11" i="52"/>
  <c r="AW9" i="52"/>
  <c r="BJ12" i="52"/>
  <c r="AL12" i="52" s="1"/>
  <c r="AP10" i="15"/>
  <c r="AR10" i="15" s="1"/>
  <c r="AT10" i="15" s="1"/>
  <c r="AS11" i="15" s="1"/>
  <c r="AQ11" i="15" s="1"/>
  <c r="N17" i="52"/>
  <c r="N16" i="50"/>
  <c r="N18" i="13"/>
  <c r="BE10" i="15"/>
  <c r="BD10" i="15"/>
  <c r="BC11" i="15" s="1"/>
  <c r="BA11" i="15" s="1"/>
  <c r="O23" i="56"/>
  <c r="R19" i="56"/>
  <c r="S15" i="56"/>
  <c r="P17" i="56"/>
  <c r="Q15" i="56"/>
  <c r="M16" i="13"/>
  <c r="S16" i="51"/>
  <c r="BQ12" i="56"/>
  <c r="CH10" i="15"/>
  <c r="CG11" i="15" s="1"/>
  <c r="CI10" i="15"/>
  <c r="R17" i="13"/>
  <c r="N16" i="51"/>
  <c r="Q17" i="53"/>
  <c r="M16" i="50"/>
  <c r="W11" i="15"/>
  <c r="M15" i="51"/>
  <c r="BI12" i="53"/>
  <c r="BH13" i="53" s="1"/>
  <c r="Q17" i="52"/>
  <c r="M17" i="52"/>
  <c r="N15" i="53"/>
  <c r="AL12" i="13"/>
  <c r="M16" i="53"/>
  <c r="Q17" i="50"/>
  <c r="Q19" i="51"/>
  <c r="N10" i="15"/>
  <c r="CR11" i="15"/>
  <c r="CQ12" i="15" s="1"/>
  <c r="CO12" i="15" s="1"/>
  <c r="AJ14" i="66" s="1"/>
  <c r="CS11" i="15"/>
  <c r="DL11" i="15"/>
  <c r="DK12" i="15" s="1"/>
  <c r="DM11" i="15"/>
  <c r="P12" i="51" l="1"/>
  <c r="O14" i="46" s="1"/>
  <c r="X12" i="51" s="1"/>
  <c r="X13" i="51" s="1"/>
  <c r="L29" i="64"/>
  <c r="BB11" i="53"/>
  <c r="BQ11" i="53" s="1"/>
  <c r="BS11" i="53" s="1"/>
  <c r="BR12" i="53" s="1"/>
  <c r="BL12" i="53"/>
  <c r="BL12" i="51"/>
  <c r="BH11" i="56"/>
  <c r="BW11" i="56" s="1"/>
  <c r="BY11" i="56" s="1"/>
  <c r="BX12" i="56" s="1"/>
  <c r="L36" i="64"/>
  <c r="I18" i="64"/>
  <c r="J18" i="64" s="1"/>
  <c r="I17" i="64"/>
  <c r="J17" i="64" s="1"/>
  <c r="T16" i="64"/>
  <c r="U16" i="64" s="1"/>
  <c r="X16" i="64" s="1"/>
  <c r="AB16" i="64" s="1"/>
  <c r="L41" i="64"/>
  <c r="L30" i="64"/>
  <c r="L35" i="64"/>
  <c r="I21" i="64"/>
  <c r="J21" i="64" s="1"/>
  <c r="L28" i="64"/>
  <c r="L34" i="64"/>
  <c r="T32" i="64"/>
  <c r="U32" i="64" s="1"/>
  <c r="X32" i="64" s="1"/>
  <c r="AB32" i="64" s="1"/>
  <c r="L14" i="64"/>
  <c r="T14" i="64"/>
  <c r="U14" i="64" s="1"/>
  <c r="X14" i="64" s="1"/>
  <c r="AB14" i="64" s="1"/>
  <c r="T15" i="64"/>
  <c r="U15" i="64" s="1"/>
  <c r="X15" i="64" s="1"/>
  <c r="AB15" i="64" s="1"/>
  <c r="T36" i="64"/>
  <c r="U36" i="64" s="1"/>
  <c r="X36" i="64" s="1"/>
  <c r="AB36" i="64" s="1"/>
  <c r="BR12" i="51"/>
  <c r="T23" i="64"/>
  <c r="U23" i="64" s="1"/>
  <c r="X23" i="64" s="1"/>
  <c r="AB23" i="64" s="1"/>
  <c r="L25" i="64"/>
  <c r="L23" i="64"/>
  <c r="T25" i="64"/>
  <c r="U25" i="64" s="1"/>
  <c r="X25" i="64" s="1"/>
  <c r="AB25" i="64" s="1"/>
  <c r="I12" i="64"/>
  <c r="J12" i="64" s="1"/>
  <c r="T34" i="64"/>
  <c r="U34" i="64" s="1"/>
  <c r="X34" i="64" s="1"/>
  <c r="AB34" i="64" s="1"/>
  <c r="L24" i="64"/>
  <c r="T28" i="64"/>
  <c r="U28" i="64" s="1"/>
  <c r="X28" i="64" s="1"/>
  <c r="AB28" i="64" s="1"/>
  <c r="L20" i="64"/>
  <c r="L15" i="64"/>
  <c r="T35" i="64"/>
  <c r="U35" i="64" s="1"/>
  <c r="X35" i="64" s="1"/>
  <c r="AB35" i="64" s="1"/>
  <c r="T30" i="64"/>
  <c r="U30" i="64" s="1"/>
  <c r="X30" i="64" s="1"/>
  <c r="AB30" i="64" s="1"/>
  <c r="T42" i="64"/>
  <c r="U42" i="64" s="1"/>
  <c r="X42" i="64" s="1"/>
  <c r="AB42" i="64" s="1"/>
  <c r="T20" i="64"/>
  <c r="U20" i="64" s="1"/>
  <c r="X20" i="64" s="1"/>
  <c r="AB20" i="64" s="1"/>
  <c r="I26" i="64"/>
  <c r="J26" i="64" s="1"/>
  <c r="L38" i="64"/>
  <c r="T38" i="64"/>
  <c r="U38" i="64" s="1"/>
  <c r="X38" i="64" s="1"/>
  <c r="AB38" i="64" s="1"/>
  <c r="L33" i="64"/>
  <c r="L42" i="64"/>
  <c r="I31" i="64"/>
  <c r="J31" i="64" s="1"/>
  <c r="L27" i="64"/>
  <c r="T43" i="64"/>
  <c r="U43" i="64" s="1"/>
  <c r="X43" i="64" s="1"/>
  <c r="AB43" i="64" s="1"/>
  <c r="L19" i="64"/>
  <c r="L32" i="64"/>
  <c r="L43" i="64"/>
  <c r="I40" i="64"/>
  <c r="L40" i="64" s="1"/>
  <c r="T13" i="64"/>
  <c r="U13" i="64" s="1"/>
  <c r="X13" i="64" s="1"/>
  <c r="AB13" i="64" s="1"/>
  <c r="L13" i="64"/>
  <c r="L22" i="64"/>
  <c r="T24" i="64"/>
  <c r="U24" i="64" s="1"/>
  <c r="X24" i="64" s="1"/>
  <c r="AB24" i="64" s="1"/>
  <c r="T22" i="64"/>
  <c r="U22" i="64" s="1"/>
  <c r="X22" i="64" s="1"/>
  <c r="AB22" i="64" s="1"/>
  <c r="T27" i="64"/>
  <c r="U27" i="64" s="1"/>
  <c r="X27" i="64" s="1"/>
  <c r="AB27" i="64" s="1"/>
  <c r="I44" i="64"/>
  <c r="L44" i="64" s="1"/>
  <c r="T19" i="64"/>
  <c r="U19" i="64" s="1"/>
  <c r="X19" i="64" s="1"/>
  <c r="AB19" i="64" s="1"/>
  <c r="T33" i="64"/>
  <c r="U33" i="64" s="1"/>
  <c r="X33" i="64" s="1"/>
  <c r="AB33" i="64" s="1"/>
  <c r="I37" i="64"/>
  <c r="J37" i="64" s="1"/>
  <c r="BF11" i="53"/>
  <c r="BE11" i="53"/>
  <c r="BG11" i="53"/>
  <c r="O21" i="60"/>
  <c r="M22" i="60" s="1"/>
  <c r="K19" i="61"/>
  <c r="K35" i="61"/>
  <c r="K32" i="61"/>
  <c r="K30" i="61"/>
  <c r="K14" i="61"/>
  <c r="K18" i="61"/>
  <c r="U9" i="16"/>
  <c r="K23" i="61"/>
  <c r="K33" i="61"/>
  <c r="K15" i="61"/>
  <c r="K29" i="61"/>
  <c r="K25" i="61"/>
  <c r="M14" i="66"/>
  <c r="N14" i="66" s="1"/>
  <c r="O14" i="66" s="1"/>
  <c r="AD14" i="66" s="1"/>
  <c r="AG14" i="66" s="1"/>
  <c r="AA11" i="61"/>
  <c r="AB11" i="61" s="1"/>
  <c r="AQ11" i="61" s="1"/>
  <c r="AS11" i="61" s="1"/>
  <c r="AC11" i="61" s="1"/>
  <c r="G12" i="61" s="1"/>
  <c r="L39" i="64"/>
  <c r="BR12" i="50"/>
  <c r="P13" i="66"/>
  <c r="Q13" i="66" s="1"/>
  <c r="AN13" i="65"/>
  <c r="AO13" i="65" s="1"/>
  <c r="AM13" i="65"/>
  <c r="AM13" i="66"/>
  <c r="AN13" i="66"/>
  <c r="AO13" i="66" s="1"/>
  <c r="B23" i="67"/>
  <c r="B24" i="66"/>
  <c r="D24" i="66"/>
  <c r="C23" i="66"/>
  <c r="C23" i="65"/>
  <c r="D24" i="65"/>
  <c r="G12" i="66"/>
  <c r="AR12" i="66"/>
  <c r="AR12" i="67"/>
  <c r="G12" i="67"/>
  <c r="AR12" i="65"/>
  <c r="G12" i="65"/>
  <c r="N12" i="67"/>
  <c r="O12" i="67" s="1"/>
  <c r="K9" i="67"/>
  <c r="K9" i="65"/>
  <c r="L12" i="65"/>
  <c r="N12" i="65" s="1"/>
  <c r="O12" i="65" s="1"/>
  <c r="K9" i="66"/>
  <c r="L12" i="66"/>
  <c r="N12" i="66" s="1"/>
  <c r="O12" i="66" s="1"/>
  <c r="AK12" i="64"/>
  <c r="AI12" i="64" s="1"/>
  <c r="AH13" i="64" s="1"/>
  <c r="AC11" i="64"/>
  <c r="G12" i="64" s="1"/>
  <c r="AR12" i="64"/>
  <c r="M12" i="64"/>
  <c r="K9" i="64"/>
  <c r="D23" i="64"/>
  <c r="C22" i="64"/>
  <c r="B20" i="61"/>
  <c r="C18" i="61"/>
  <c r="D19" i="61"/>
  <c r="BX10" i="15"/>
  <c r="BW11" i="15" s="1"/>
  <c r="BU11" i="15" s="1"/>
  <c r="AK12" i="61"/>
  <c r="BI12" i="50"/>
  <c r="BH13" i="50" s="1"/>
  <c r="BO10" i="15"/>
  <c r="BN10" i="15"/>
  <c r="BM11" i="15" s="1"/>
  <c r="BK11" i="15" s="1"/>
  <c r="BY10" i="15"/>
  <c r="CY11" i="15"/>
  <c r="AJ13" i="67" s="1"/>
  <c r="C16" i="52"/>
  <c r="D17" i="52"/>
  <c r="C17" i="56"/>
  <c r="D18" i="56"/>
  <c r="C18" i="51"/>
  <c r="D19" i="51"/>
  <c r="C18" i="53"/>
  <c r="D19" i="53"/>
  <c r="D21" i="13"/>
  <c r="C20" i="13"/>
  <c r="C17" i="50"/>
  <c r="D18" i="50"/>
  <c r="G18" i="15"/>
  <c r="C17" i="15"/>
  <c r="BB11" i="52"/>
  <c r="BQ11" i="52" s="1"/>
  <c r="BS11" i="52" s="1"/>
  <c r="BC11" i="52" s="1"/>
  <c r="O12" i="52" s="1"/>
  <c r="BK12" i="52"/>
  <c r="AU10" i="15"/>
  <c r="BG11" i="52"/>
  <c r="BF11" i="52"/>
  <c r="BE11" i="52"/>
  <c r="N18" i="52"/>
  <c r="N17" i="50"/>
  <c r="O15" i="45"/>
  <c r="O14" i="45"/>
  <c r="N19" i="13"/>
  <c r="T17" i="56"/>
  <c r="T18" i="56"/>
  <c r="O24" i="56"/>
  <c r="Q16" i="56"/>
  <c r="P18" i="56"/>
  <c r="S16" i="56"/>
  <c r="R20" i="56"/>
  <c r="M17" i="13"/>
  <c r="Q20" i="51"/>
  <c r="M16" i="51"/>
  <c r="BC11" i="13"/>
  <c r="BR12" i="13"/>
  <c r="BK12" i="13"/>
  <c r="P10" i="15"/>
  <c r="O11" i="15" s="1"/>
  <c r="Q10" i="15"/>
  <c r="BJ13" i="53"/>
  <c r="AZ11" i="15"/>
  <c r="BO12" i="56"/>
  <c r="BN13" i="56" s="1"/>
  <c r="BR12" i="56"/>
  <c r="Q18" i="50"/>
  <c r="BJ13" i="50"/>
  <c r="V11" i="15"/>
  <c r="AS12" i="50"/>
  <c r="N17" i="51"/>
  <c r="M17" i="53"/>
  <c r="M18" i="52"/>
  <c r="M17" i="50"/>
  <c r="BJ13" i="51"/>
  <c r="AF11" i="15"/>
  <c r="S17" i="51"/>
  <c r="R18" i="13"/>
  <c r="N16" i="53"/>
  <c r="Q18" i="52"/>
  <c r="BJ13" i="52"/>
  <c r="AP11" i="15"/>
  <c r="Q18" i="53"/>
  <c r="CE11" i="15"/>
  <c r="CN12" i="15"/>
  <c r="DI12" i="15"/>
  <c r="AJ14" i="65" s="1"/>
  <c r="BI11" i="56" l="1"/>
  <c r="U12" i="56" s="1"/>
  <c r="V12" i="56" s="1"/>
  <c r="O14" i="41" s="1"/>
  <c r="AD12" i="56" s="1"/>
  <c r="AD13" i="56" s="1"/>
  <c r="AD14" i="56" s="1"/>
  <c r="AS12" i="51"/>
  <c r="O15" i="46"/>
  <c r="Y12" i="51" s="1"/>
  <c r="Y13" i="51" s="1"/>
  <c r="Y14" i="51" s="1"/>
  <c r="Y15" i="51" s="1"/>
  <c r="Y16" i="51" s="1"/>
  <c r="Y17" i="51" s="1"/>
  <c r="Y18" i="51" s="1"/>
  <c r="Y19" i="51" s="1"/>
  <c r="Y20" i="51" s="1"/>
  <c r="Y21" i="51" s="1"/>
  <c r="Y22" i="51" s="1"/>
  <c r="Y23" i="51" s="1"/>
  <c r="Y24" i="51" s="1"/>
  <c r="Y25" i="51" s="1"/>
  <c r="Y26" i="51" s="1"/>
  <c r="Y27" i="51" s="1"/>
  <c r="Y28" i="51" s="1"/>
  <c r="Y29" i="51" s="1"/>
  <c r="Y30" i="51" s="1"/>
  <c r="Y31" i="51" s="1"/>
  <c r="Y32" i="51" s="1"/>
  <c r="Y33" i="51" s="1"/>
  <c r="Y34" i="51" s="1"/>
  <c r="Y35" i="51" s="1"/>
  <c r="Y36" i="51" s="1"/>
  <c r="Y37" i="51" s="1"/>
  <c r="Y38" i="51" s="1"/>
  <c r="Y39" i="51" s="1"/>
  <c r="Y40" i="51" s="1"/>
  <c r="Y41" i="51" s="1"/>
  <c r="Y42" i="51" s="1"/>
  <c r="Y43" i="51" s="1"/>
  <c r="Y44" i="51" s="1"/>
  <c r="AA4" i="60"/>
  <c r="H14" i="61"/>
  <c r="H22" i="61"/>
  <c r="H30" i="61"/>
  <c r="H38" i="61"/>
  <c r="H15" i="61"/>
  <c r="H23" i="61"/>
  <c r="H31" i="61"/>
  <c r="H39" i="61"/>
  <c r="H16" i="61"/>
  <c r="H24" i="61"/>
  <c r="H32" i="61"/>
  <c r="H40" i="61"/>
  <c r="H17" i="61"/>
  <c r="H25" i="61"/>
  <c r="H33" i="61"/>
  <c r="H41" i="61"/>
  <c r="H18" i="61"/>
  <c r="H26" i="61"/>
  <c r="H34" i="61"/>
  <c r="H42" i="61"/>
  <c r="H19" i="61"/>
  <c r="H27" i="61"/>
  <c r="H35" i="61"/>
  <c r="H43" i="61"/>
  <c r="H20" i="61"/>
  <c r="H28" i="61"/>
  <c r="H36" i="61"/>
  <c r="H44" i="61"/>
  <c r="H13" i="61"/>
  <c r="H21" i="61"/>
  <c r="H29" i="61"/>
  <c r="H37" i="61"/>
  <c r="H12" i="61"/>
  <c r="I12" i="61" s="1"/>
  <c r="L12" i="61" s="1"/>
  <c r="N12" i="61" s="1"/>
  <c r="O12" i="61" s="1"/>
  <c r="L21" i="64"/>
  <c r="P12" i="52"/>
  <c r="AS12" i="52" s="1"/>
  <c r="BC11" i="53"/>
  <c r="O12" i="53" s="1"/>
  <c r="J40" i="64"/>
  <c r="L18" i="64"/>
  <c r="L17" i="64"/>
  <c r="I17" i="61"/>
  <c r="J17" i="61" s="1"/>
  <c r="L12" i="64"/>
  <c r="N12" i="64" s="1"/>
  <c r="L26" i="64"/>
  <c r="I13" i="61"/>
  <c r="J13" i="61" s="1"/>
  <c r="M23" i="60"/>
  <c r="AB4" i="60" s="1"/>
  <c r="T19" i="61"/>
  <c r="U19" i="61" s="1"/>
  <c r="X19" i="61" s="1"/>
  <c r="AB19" i="61" s="1"/>
  <c r="I16" i="61"/>
  <c r="J16" i="61" s="1"/>
  <c r="J44" i="64"/>
  <c r="L31" i="64"/>
  <c r="L37" i="64"/>
  <c r="I18" i="61"/>
  <c r="J18" i="61" s="1"/>
  <c r="I15" i="61"/>
  <c r="J15" i="61" s="1"/>
  <c r="I14" i="61"/>
  <c r="J14" i="61" s="1"/>
  <c r="K9" i="61"/>
  <c r="M14" i="65"/>
  <c r="N14" i="65" s="1"/>
  <c r="M13" i="67"/>
  <c r="N13" i="67" s="1"/>
  <c r="P14" i="66"/>
  <c r="Q14" i="66" s="1"/>
  <c r="AR12" i="61"/>
  <c r="T18" i="61"/>
  <c r="U18" i="61" s="1"/>
  <c r="X18" i="61" s="1"/>
  <c r="AB18" i="61" s="1"/>
  <c r="T16" i="61"/>
  <c r="U16" i="61" s="1"/>
  <c r="X16" i="61" s="1"/>
  <c r="AB16" i="61" s="1"/>
  <c r="B24" i="67"/>
  <c r="D25" i="66"/>
  <c r="C24" i="66"/>
  <c r="B25" i="66"/>
  <c r="D25" i="65"/>
  <c r="C24" i="65"/>
  <c r="AD12" i="67"/>
  <c r="AG12" i="67" s="1"/>
  <c r="AF12" i="67" s="1"/>
  <c r="AD12" i="66"/>
  <c r="AG12" i="66" s="1"/>
  <c r="AD12" i="65"/>
  <c r="AG12" i="65" s="1"/>
  <c r="AL12" i="64"/>
  <c r="AI12" i="65"/>
  <c r="AH13" i="65" s="1"/>
  <c r="AI13" i="65" s="1"/>
  <c r="AH14" i="65" s="1"/>
  <c r="AL12" i="65"/>
  <c r="AL12" i="66"/>
  <c r="AI12" i="66"/>
  <c r="AH13" i="66" s="1"/>
  <c r="AI13" i="66" s="1"/>
  <c r="AH14" i="66" s="1"/>
  <c r="AL12" i="67"/>
  <c r="AI12" i="67"/>
  <c r="AH13" i="67" s="1"/>
  <c r="AJ13" i="64"/>
  <c r="AJ13" i="61"/>
  <c r="C23" i="64"/>
  <c r="D24" i="64"/>
  <c r="C19" i="61"/>
  <c r="D20" i="61"/>
  <c r="B21" i="61"/>
  <c r="AL12" i="61"/>
  <c r="AI12" i="61"/>
  <c r="AH13" i="61" s="1"/>
  <c r="CX11" i="15"/>
  <c r="G19" i="15"/>
  <c r="C18" i="15"/>
  <c r="D20" i="51"/>
  <c r="C19" i="51"/>
  <c r="D18" i="52"/>
  <c r="C17" i="52"/>
  <c r="C18" i="50"/>
  <c r="D19" i="50"/>
  <c r="D19" i="56"/>
  <c r="C18" i="56"/>
  <c r="D22" i="13"/>
  <c r="C21" i="13"/>
  <c r="D20" i="53"/>
  <c r="C19" i="53"/>
  <c r="AB24" i="45"/>
  <c r="AA24" i="45"/>
  <c r="AC24" i="45"/>
  <c r="Z24" i="45"/>
  <c r="Y24" i="45"/>
  <c r="AE24" i="45"/>
  <c r="AD24" i="45"/>
  <c r="BR12" i="52"/>
  <c r="BI12" i="52"/>
  <c r="BH13" i="52" s="1"/>
  <c r="BL12" i="52"/>
  <c r="N19" i="52"/>
  <c r="N18" i="50"/>
  <c r="N20" i="13"/>
  <c r="BT11" i="15"/>
  <c r="BJ11" i="15"/>
  <c r="R21" i="56"/>
  <c r="O25" i="56"/>
  <c r="S17" i="56"/>
  <c r="T19" i="56"/>
  <c r="Q17" i="56"/>
  <c r="P19" i="56"/>
  <c r="M18" i="13"/>
  <c r="AR11" i="15"/>
  <c r="Q19" i="53"/>
  <c r="AL13" i="51"/>
  <c r="M17" i="51"/>
  <c r="Q19" i="52"/>
  <c r="X12" i="50"/>
  <c r="X11" i="15"/>
  <c r="BI12" i="13"/>
  <c r="BL12" i="13"/>
  <c r="AL13" i="50"/>
  <c r="S18" i="51"/>
  <c r="X14" i="51"/>
  <c r="Y12" i="50"/>
  <c r="N17" i="53"/>
  <c r="R19" i="13"/>
  <c r="M18" i="50"/>
  <c r="Q21" i="51"/>
  <c r="AL13" i="52"/>
  <c r="M18" i="53"/>
  <c r="N18" i="51"/>
  <c r="BB11" i="15"/>
  <c r="O12" i="13"/>
  <c r="P12" i="13" s="1"/>
  <c r="BP13" i="56"/>
  <c r="CD11" i="15"/>
  <c r="AH11" i="15"/>
  <c r="M19" i="52"/>
  <c r="Q19" i="50"/>
  <c r="AL13" i="53"/>
  <c r="M11" i="15"/>
  <c r="CP12" i="15"/>
  <c r="AK14" i="66" s="1"/>
  <c r="AL14" i="66" s="1"/>
  <c r="DH12" i="15"/>
  <c r="O15" i="41" l="1"/>
  <c r="AE12" i="56" s="1"/>
  <c r="AE13" i="56" s="1"/>
  <c r="AE14" i="56" s="1"/>
  <c r="AE15" i="56" s="1"/>
  <c r="AE16" i="56" s="1"/>
  <c r="AE17" i="56" s="1"/>
  <c r="AE18" i="56" s="1"/>
  <c r="AE19" i="56" s="1"/>
  <c r="AE20" i="56" s="1"/>
  <c r="AE21" i="56" s="1"/>
  <c r="AE22" i="56" s="1"/>
  <c r="AE23" i="56" s="1"/>
  <c r="AE24" i="56" s="1"/>
  <c r="AE25" i="56" s="1"/>
  <c r="AE26" i="56" s="1"/>
  <c r="AE27" i="56" s="1"/>
  <c r="AE28" i="56" s="1"/>
  <c r="AE29" i="56" s="1"/>
  <c r="AE30" i="56" s="1"/>
  <c r="AE31" i="56" s="1"/>
  <c r="AE32" i="56" s="1"/>
  <c r="AE33" i="56" s="1"/>
  <c r="AE34" i="56" s="1"/>
  <c r="AE35" i="56" s="1"/>
  <c r="AE36" i="56" s="1"/>
  <c r="AE37" i="56" s="1"/>
  <c r="AE38" i="56" s="1"/>
  <c r="AE39" i="56" s="1"/>
  <c r="AE40" i="56" s="1"/>
  <c r="AE41" i="56" s="1"/>
  <c r="AE42" i="56" s="1"/>
  <c r="AE43" i="56" s="1"/>
  <c r="AE44" i="56" s="1"/>
  <c r="AY12" i="56"/>
  <c r="AC24" i="46"/>
  <c r="Z24" i="46"/>
  <c r="Y9" i="51"/>
  <c r="AE24" i="46"/>
  <c r="AD24" i="46"/>
  <c r="AB24" i="46"/>
  <c r="AG13" i="51"/>
  <c r="AT13" i="51" s="1"/>
  <c r="Y24" i="46"/>
  <c r="AG12" i="51"/>
  <c r="AT12" i="51" s="1"/>
  <c r="AU12" i="51" s="1"/>
  <c r="AX12" i="51" s="1"/>
  <c r="BB12" i="51" s="1"/>
  <c r="AA24" i="46"/>
  <c r="O15" i="32"/>
  <c r="Y12" i="52" s="1"/>
  <c r="Y13" i="52" s="1"/>
  <c r="Y14" i="52" s="1"/>
  <c r="Y15" i="52" s="1"/>
  <c r="Y16" i="52" s="1"/>
  <c r="Y17" i="52" s="1"/>
  <c r="Y18" i="52" s="1"/>
  <c r="Y19" i="52" s="1"/>
  <c r="Y20" i="52" s="1"/>
  <c r="Y21" i="52" s="1"/>
  <c r="Y22" i="52" s="1"/>
  <c r="Y23" i="52" s="1"/>
  <c r="Y24" i="52" s="1"/>
  <c r="Y25" i="52" s="1"/>
  <c r="Y26" i="52" s="1"/>
  <c r="Y27" i="52" s="1"/>
  <c r="Y28" i="52" s="1"/>
  <c r="Y29" i="52" s="1"/>
  <c r="Y30" i="52" s="1"/>
  <c r="Y31" i="52" s="1"/>
  <c r="Y32" i="52" s="1"/>
  <c r="Y33" i="52" s="1"/>
  <c r="Y34" i="52" s="1"/>
  <c r="Y35" i="52" s="1"/>
  <c r="Y36" i="52" s="1"/>
  <c r="Y37" i="52" s="1"/>
  <c r="Y38" i="52" s="1"/>
  <c r="Y39" i="52" s="1"/>
  <c r="Y40" i="52" s="1"/>
  <c r="Y41" i="52" s="1"/>
  <c r="Y42" i="52" s="1"/>
  <c r="Y43" i="52" s="1"/>
  <c r="Y44" i="52" s="1"/>
  <c r="O14" i="32"/>
  <c r="X12" i="52" s="1"/>
  <c r="X13" i="52" s="1"/>
  <c r="X14" i="52" s="1"/>
  <c r="P12" i="53"/>
  <c r="L17" i="61"/>
  <c r="T17" i="61"/>
  <c r="U17" i="61" s="1"/>
  <c r="X17" i="61" s="1"/>
  <c r="AB17" i="61" s="1"/>
  <c r="I19" i="61"/>
  <c r="L19" i="61" s="1"/>
  <c r="L18" i="61"/>
  <c r="J12" i="61"/>
  <c r="T12" i="61"/>
  <c r="U12" i="61" s="1"/>
  <c r="X12" i="61" s="1"/>
  <c r="AB12" i="61" s="1"/>
  <c r="L16" i="61"/>
  <c r="T13" i="61"/>
  <c r="U13" i="61" s="1"/>
  <c r="X13" i="61" s="1"/>
  <c r="AB13" i="61" s="1"/>
  <c r="L13" i="61"/>
  <c r="L15" i="61"/>
  <c r="L14" i="61"/>
  <c r="T15" i="61"/>
  <c r="U15" i="61" s="1"/>
  <c r="X15" i="61" s="1"/>
  <c r="AB15" i="61" s="1"/>
  <c r="T14" i="61"/>
  <c r="U14" i="61" s="1"/>
  <c r="X14" i="61" s="1"/>
  <c r="AB14" i="61" s="1"/>
  <c r="O14" i="65"/>
  <c r="AD14" i="65" s="1"/>
  <c r="AG14" i="65" s="1"/>
  <c r="O13" i="67"/>
  <c r="AD13" i="67" s="1"/>
  <c r="AG13" i="67" s="1"/>
  <c r="AI14" i="66"/>
  <c r="AH15" i="66" s="1"/>
  <c r="AN14" i="66"/>
  <c r="AO14" i="66" s="1"/>
  <c r="AM14" i="66"/>
  <c r="T20" i="61"/>
  <c r="U20" i="61" s="1"/>
  <c r="X20" i="61" s="1"/>
  <c r="AB20" i="61" s="1"/>
  <c r="B25" i="67"/>
  <c r="B26" i="66"/>
  <c r="D26" i="66"/>
  <c r="C25" i="66"/>
  <c r="C25" i="65"/>
  <c r="D26" i="65"/>
  <c r="P12" i="67"/>
  <c r="Q12" i="67" s="1"/>
  <c r="P12" i="65"/>
  <c r="Q12" i="65" s="1"/>
  <c r="AE12" i="67"/>
  <c r="AF12" i="66"/>
  <c r="AE12" i="66"/>
  <c r="AE12" i="65"/>
  <c r="AF12" i="65"/>
  <c r="P12" i="66"/>
  <c r="Q12" i="66" s="1"/>
  <c r="O12" i="64"/>
  <c r="AD12" i="64" s="1"/>
  <c r="AG12" i="64" s="1"/>
  <c r="AN12" i="67"/>
  <c r="AM12" i="67"/>
  <c r="AN12" i="65"/>
  <c r="AM12" i="65"/>
  <c r="AN12" i="66"/>
  <c r="AM12" i="66"/>
  <c r="M13" i="64"/>
  <c r="N13" i="64" s="1"/>
  <c r="O13" i="64" s="1"/>
  <c r="AD13" i="64" s="1"/>
  <c r="AG13" i="64" s="1"/>
  <c r="M13" i="61"/>
  <c r="D25" i="64"/>
  <c r="C24" i="64"/>
  <c r="B22" i="61"/>
  <c r="D21" i="61"/>
  <c r="C20" i="61"/>
  <c r="CZ11" i="15"/>
  <c r="AK13" i="67" s="1"/>
  <c r="AL13" i="67" s="1"/>
  <c r="D21" i="51"/>
  <c r="C20" i="51"/>
  <c r="D21" i="53"/>
  <c r="C20" i="53"/>
  <c r="G20" i="15"/>
  <c r="C19" i="15"/>
  <c r="D23" i="13"/>
  <c r="C22" i="13"/>
  <c r="D20" i="56"/>
  <c r="C19" i="56"/>
  <c r="D19" i="52"/>
  <c r="C18" i="52"/>
  <c r="C19" i="50"/>
  <c r="D20" i="50"/>
  <c r="N20" i="52"/>
  <c r="N19" i="50"/>
  <c r="N21" i="13"/>
  <c r="BV11" i="15"/>
  <c r="BL11" i="15"/>
  <c r="P20" i="56"/>
  <c r="O26" i="56"/>
  <c r="R22" i="56"/>
  <c r="Q18" i="56"/>
  <c r="T20" i="56"/>
  <c r="S18" i="56"/>
  <c r="M19" i="13"/>
  <c r="X13" i="50"/>
  <c r="AG12" i="50"/>
  <c r="Q20" i="52"/>
  <c r="L11" i="15"/>
  <c r="BJ13" i="13"/>
  <c r="M19" i="50"/>
  <c r="Y13" i="50"/>
  <c r="Y14" i="50" s="1"/>
  <c r="Y15" i="50" s="1"/>
  <c r="Y16" i="50" s="1"/>
  <c r="Y17" i="50" s="1"/>
  <c r="Y18" i="50" s="1"/>
  <c r="Y19" i="50" s="1"/>
  <c r="Y20" i="50" s="1"/>
  <c r="Y21" i="50" s="1"/>
  <c r="Y22" i="50" s="1"/>
  <c r="Y23" i="50" s="1"/>
  <c r="Y24" i="50" s="1"/>
  <c r="Y25" i="50" s="1"/>
  <c r="Y26" i="50" s="1"/>
  <c r="Y27" i="50" s="1"/>
  <c r="Y28" i="50" s="1"/>
  <c r="Y29" i="50" s="1"/>
  <c r="Y30" i="50" s="1"/>
  <c r="Y31" i="50" s="1"/>
  <c r="Y32" i="50" s="1"/>
  <c r="Y33" i="50" s="1"/>
  <c r="Y34" i="50" s="1"/>
  <c r="Y35" i="50" s="1"/>
  <c r="Y36" i="50" s="1"/>
  <c r="Y37" i="50" s="1"/>
  <c r="Y38" i="50" s="1"/>
  <c r="Y39" i="50" s="1"/>
  <c r="Y40" i="50" s="1"/>
  <c r="Y41" i="50" s="1"/>
  <c r="Y42" i="50" s="1"/>
  <c r="Y43" i="50" s="1"/>
  <c r="Y44" i="50" s="1"/>
  <c r="BH13" i="13"/>
  <c r="N19" i="51"/>
  <c r="Q22" i="51"/>
  <c r="M20" i="52"/>
  <c r="CF11" i="15"/>
  <c r="N18" i="53"/>
  <c r="X15" i="51"/>
  <c r="AG14" i="51"/>
  <c r="AT14" i="51" s="1"/>
  <c r="Q20" i="53"/>
  <c r="R20" i="13"/>
  <c r="AR13" i="56"/>
  <c r="BK13" i="53"/>
  <c r="BD11" i="15"/>
  <c r="BC12" i="15" s="1"/>
  <c r="BE11" i="15"/>
  <c r="M19" i="53"/>
  <c r="BK13" i="50"/>
  <c r="Z11" i="15"/>
  <c r="Y12" i="15" s="1"/>
  <c r="AA11" i="15"/>
  <c r="M18" i="51"/>
  <c r="Q20" i="50"/>
  <c r="BK13" i="51"/>
  <c r="AJ11" i="15"/>
  <c r="AI12" i="15" s="1"/>
  <c r="AK11" i="15"/>
  <c r="AD15" i="56"/>
  <c r="S19" i="51"/>
  <c r="BK13" i="52"/>
  <c r="AT11" i="15"/>
  <c r="AS12" i="15" s="1"/>
  <c r="AU11" i="15"/>
  <c r="CR12" i="15"/>
  <c r="CQ13" i="15" s="1"/>
  <c r="CO13" i="15" s="1"/>
  <c r="AJ15" i="66" s="1"/>
  <c r="M15" i="66" s="1"/>
  <c r="N15" i="66" s="1"/>
  <c r="CS12" i="15"/>
  <c r="DJ12" i="15"/>
  <c r="AK14" i="65" s="1"/>
  <c r="AL14" i="65" s="1"/>
  <c r="AE24" i="41" l="1"/>
  <c r="Z24" i="41"/>
  <c r="Y24" i="41"/>
  <c r="AA24" i="41"/>
  <c r="AB24" i="41"/>
  <c r="AM12" i="56"/>
  <c r="AZ12" i="56" s="1"/>
  <c r="BA12" i="56" s="1"/>
  <c r="BD12" i="56" s="1"/>
  <c r="BH12" i="56" s="1"/>
  <c r="AE9" i="56"/>
  <c r="AM13" i="56"/>
  <c r="AZ13" i="56" s="1"/>
  <c r="AD24" i="41"/>
  <c r="AM14" i="56"/>
  <c r="AZ14" i="56" s="1"/>
  <c r="AC24" i="41"/>
  <c r="AH12" i="51"/>
  <c r="AK12" i="51" s="1"/>
  <c r="AM12" i="51" s="1"/>
  <c r="AN12" i="51" s="1"/>
  <c r="BD12" i="51" s="1"/>
  <c r="BG12" i="51" s="1"/>
  <c r="AA24" i="32"/>
  <c r="Y24" i="32"/>
  <c r="AG13" i="52"/>
  <c r="AT13" i="52" s="1"/>
  <c r="AG12" i="52"/>
  <c r="AT12" i="52" s="1"/>
  <c r="AU12" i="52" s="1"/>
  <c r="AX12" i="52" s="1"/>
  <c r="BB12" i="52" s="1"/>
  <c r="AE24" i="32"/>
  <c r="Z24" i="32"/>
  <c r="Y9" i="52"/>
  <c r="AB24" i="32"/>
  <c r="AC24" i="32"/>
  <c r="AD24" i="32"/>
  <c r="O15" i="48"/>
  <c r="Y12" i="53" s="1"/>
  <c r="O14" i="48"/>
  <c r="AS12" i="53"/>
  <c r="J19" i="61"/>
  <c r="N13" i="61"/>
  <c r="O13" i="61" s="1"/>
  <c r="AD13" i="61" s="1"/>
  <c r="AG13" i="61" s="1"/>
  <c r="P14" i="65"/>
  <c r="Q14" i="65" s="1"/>
  <c r="AN14" i="65"/>
  <c r="AO14" i="65" s="1"/>
  <c r="AM14" i="65"/>
  <c r="AI14" i="65"/>
  <c r="AH15" i="65" s="1"/>
  <c r="P13" i="67"/>
  <c r="Q13" i="67" s="1"/>
  <c r="AM13" i="67"/>
  <c r="AN13" i="67"/>
  <c r="AO13" i="67" s="1"/>
  <c r="AI13" i="67"/>
  <c r="AH14" i="67" s="1"/>
  <c r="O15" i="66"/>
  <c r="AD15" i="66" s="1"/>
  <c r="AG15" i="66" s="1"/>
  <c r="I20" i="61"/>
  <c r="I21" i="61"/>
  <c r="J21" i="61" s="1"/>
  <c r="B26" i="67"/>
  <c r="B27" i="66"/>
  <c r="D27" i="66"/>
  <c r="C26" i="66"/>
  <c r="D27" i="65"/>
  <c r="C26" i="65"/>
  <c r="P12" i="64"/>
  <c r="Q12" i="64" s="1"/>
  <c r="AE12" i="64"/>
  <c r="AM12" i="64"/>
  <c r="AN12" i="64"/>
  <c r="AP12" i="64" s="1"/>
  <c r="AF12" i="64"/>
  <c r="AO12" i="65"/>
  <c r="AP12" i="65"/>
  <c r="AP12" i="66"/>
  <c r="AT12" i="66" s="1"/>
  <c r="AU12" i="66" s="1"/>
  <c r="AO12" i="66"/>
  <c r="AO12" i="67"/>
  <c r="AP12" i="67"/>
  <c r="AT12" i="67" s="1"/>
  <c r="AU12" i="67" s="1"/>
  <c r="AK13" i="64"/>
  <c r="AL13" i="64" s="1"/>
  <c r="AK13" i="61"/>
  <c r="C25" i="64"/>
  <c r="D26" i="64"/>
  <c r="B23" i="61"/>
  <c r="D22" i="61"/>
  <c r="C21" i="61"/>
  <c r="AD12" i="61"/>
  <c r="AG12" i="61" s="1"/>
  <c r="P12" i="61"/>
  <c r="DB11" i="15"/>
  <c r="DA12" i="15" s="1"/>
  <c r="DC11" i="15"/>
  <c r="D21" i="50"/>
  <c r="C20" i="50"/>
  <c r="D24" i="13"/>
  <c r="C23" i="13"/>
  <c r="D20" i="52"/>
  <c r="C19" i="52"/>
  <c r="G21" i="15"/>
  <c r="C20" i="15"/>
  <c r="C21" i="51"/>
  <c r="D22" i="51"/>
  <c r="D21" i="56"/>
  <c r="C20" i="56"/>
  <c r="C21" i="53"/>
  <c r="D22" i="53"/>
  <c r="N21" i="52"/>
  <c r="N20" i="50"/>
  <c r="N22" i="13"/>
  <c r="O15" i="1"/>
  <c r="Y12" i="13" s="1"/>
  <c r="O14" i="1"/>
  <c r="BX11" i="15"/>
  <c r="BW12" i="15" s="1"/>
  <c r="BY11" i="15"/>
  <c r="BN11" i="15"/>
  <c r="BM12" i="15" s="1"/>
  <c r="BO11" i="15"/>
  <c r="O27" i="56"/>
  <c r="P21" i="56"/>
  <c r="S19" i="56"/>
  <c r="T21" i="56"/>
  <c r="Q19" i="56"/>
  <c r="R23" i="56"/>
  <c r="M20" i="13"/>
  <c r="N11" i="15"/>
  <c r="BQ13" i="56"/>
  <c r="CH11" i="15"/>
  <c r="CG12" i="15" s="1"/>
  <c r="CI11" i="15"/>
  <c r="BI13" i="52"/>
  <c r="BL13" i="52"/>
  <c r="BI13" i="50"/>
  <c r="BH14" i="50" s="1"/>
  <c r="BL13" i="50"/>
  <c r="M19" i="51"/>
  <c r="S20" i="51"/>
  <c r="BI13" i="51"/>
  <c r="BH14" i="51" s="1"/>
  <c r="BL13" i="51"/>
  <c r="M20" i="53"/>
  <c r="Q21" i="52"/>
  <c r="AG12" i="15"/>
  <c r="X16" i="51"/>
  <c r="AG15" i="51"/>
  <c r="M21" i="52"/>
  <c r="Q21" i="50"/>
  <c r="BA12" i="15"/>
  <c r="R21" i="13"/>
  <c r="AT12" i="50"/>
  <c r="AH12" i="50"/>
  <c r="X15" i="52"/>
  <c r="AG14" i="52"/>
  <c r="AT14" i="52" s="1"/>
  <c r="AM15" i="56"/>
  <c r="AZ15" i="56" s="1"/>
  <c r="AD16" i="56"/>
  <c r="W12" i="15"/>
  <c r="Q21" i="53"/>
  <c r="N19" i="53"/>
  <c r="Q23" i="51"/>
  <c r="AS12" i="13"/>
  <c r="BI13" i="53"/>
  <c r="BH14" i="53" s="1"/>
  <c r="BL13" i="53"/>
  <c r="M20" i="50"/>
  <c r="X14" i="50"/>
  <c r="AG13" i="50"/>
  <c r="AT13" i="50" s="1"/>
  <c r="AQ12" i="15"/>
  <c r="N20" i="51"/>
  <c r="Y9" i="50"/>
  <c r="AL13" i="13"/>
  <c r="CN13" i="15"/>
  <c r="DL12" i="15"/>
  <c r="DK13" i="15" s="1"/>
  <c r="DM12" i="15"/>
  <c r="AN12" i="56" l="1"/>
  <c r="AO12" i="56" s="1"/>
  <c r="AI12" i="51"/>
  <c r="AH12" i="52"/>
  <c r="AI12" i="52" s="1"/>
  <c r="AD24" i="48"/>
  <c r="AC24" i="48"/>
  <c r="AA24" i="48"/>
  <c r="AB24" i="48"/>
  <c r="Y24" i="48"/>
  <c r="Z24" i="48"/>
  <c r="X12" i="53"/>
  <c r="AE24" i="48"/>
  <c r="Y13" i="53"/>
  <c r="Y14" i="53" s="1"/>
  <c r="Y15" i="53" s="1"/>
  <c r="Y16" i="53" s="1"/>
  <c r="Y17" i="53" s="1"/>
  <c r="Y18" i="53" s="1"/>
  <c r="Y19" i="53" s="1"/>
  <c r="Y20" i="53" s="1"/>
  <c r="Y21" i="53" s="1"/>
  <c r="Y22" i="53" s="1"/>
  <c r="Y23" i="53" s="1"/>
  <c r="Y24" i="53" s="1"/>
  <c r="Y25" i="53" s="1"/>
  <c r="Y26" i="53" s="1"/>
  <c r="Y27" i="53" s="1"/>
  <c r="Y28" i="53" s="1"/>
  <c r="Y29" i="53" s="1"/>
  <c r="Y30" i="53" s="1"/>
  <c r="Y31" i="53" s="1"/>
  <c r="Y32" i="53" s="1"/>
  <c r="Y33" i="53" s="1"/>
  <c r="Y34" i="53" s="1"/>
  <c r="Y35" i="53" s="1"/>
  <c r="Y36" i="53" s="1"/>
  <c r="Y37" i="53" s="1"/>
  <c r="Y38" i="53" s="1"/>
  <c r="Y39" i="53" s="1"/>
  <c r="Y40" i="53" s="1"/>
  <c r="Y41" i="53" s="1"/>
  <c r="Y42" i="53" s="1"/>
  <c r="Y43" i="53" s="1"/>
  <c r="Y44" i="53" s="1"/>
  <c r="P13" i="61"/>
  <c r="Q13" i="61" s="1"/>
  <c r="AT12" i="64"/>
  <c r="AU12" i="64" s="1"/>
  <c r="P15" i="66"/>
  <c r="Q15" i="66" s="1"/>
  <c r="T21" i="61"/>
  <c r="U21" i="61" s="1"/>
  <c r="X21" i="61" s="1"/>
  <c r="AB21" i="61" s="1"/>
  <c r="L21" i="61"/>
  <c r="I22" i="61"/>
  <c r="J22" i="61" s="1"/>
  <c r="J20" i="61"/>
  <c r="L20" i="61"/>
  <c r="B27" i="67"/>
  <c r="B28" i="66"/>
  <c r="D28" i="66"/>
  <c r="C27" i="66"/>
  <c r="C27" i="65"/>
  <c r="D28" i="65"/>
  <c r="AO12" i="64"/>
  <c r="AQ12" i="67"/>
  <c r="AS12" i="67" s="1"/>
  <c r="AQ12" i="65"/>
  <c r="AS12" i="65" s="1"/>
  <c r="AT12" i="65"/>
  <c r="AU12" i="65" s="1"/>
  <c r="AU4" i="65" s="1"/>
  <c r="H48" i="17" s="1"/>
  <c r="AQ12" i="66"/>
  <c r="AS12" i="66" s="1"/>
  <c r="AI13" i="64"/>
  <c r="AH14" i="64" s="1"/>
  <c r="AI13" i="61"/>
  <c r="AH14" i="61" s="1"/>
  <c r="AL13" i="61"/>
  <c r="AQ12" i="64"/>
  <c r="AS12" i="64" s="1"/>
  <c r="D27" i="64"/>
  <c r="C26" i="64"/>
  <c r="C22" i="61"/>
  <c r="D23" i="61"/>
  <c r="B24" i="61"/>
  <c r="Q12" i="61"/>
  <c r="AN12" i="61"/>
  <c r="AF12" i="61"/>
  <c r="AM12" i="61"/>
  <c r="AE12" i="61"/>
  <c r="CY12" i="15"/>
  <c r="AJ14" i="67" s="1"/>
  <c r="D23" i="53"/>
  <c r="C22" i="53"/>
  <c r="C21" i="15"/>
  <c r="G22" i="15"/>
  <c r="X12" i="13"/>
  <c r="AG12" i="13" s="1"/>
  <c r="AE24" i="1"/>
  <c r="Y24" i="1"/>
  <c r="Z24" i="1"/>
  <c r="AA24" i="1"/>
  <c r="AB24" i="1"/>
  <c r="AC24" i="1"/>
  <c r="AD24" i="1"/>
  <c r="C21" i="56"/>
  <c r="D22" i="56"/>
  <c r="D21" i="52"/>
  <c r="C20" i="52"/>
  <c r="D22" i="50"/>
  <c r="C21" i="50"/>
  <c r="D25" i="13"/>
  <c r="C24" i="13"/>
  <c r="D23" i="51"/>
  <c r="C22" i="51"/>
  <c r="N22" i="52"/>
  <c r="N21" i="50"/>
  <c r="N23" i="13"/>
  <c r="BU12" i="15"/>
  <c r="BK12" i="15"/>
  <c r="T22" i="56"/>
  <c r="S20" i="56"/>
  <c r="R24" i="56"/>
  <c r="P22" i="56"/>
  <c r="Q20" i="56"/>
  <c r="O28" i="56"/>
  <c r="M21" i="13"/>
  <c r="M22" i="52"/>
  <c r="BK13" i="13"/>
  <c r="P11" i="15"/>
  <c r="O12" i="15" s="1"/>
  <c r="Q11" i="15"/>
  <c r="BJ14" i="50"/>
  <c r="V12" i="15"/>
  <c r="X16" i="52"/>
  <c r="AG15" i="52"/>
  <c r="AK12" i="50"/>
  <c r="AM12" i="50" s="1"/>
  <c r="AI12" i="50"/>
  <c r="BJ14" i="53"/>
  <c r="AZ12" i="15"/>
  <c r="AT15" i="51"/>
  <c r="AO12" i="51"/>
  <c r="AP12" i="51" s="1"/>
  <c r="M20" i="51"/>
  <c r="X15" i="50"/>
  <c r="AG14" i="50"/>
  <c r="AT14" i="50" s="1"/>
  <c r="Y13" i="13"/>
  <c r="Y14" i="13" s="1"/>
  <c r="Y15" i="13" s="1"/>
  <c r="Y16" i="13" s="1"/>
  <c r="Y17" i="13" s="1"/>
  <c r="Y18" i="13" s="1"/>
  <c r="Y19" i="13" s="1"/>
  <c r="Y20" i="13" s="1"/>
  <c r="Y21" i="13" s="1"/>
  <c r="Y22" i="13" s="1"/>
  <c r="Y23" i="13" s="1"/>
  <c r="Y24" i="13" s="1"/>
  <c r="Y25" i="13" s="1"/>
  <c r="Y26" i="13" s="1"/>
  <c r="Y27" i="13" s="1"/>
  <c r="Y28" i="13" s="1"/>
  <c r="Y29" i="13" s="1"/>
  <c r="Y30" i="13" s="1"/>
  <c r="Y31" i="13" s="1"/>
  <c r="Y32" i="13" s="1"/>
  <c r="Y33" i="13" s="1"/>
  <c r="Y34" i="13" s="1"/>
  <c r="Y35" i="13" s="1"/>
  <c r="Y36" i="13" s="1"/>
  <c r="Y37" i="13" s="1"/>
  <c r="Y38" i="13" s="1"/>
  <c r="Y39" i="13" s="1"/>
  <c r="Y40" i="13" s="1"/>
  <c r="Y41" i="13" s="1"/>
  <c r="Y42" i="13" s="1"/>
  <c r="Y43" i="13" s="1"/>
  <c r="Y44" i="13" s="1"/>
  <c r="Q24" i="51"/>
  <c r="X17" i="51"/>
  <c r="AG16" i="51"/>
  <c r="BJ14" i="51"/>
  <c r="AF12" i="15"/>
  <c r="BM12" i="51"/>
  <c r="BF12" i="51"/>
  <c r="BE12" i="51"/>
  <c r="BN12" i="51"/>
  <c r="M21" i="50"/>
  <c r="AU12" i="50"/>
  <c r="AX12" i="50" s="1"/>
  <c r="BB12" i="50" s="1"/>
  <c r="M21" i="53"/>
  <c r="CE12" i="15"/>
  <c r="BH14" i="52"/>
  <c r="N21" i="51"/>
  <c r="S21" i="51"/>
  <c r="BJ14" i="52"/>
  <c r="AP12" i="15"/>
  <c r="N20" i="53"/>
  <c r="AD17" i="56"/>
  <c r="AM16" i="56"/>
  <c r="Q22" i="50"/>
  <c r="BO13" i="56"/>
  <c r="BN14" i="56" s="1"/>
  <c r="BR13" i="56"/>
  <c r="Q22" i="53"/>
  <c r="R22" i="13"/>
  <c r="Q22" i="52"/>
  <c r="CP13" i="15"/>
  <c r="AK15" i="66" s="1"/>
  <c r="DI13" i="15"/>
  <c r="AJ15" i="65" s="1"/>
  <c r="AQ12" i="56" l="1"/>
  <c r="AS12" i="56" s="1"/>
  <c r="AT12" i="56" s="1"/>
  <c r="BJ12" i="56" s="1"/>
  <c r="BM12" i="56" s="1"/>
  <c r="BS12" i="56" s="1"/>
  <c r="AK12" i="52"/>
  <c r="AM12" i="52" s="1"/>
  <c r="AN12" i="52" s="1"/>
  <c r="BD12" i="52" s="1"/>
  <c r="BG12" i="52" s="1"/>
  <c r="BF12" i="52" s="1"/>
  <c r="Y9" i="53"/>
  <c r="X13" i="53"/>
  <c r="AG12" i="53"/>
  <c r="M15" i="65"/>
  <c r="N15" i="65" s="1"/>
  <c r="M14" i="67"/>
  <c r="N14" i="67" s="1"/>
  <c r="AL15" i="66"/>
  <c r="AI15" i="66"/>
  <c r="AH16" i="66" s="1"/>
  <c r="T22" i="61"/>
  <c r="U22" i="61" s="1"/>
  <c r="X22" i="61" s="1"/>
  <c r="AB22" i="61" s="1"/>
  <c r="I23" i="61"/>
  <c r="L22" i="61"/>
  <c r="AR13" i="67"/>
  <c r="AC12" i="67"/>
  <c r="G13" i="67" s="1"/>
  <c r="AR13" i="66"/>
  <c r="AP13" i="66" s="1"/>
  <c r="AC12" i="66"/>
  <c r="G13" i="66" s="1"/>
  <c r="AR13" i="65"/>
  <c r="AC12" i="65"/>
  <c r="G13" i="65" s="1"/>
  <c r="B28" i="67"/>
  <c r="B29" i="66"/>
  <c r="D29" i="66"/>
  <c r="C28" i="66"/>
  <c r="D29" i="65"/>
  <c r="C28" i="65"/>
  <c r="AR13" i="64"/>
  <c r="AC12" i="64"/>
  <c r="G13" i="64" s="1"/>
  <c r="AM13" i="64"/>
  <c r="P13" i="64"/>
  <c r="Q13" i="64" s="1"/>
  <c r="AJ14" i="64"/>
  <c r="AJ14" i="61"/>
  <c r="C27" i="64"/>
  <c r="D28" i="64"/>
  <c r="B25" i="61"/>
  <c r="C23" i="61"/>
  <c r="D24" i="61"/>
  <c r="AP12" i="61"/>
  <c r="AQ12" i="61" s="1"/>
  <c r="AO12" i="61"/>
  <c r="CX12" i="15"/>
  <c r="X13" i="13"/>
  <c r="X14" i="13" s="1"/>
  <c r="C22" i="56"/>
  <c r="D23" i="56"/>
  <c r="D26" i="13"/>
  <c r="C25" i="13"/>
  <c r="D24" i="53"/>
  <c r="C23" i="53"/>
  <c r="D23" i="50"/>
  <c r="C22" i="50"/>
  <c r="C21" i="52"/>
  <c r="D22" i="52"/>
  <c r="G23" i="15"/>
  <c r="C22" i="15"/>
  <c r="D24" i="51"/>
  <c r="C23" i="51"/>
  <c r="N23" i="52"/>
  <c r="N22" i="50"/>
  <c r="N24" i="13"/>
  <c r="BT12" i="15"/>
  <c r="BJ12" i="15"/>
  <c r="P23" i="56"/>
  <c r="R25" i="56"/>
  <c r="O29" i="56"/>
  <c r="S21" i="56"/>
  <c r="Q21" i="56"/>
  <c r="T23" i="56"/>
  <c r="M22" i="13"/>
  <c r="AD18" i="56"/>
  <c r="AM17" i="56"/>
  <c r="AZ17" i="56" s="1"/>
  <c r="AR12" i="15"/>
  <c r="S22" i="51"/>
  <c r="AT16" i="51"/>
  <c r="AL14" i="53"/>
  <c r="X12" i="15"/>
  <c r="AL14" i="52"/>
  <c r="M22" i="53"/>
  <c r="X18" i="51"/>
  <c r="AG17" i="51"/>
  <c r="X16" i="50"/>
  <c r="AG15" i="50"/>
  <c r="AL14" i="50"/>
  <c r="Q23" i="52"/>
  <c r="N21" i="53"/>
  <c r="AN12" i="50"/>
  <c r="BD12" i="50" s="1"/>
  <c r="BG12" i="50" s="1"/>
  <c r="Q23" i="50"/>
  <c r="Q25" i="51"/>
  <c r="AT15" i="52"/>
  <c r="M12" i="15"/>
  <c r="M23" i="52"/>
  <c r="R23" i="13"/>
  <c r="BP14" i="56"/>
  <c r="CD12" i="15"/>
  <c r="AH12" i="15"/>
  <c r="M21" i="51"/>
  <c r="X17" i="52"/>
  <c r="AG16" i="52"/>
  <c r="Q23" i="53"/>
  <c r="AL14" i="51"/>
  <c r="Y9" i="13"/>
  <c r="AT12" i="13"/>
  <c r="AH12" i="13"/>
  <c r="BI13" i="13"/>
  <c r="BL13" i="13"/>
  <c r="AZ16" i="56"/>
  <c r="N22" i="51"/>
  <c r="M22" i="50"/>
  <c r="BO12" i="51"/>
  <c r="BP12" i="51"/>
  <c r="BB12" i="15"/>
  <c r="CR13" i="15"/>
  <c r="CQ14" i="15" s="1"/>
  <c r="CO14" i="15" s="1"/>
  <c r="AJ16" i="66" s="1"/>
  <c r="M16" i="66" s="1"/>
  <c r="N16" i="66" s="1"/>
  <c r="CS13" i="15"/>
  <c r="DH13" i="15"/>
  <c r="BT12" i="56" l="1"/>
  <c r="BU12" i="56" s="1"/>
  <c r="AU12" i="56"/>
  <c r="AV12" i="56" s="1"/>
  <c r="BK12" i="56"/>
  <c r="BL12" i="56"/>
  <c r="BN12" i="52"/>
  <c r="BO12" i="52" s="1"/>
  <c r="BM12" i="52"/>
  <c r="BE12" i="52"/>
  <c r="AO12" i="52"/>
  <c r="AP12" i="52" s="1"/>
  <c r="AH12" i="53"/>
  <c r="AT12" i="53"/>
  <c r="AU12" i="53" s="1"/>
  <c r="AX12" i="53" s="1"/>
  <c r="BB12" i="53" s="1"/>
  <c r="AG13" i="53"/>
  <c r="AT13" i="53" s="1"/>
  <c r="X14" i="53"/>
  <c r="O15" i="65"/>
  <c r="AD15" i="65" s="1"/>
  <c r="AG15" i="65" s="1"/>
  <c r="O14" i="67"/>
  <c r="AD14" i="67" s="1"/>
  <c r="AG14" i="67" s="1"/>
  <c r="O16" i="66"/>
  <c r="AD16" i="66" s="1"/>
  <c r="AG16" i="66" s="1"/>
  <c r="AM15" i="66"/>
  <c r="AN15" i="66"/>
  <c r="AO15" i="66" s="1"/>
  <c r="T23" i="61"/>
  <c r="U23" i="61" s="1"/>
  <c r="X23" i="61" s="1"/>
  <c r="AB23" i="61" s="1"/>
  <c r="J23" i="61"/>
  <c r="L23" i="61"/>
  <c r="I24" i="61"/>
  <c r="AP13" i="67"/>
  <c r="AT13" i="67" s="1"/>
  <c r="AU13" i="67" s="1"/>
  <c r="AP13" i="65"/>
  <c r="AE13" i="67"/>
  <c r="AF13" i="67"/>
  <c r="AE13" i="66"/>
  <c r="AF13" i="66"/>
  <c r="AQ13" i="66"/>
  <c r="AS13" i="66" s="1"/>
  <c r="AC13" i="66" s="1"/>
  <c r="AT13" i="66"/>
  <c r="AU13" i="66" s="1"/>
  <c r="AF13" i="65"/>
  <c r="AE13" i="65"/>
  <c r="B29" i="67"/>
  <c r="D30" i="66"/>
  <c r="C29" i="66"/>
  <c r="B30" i="66"/>
  <c r="C29" i="65"/>
  <c r="D30" i="65"/>
  <c r="AE13" i="64"/>
  <c r="AF13" i="64"/>
  <c r="M14" i="64"/>
  <c r="N14" i="64" s="1"/>
  <c r="O14" i="64" s="1"/>
  <c r="AD14" i="64" s="1"/>
  <c r="AG14" i="64" s="1"/>
  <c r="AN13" i="64"/>
  <c r="AP13" i="64" s="1"/>
  <c r="M14" i="61"/>
  <c r="N14" i="61" s="1"/>
  <c r="O14" i="61" s="1"/>
  <c r="D29" i="64"/>
  <c r="C28" i="64"/>
  <c r="B26" i="61"/>
  <c r="C24" i="61"/>
  <c r="D25" i="61"/>
  <c r="AS12" i="61"/>
  <c r="AT12" i="61"/>
  <c r="AU12" i="61" s="1"/>
  <c r="CZ12" i="15"/>
  <c r="AK14" i="67" s="1"/>
  <c r="AG13" i="13"/>
  <c r="AT13" i="13" s="1"/>
  <c r="D24" i="50"/>
  <c r="C23" i="50"/>
  <c r="C22" i="52"/>
  <c r="D23" i="52"/>
  <c r="D25" i="53"/>
  <c r="C24" i="53"/>
  <c r="G24" i="15"/>
  <c r="C23" i="15"/>
  <c r="D25" i="51"/>
  <c r="C24" i="51"/>
  <c r="D27" i="13"/>
  <c r="C26" i="13"/>
  <c r="D24" i="56"/>
  <c r="C23" i="56"/>
  <c r="N24" i="52"/>
  <c r="N23" i="50"/>
  <c r="N25" i="13"/>
  <c r="BV12" i="15"/>
  <c r="BL12" i="15"/>
  <c r="S22" i="56"/>
  <c r="O30" i="56"/>
  <c r="T24" i="56"/>
  <c r="R26" i="56"/>
  <c r="Q22" i="56"/>
  <c r="P24" i="56"/>
  <c r="M23" i="13"/>
  <c r="AU12" i="13"/>
  <c r="BK14" i="52"/>
  <c r="AT12" i="15"/>
  <c r="AS13" i="15" s="1"/>
  <c r="AU12" i="15"/>
  <c r="M23" i="50"/>
  <c r="BK14" i="51"/>
  <c r="AJ12" i="15"/>
  <c r="AI13" i="15" s="1"/>
  <c r="AK12" i="15"/>
  <c r="AT15" i="50"/>
  <c r="R24" i="13"/>
  <c r="Q24" i="50"/>
  <c r="X17" i="50"/>
  <c r="AG16" i="50"/>
  <c r="AT16" i="50" s="1"/>
  <c r="AD19" i="56"/>
  <c r="AM18" i="56"/>
  <c r="Q26" i="51"/>
  <c r="AO12" i="50"/>
  <c r="AP12" i="50" s="1"/>
  <c r="N22" i="53"/>
  <c r="Q24" i="52"/>
  <c r="AT17" i="51"/>
  <c r="BH14" i="13"/>
  <c r="AT16" i="52"/>
  <c r="M24" i="52"/>
  <c r="BM12" i="50"/>
  <c r="BF12" i="50"/>
  <c r="BE12" i="50"/>
  <c r="BN12" i="50"/>
  <c r="X19" i="51"/>
  <c r="AG18" i="51"/>
  <c r="AT18" i="51" s="1"/>
  <c r="N23" i="51"/>
  <c r="X18" i="52"/>
  <c r="AG17" i="52"/>
  <c r="CF12" i="15"/>
  <c r="M23" i="53"/>
  <c r="X15" i="13"/>
  <c r="AG14" i="13"/>
  <c r="BK14" i="53"/>
  <c r="BD12" i="15"/>
  <c r="BC13" i="15" s="1"/>
  <c r="BE12" i="15"/>
  <c r="AK12" i="13"/>
  <c r="AI12" i="13"/>
  <c r="Q24" i="53"/>
  <c r="M22" i="51"/>
  <c r="AR14" i="56"/>
  <c r="L12" i="15"/>
  <c r="BJ14" i="13"/>
  <c r="BP12" i="52"/>
  <c r="S23" i="51"/>
  <c r="BQ12" i="51"/>
  <c r="BS12" i="51" s="1"/>
  <c r="BT12" i="51"/>
  <c r="BU12" i="51" s="1"/>
  <c r="BK14" i="50"/>
  <c r="Z12" i="15"/>
  <c r="Y13" i="15" s="1"/>
  <c r="AA12" i="15"/>
  <c r="CN14" i="15"/>
  <c r="DJ13" i="15"/>
  <c r="AK15" i="65" s="1"/>
  <c r="BV12" i="56" l="1"/>
  <c r="AK12" i="53"/>
  <c r="AM12" i="53" s="1"/>
  <c r="AI12" i="53"/>
  <c r="AG14" i="53"/>
  <c r="AT14" i="53" s="1"/>
  <c r="X15" i="53"/>
  <c r="AT13" i="64"/>
  <c r="AU13" i="64" s="1"/>
  <c r="AI15" i="65"/>
  <c r="AH16" i="65" s="1"/>
  <c r="AL15" i="65"/>
  <c r="AN15" i="65" s="1"/>
  <c r="AO15" i="65" s="1"/>
  <c r="P15" i="65"/>
  <c r="Q15" i="65" s="1"/>
  <c r="P14" i="67"/>
  <c r="Q14" i="67" s="1"/>
  <c r="AI14" i="67"/>
  <c r="AH15" i="67" s="1"/>
  <c r="AL14" i="67"/>
  <c r="AN14" i="67" s="1"/>
  <c r="AO14" i="67" s="1"/>
  <c r="P16" i="66"/>
  <c r="Q16" i="66" s="1"/>
  <c r="J24" i="61"/>
  <c r="L24" i="61"/>
  <c r="T24" i="61"/>
  <c r="U24" i="61" s="1"/>
  <c r="X24" i="61" s="1"/>
  <c r="AB24" i="61" s="1"/>
  <c r="I25" i="61"/>
  <c r="J25" i="61" s="1"/>
  <c r="AQ13" i="67"/>
  <c r="AS13" i="67" s="1"/>
  <c r="AC13" i="67" s="1"/>
  <c r="G14" i="67" s="1"/>
  <c r="AT13" i="65"/>
  <c r="AU13" i="65" s="1"/>
  <c r="AQ13" i="65"/>
  <c r="AS13" i="65" s="1"/>
  <c r="AR14" i="66"/>
  <c r="B30" i="67"/>
  <c r="D31" i="66"/>
  <c r="C30" i="66"/>
  <c r="B31" i="66"/>
  <c r="D31" i="65"/>
  <c r="C30" i="65"/>
  <c r="AO13" i="64"/>
  <c r="AQ13" i="64"/>
  <c r="AS13" i="64" s="1"/>
  <c r="AK14" i="64"/>
  <c r="AL14" i="64" s="1"/>
  <c r="AK14" i="61"/>
  <c r="P14" i="61"/>
  <c r="Q14" i="61" s="1"/>
  <c r="AD14" i="61"/>
  <c r="AG14" i="61" s="1"/>
  <c r="AR13" i="61"/>
  <c r="AC12" i="61"/>
  <c r="G13" i="61" s="1"/>
  <c r="C29" i="64"/>
  <c r="D30" i="64"/>
  <c r="D26" i="61"/>
  <c r="C25" i="61"/>
  <c r="B27" i="61"/>
  <c r="BZ12" i="56"/>
  <c r="CA12" i="56" s="1"/>
  <c r="BW12" i="56"/>
  <c r="BY12" i="56" s="1"/>
  <c r="BI12" i="56" s="1"/>
  <c r="U13" i="56" s="1"/>
  <c r="DB12" i="15"/>
  <c r="DA13" i="15" s="1"/>
  <c r="DC12" i="15"/>
  <c r="G25" i="15"/>
  <c r="C24" i="15"/>
  <c r="C25" i="53"/>
  <c r="D26" i="53"/>
  <c r="C25" i="51"/>
  <c r="D26" i="51"/>
  <c r="D28" i="13"/>
  <c r="C27" i="13"/>
  <c r="C23" i="52"/>
  <c r="D24" i="52"/>
  <c r="D25" i="50"/>
  <c r="C24" i="50"/>
  <c r="D25" i="56"/>
  <c r="C24" i="56"/>
  <c r="BT12" i="52"/>
  <c r="BU12" i="52" s="1"/>
  <c r="N25" i="52"/>
  <c r="N24" i="50"/>
  <c r="N26" i="13"/>
  <c r="BX12" i="15"/>
  <c r="BW13" i="15" s="1"/>
  <c r="BY12" i="15"/>
  <c r="BN12" i="15"/>
  <c r="BM13" i="15" s="1"/>
  <c r="BO12" i="15"/>
  <c r="R27" i="56"/>
  <c r="T25" i="56"/>
  <c r="P25" i="56"/>
  <c r="O31" i="56"/>
  <c r="Q23" i="56"/>
  <c r="S23" i="56"/>
  <c r="M24" i="13"/>
  <c r="N12" i="15"/>
  <c r="X19" i="52"/>
  <c r="AG18" i="52"/>
  <c r="AT18" i="52" s="1"/>
  <c r="Q25" i="52"/>
  <c r="AG13" i="15"/>
  <c r="AQ13" i="15"/>
  <c r="W13" i="15"/>
  <c r="AT14" i="13"/>
  <c r="BR13" i="51"/>
  <c r="BC12" i="51"/>
  <c r="O13" i="51" s="1"/>
  <c r="P13" i="51" s="1"/>
  <c r="AM12" i="13"/>
  <c r="X16" i="13"/>
  <c r="AG15" i="13"/>
  <c r="AT15" i="13" s="1"/>
  <c r="X20" i="51"/>
  <c r="AG19" i="51"/>
  <c r="AT19" i="51" s="1"/>
  <c r="N23" i="53"/>
  <c r="X18" i="50"/>
  <c r="AG17" i="50"/>
  <c r="R25" i="13"/>
  <c r="BI14" i="51"/>
  <c r="BH15" i="51" s="1"/>
  <c r="BL14" i="51"/>
  <c r="BL14" i="52"/>
  <c r="BI14" i="52"/>
  <c r="BI14" i="50"/>
  <c r="BH15" i="50" s="1"/>
  <c r="BL14" i="50"/>
  <c r="N24" i="51"/>
  <c r="BO12" i="50"/>
  <c r="BP12" i="50"/>
  <c r="AZ18" i="56"/>
  <c r="S24" i="51"/>
  <c r="M23" i="51"/>
  <c r="M24" i="53"/>
  <c r="AD20" i="56"/>
  <c r="AM19" i="56"/>
  <c r="AZ19" i="56" s="1"/>
  <c r="Q25" i="50"/>
  <c r="AX12" i="13"/>
  <c r="BQ12" i="52"/>
  <c r="BS12" i="52" s="1"/>
  <c r="BA13" i="15"/>
  <c r="M25" i="52"/>
  <c r="Q27" i="51"/>
  <c r="M24" i="50"/>
  <c r="Q25" i="53"/>
  <c r="BQ14" i="56"/>
  <c r="CH12" i="15"/>
  <c r="CG13" i="15" s="1"/>
  <c r="CI12" i="15"/>
  <c r="AL14" i="13"/>
  <c r="BI14" i="53"/>
  <c r="BH15" i="53" s="1"/>
  <c r="BL14" i="53"/>
  <c r="AT17" i="52"/>
  <c r="CP14" i="15"/>
  <c r="AK16" i="66" s="1"/>
  <c r="DL13" i="15"/>
  <c r="DK14" i="15" s="1"/>
  <c r="DM13" i="15"/>
  <c r="V13" i="56" l="1"/>
  <c r="AN13" i="56" s="1"/>
  <c r="X16" i="53"/>
  <c r="AG15" i="53"/>
  <c r="AT15" i="53" s="1"/>
  <c r="AN12" i="53"/>
  <c r="BD12" i="53" s="1"/>
  <c r="BG12" i="53" s="1"/>
  <c r="AO12" i="53"/>
  <c r="AP12" i="53" s="1"/>
  <c r="AM15" i="65"/>
  <c r="AM14" i="67"/>
  <c r="AL16" i="66"/>
  <c r="AI16" i="66"/>
  <c r="AH17" i="66" s="1"/>
  <c r="T25" i="61"/>
  <c r="U25" i="61" s="1"/>
  <c r="X25" i="61" s="1"/>
  <c r="AB25" i="61" s="1"/>
  <c r="L25" i="61"/>
  <c r="I26" i="61"/>
  <c r="AR14" i="67"/>
  <c r="AP14" i="67" s="1"/>
  <c r="G14" i="66"/>
  <c r="AE14" i="66" s="1"/>
  <c r="AR14" i="65"/>
  <c r="AC13" i="65"/>
  <c r="G14" i="65" s="1"/>
  <c r="AP14" i="66"/>
  <c r="B31" i="67"/>
  <c r="B32" i="66"/>
  <c r="D32" i="66"/>
  <c r="C31" i="66"/>
  <c r="D32" i="65"/>
  <c r="C31" i="65"/>
  <c r="AR14" i="64"/>
  <c r="AC13" i="64"/>
  <c r="G14" i="64" s="1"/>
  <c r="AI14" i="64"/>
  <c r="AH15" i="64" s="1"/>
  <c r="AI14" i="61"/>
  <c r="AH15" i="61" s="1"/>
  <c r="AL14" i="61"/>
  <c r="D31" i="64"/>
  <c r="C30" i="64"/>
  <c r="AE13" i="61"/>
  <c r="AF13" i="61"/>
  <c r="B28" i="61"/>
  <c r="D27" i="61"/>
  <c r="C26" i="61"/>
  <c r="BX13" i="56"/>
  <c r="CY13" i="15"/>
  <c r="AJ15" i="67" s="1"/>
  <c r="C25" i="50"/>
  <c r="D26" i="50"/>
  <c r="D29" i="13"/>
  <c r="C28" i="13"/>
  <c r="D25" i="52"/>
  <c r="C24" i="52"/>
  <c r="C26" i="51"/>
  <c r="D27" i="51"/>
  <c r="C25" i="56"/>
  <c r="D26" i="56"/>
  <c r="C26" i="53"/>
  <c r="D27" i="53"/>
  <c r="G26" i="15"/>
  <c r="C25" i="15"/>
  <c r="N26" i="52"/>
  <c r="N25" i="50"/>
  <c r="N27" i="13"/>
  <c r="BU13" i="15"/>
  <c r="BK13" i="15"/>
  <c r="O32" i="56"/>
  <c r="P26" i="56"/>
  <c r="S24" i="56"/>
  <c r="T26" i="56"/>
  <c r="Q24" i="56"/>
  <c r="R28" i="56"/>
  <c r="M25" i="13"/>
  <c r="M25" i="53"/>
  <c r="AT17" i="50"/>
  <c r="M26" i="52"/>
  <c r="AM20" i="56"/>
  <c r="AD21" i="56"/>
  <c r="X21" i="51"/>
  <c r="AG20" i="51"/>
  <c r="AT20" i="51" s="1"/>
  <c r="BJ15" i="50"/>
  <c r="V13" i="15"/>
  <c r="Q26" i="52"/>
  <c r="BJ15" i="53"/>
  <c r="AZ13" i="15"/>
  <c r="BB12" i="13"/>
  <c r="X19" i="50"/>
  <c r="AG18" i="50"/>
  <c r="AT18" i="50" s="1"/>
  <c r="X17" i="13"/>
  <c r="AG16" i="13"/>
  <c r="AT16" i="13" s="1"/>
  <c r="BJ15" i="52"/>
  <c r="AP13" i="15"/>
  <c r="X20" i="52"/>
  <c r="AG19" i="52"/>
  <c r="CE13" i="15"/>
  <c r="M25" i="50"/>
  <c r="BC12" i="52"/>
  <c r="O13" i="52" s="1"/>
  <c r="P13" i="52" s="1"/>
  <c r="BR13" i="52"/>
  <c r="N24" i="53"/>
  <c r="AN12" i="13"/>
  <c r="AO12" i="13" s="1"/>
  <c r="BH15" i="52"/>
  <c r="Q26" i="50"/>
  <c r="M24" i="51"/>
  <c r="BQ12" i="50"/>
  <c r="BS12" i="50" s="1"/>
  <c r="BT12" i="50"/>
  <c r="BU12" i="50" s="1"/>
  <c r="BJ15" i="51"/>
  <c r="AF13" i="15"/>
  <c r="S25" i="51"/>
  <c r="BO14" i="56"/>
  <c r="BN15" i="56" s="1"/>
  <c r="BR14" i="56"/>
  <c r="Q28" i="51"/>
  <c r="AS13" i="51"/>
  <c r="AU13" i="51" s="1"/>
  <c r="AX13" i="51" s="1"/>
  <c r="BB13" i="51" s="1"/>
  <c r="AH13" i="51"/>
  <c r="BK14" i="13"/>
  <c r="P12" i="15"/>
  <c r="O13" i="15" s="1"/>
  <c r="Q12" i="15"/>
  <c r="Q26" i="53"/>
  <c r="N25" i="51"/>
  <c r="R26" i="13"/>
  <c r="CR14" i="15"/>
  <c r="CQ15" i="15" s="1"/>
  <c r="CO15" i="15" s="1"/>
  <c r="AJ17" i="66" s="1"/>
  <c r="M17" i="66" s="1"/>
  <c r="N17" i="66" s="1"/>
  <c r="CS14" i="15"/>
  <c r="DI14" i="15"/>
  <c r="AJ16" i="65" s="1"/>
  <c r="M16" i="65" s="1"/>
  <c r="N16" i="65" s="1"/>
  <c r="AY13" i="56" l="1"/>
  <c r="BA13" i="56" s="1"/>
  <c r="BD13" i="56" s="1"/>
  <c r="AO13" i="56"/>
  <c r="AQ13" i="56"/>
  <c r="AS13" i="56" s="1"/>
  <c r="BE12" i="53"/>
  <c r="BN12" i="53"/>
  <c r="BF12" i="53"/>
  <c r="BM12" i="53"/>
  <c r="X17" i="53"/>
  <c r="AG16" i="53"/>
  <c r="AT16" i="53" s="1"/>
  <c r="O16" i="65"/>
  <c r="AD16" i="65" s="1"/>
  <c r="AG16" i="65" s="1"/>
  <c r="M15" i="67"/>
  <c r="N15" i="67" s="1"/>
  <c r="O17" i="66"/>
  <c r="AD17" i="66" s="1"/>
  <c r="AG17" i="66" s="1"/>
  <c r="AN16" i="66"/>
  <c r="AO16" i="66" s="1"/>
  <c r="AM16" i="66"/>
  <c r="T26" i="61"/>
  <c r="U26" i="61" s="1"/>
  <c r="X26" i="61" s="1"/>
  <c r="AB26" i="61" s="1"/>
  <c r="J26" i="61"/>
  <c r="L26" i="61"/>
  <c r="T27" i="61"/>
  <c r="U27" i="61" s="1"/>
  <c r="X27" i="61" s="1"/>
  <c r="AB27" i="61" s="1"/>
  <c r="AF14" i="66"/>
  <c r="AP14" i="65"/>
  <c r="AT14" i="67"/>
  <c r="AU14" i="67" s="1"/>
  <c r="AQ14" i="67"/>
  <c r="AS14" i="67" s="1"/>
  <c r="AC14" i="67" s="1"/>
  <c r="AQ14" i="66"/>
  <c r="AS14" i="66" s="1"/>
  <c r="AC14" i="66" s="1"/>
  <c r="AT14" i="66"/>
  <c r="AU14" i="66" s="1"/>
  <c r="AF14" i="67"/>
  <c r="AE14" i="67"/>
  <c r="B32" i="67"/>
  <c r="D33" i="66"/>
  <c r="C32" i="66"/>
  <c r="B33" i="66"/>
  <c r="AE14" i="65"/>
  <c r="AF14" i="65"/>
  <c r="D33" i="65"/>
  <c r="C32" i="65"/>
  <c r="AE14" i="64"/>
  <c r="AF14" i="64"/>
  <c r="AM14" i="64"/>
  <c r="P14" i="64"/>
  <c r="Q14" i="64" s="1"/>
  <c r="AJ15" i="64"/>
  <c r="AJ15" i="61"/>
  <c r="M15" i="61" s="1"/>
  <c r="N15" i="61" s="1"/>
  <c r="C31" i="64"/>
  <c r="D32" i="64"/>
  <c r="D28" i="61"/>
  <c r="C27" i="61"/>
  <c r="B29" i="61"/>
  <c r="CX13" i="15"/>
  <c r="D28" i="53"/>
  <c r="C27" i="53"/>
  <c r="D30" i="13"/>
  <c r="C29" i="13"/>
  <c r="D26" i="52"/>
  <c r="C25" i="52"/>
  <c r="D27" i="56"/>
  <c r="C26" i="56"/>
  <c r="C26" i="50"/>
  <c r="D27" i="50"/>
  <c r="D28" i="51"/>
  <c r="C27" i="51"/>
  <c r="G27" i="15"/>
  <c r="C26" i="15"/>
  <c r="N27" i="52"/>
  <c r="N26" i="50"/>
  <c r="N28" i="13"/>
  <c r="BT13" i="15"/>
  <c r="BJ13" i="15"/>
  <c r="T27" i="56"/>
  <c r="S25" i="56"/>
  <c r="R29" i="56"/>
  <c r="P27" i="56"/>
  <c r="Q25" i="56"/>
  <c r="O33" i="56"/>
  <c r="M26" i="13"/>
  <c r="M13" i="15"/>
  <c r="AL15" i="51"/>
  <c r="Q27" i="50"/>
  <c r="M26" i="50"/>
  <c r="AT19" i="52"/>
  <c r="AL15" i="50"/>
  <c r="M27" i="52"/>
  <c r="X21" i="52"/>
  <c r="AG20" i="52"/>
  <c r="AT20" i="52" s="1"/>
  <c r="Q27" i="52"/>
  <c r="Q27" i="53"/>
  <c r="BI14" i="13"/>
  <c r="BL14" i="13"/>
  <c r="BR13" i="50"/>
  <c r="BC12" i="50"/>
  <c r="O13" i="50" s="1"/>
  <c r="P13" i="50" s="1"/>
  <c r="BP15" i="56"/>
  <c r="CD13" i="15"/>
  <c r="X20" i="50"/>
  <c r="AG19" i="50"/>
  <c r="AT19" i="50" s="1"/>
  <c r="R27" i="13"/>
  <c r="Q29" i="51"/>
  <c r="S26" i="51"/>
  <c r="BD12" i="13"/>
  <c r="AR13" i="15"/>
  <c r="M26" i="53"/>
  <c r="AL15" i="52"/>
  <c r="BB13" i="15"/>
  <c r="X13" i="15"/>
  <c r="X22" i="51"/>
  <c r="AG21" i="51"/>
  <c r="AT21" i="51" s="1"/>
  <c r="AI13" i="51"/>
  <c r="AK13" i="51"/>
  <c r="AM13" i="51" s="1"/>
  <c r="AN13" i="51" s="1"/>
  <c r="M25" i="51"/>
  <c r="AP12" i="13"/>
  <c r="AL15" i="53"/>
  <c r="AM21" i="56"/>
  <c r="AZ21" i="56" s="1"/>
  <c r="AD22" i="56"/>
  <c r="N26" i="51"/>
  <c r="AH13" i="15"/>
  <c r="N25" i="53"/>
  <c r="AS13" i="52"/>
  <c r="AU13" i="52" s="1"/>
  <c r="AX13" i="52" s="1"/>
  <c r="BB13" i="52" s="1"/>
  <c r="AH13" i="52"/>
  <c r="X18" i="13"/>
  <c r="AG17" i="13"/>
  <c r="AZ20" i="56"/>
  <c r="CN15" i="15"/>
  <c r="CP15" i="15" s="1"/>
  <c r="DH14" i="15"/>
  <c r="X18" i="53" l="1"/>
  <c r="AG17" i="53"/>
  <c r="AT17" i="53" s="1"/>
  <c r="BO12" i="53"/>
  <c r="BP12" i="53"/>
  <c r="BT12" i="53" s="1"/>
  <c r="BU12" i="53" s="1"/>
  <c r="P16" i="65"/>
  <c r="Q16" i="65" s="1"/>
  <c r="O15" i="67"/>
  <c r="AD15" i="67" s="1"/>
  <c r="AG15" i="67" s="1"/>
  <c r="P17" i="66"/>
  <c r="Q17" i="66" s="1"/>
  <c r="CR15" i="15"/>
  <c r="CQ16" i="15" s="1"/>
  <c r="CO16" i="15" s="1"/>
  <c r="AJ18" i="66" s="1"/>
  <c r="AK17" i="66"/>
  <c r="I27" i="61"/>
  <c r="L27" i="61" s="1"/>
  <c r="I28" i="61"/>
  <c r="AT14" i="65"/>
  <c r="AU14" i="65" s="1"/>
  <c r="AQ14" i="65"/>
  <c r="AS14" i="65" s="1"/>
  <c r="AR15" i="67"/>
  <c r="G15" i="67"/>
  <c r="AR15" i="66"/>
  <c r="G15" i="66"/>
  <c r="B33" i="67"/>
  <c r="B34" i="66"/>
  <c r="D34" i="66"/>
  <c r="C33" i="66"/>
  <c r="D34" i="65"/>
  <c r="C33" i="65"/>
  <c r="M15" i="64"/>
  <c r="N15" i="64" s="1"/>
  <c r="O15" i="64" s="1"/>
  <c r="AD15" i="64" s="1"/>
  <c r="AG15" i="64" s="1"/>
  <c r="AN14" i="64"/>
  <c r="D33" i="64"/>
  <c r="C32" i="64"/>
  <c r="O15" i="61"/>
  <c r="C28" i="61"/>
  <c r="D29" i="61"/>
  <c r="B30" i="61"/>
  <c r="CZ13" i="15"/>
  <c r="AK15" i="67" s="1"/>
  <c r="D28" i="56"/>
  <c r="C27" i="56"/>
  <c r="D29" i="51"/>
  <c r="C28" i="51"/>
  <c r="D27" i="52"/>
  <c r="C26" i="52"/>
  <c r="G28" i="15"/>
  <c r="C27" i="15"/>
  <c r="C27" i="50"/>
  <c r="D28" i="50"/>
  <c r="D29" i="53"/>
  <c r="C28" i="53"/>
  <c r="D31" i="13"/>
  <c r="C30" i="13"/>
  <c r="N28" i="52"/>
  <c r="N27" i="50"/>
  <c r="N29" i="13"/>
  <c r="BV13" i="15"/>
  <c r="BL13" i="15"/>
  <c r="P28" i="56"/>
  <c r="R30" i="56"/>
  <c r="O34" i="56"/>
  <c r="S26" i="56"/>
  <c r="Q26" i="56"/>
  <c r="T28" i="56"/>
  <c r="M27" i="13"/>
  <c r="AT17" i="13"/>
  <c r="M26" i="51"/>
  <c r="AR15" i="56"/>
  <c r="Q28" i="53"/>
  <c r="X19" i="13"/>
  <c r="AG18" i="13"/>
  <c r="AT18" i="13" s="1"/>
  <c r="BK15" i="50"/>
  <c r="Z13" i="15"/>
  <c r="Y14" i="15" s="1"/>
  <c r="AA13" i="15"/>
  <c r="R28" i="13"/>
  <c r="AK13" i="52"/>
  <c r="AM13" i="52" s="1"/>
  <c r="AN13" i="52" s="1"/>
  <c r="AI13" i="52"/>
  <c r="AD23" i="56"/>
  <c r="AM22" i="56"/>
  <c r="AZ22" i="56" s="1"/>
  <c r="BG12" i="13"/>
  <c r="Q28" i="52"/>
  <c r="BK15" i="51"/>
  <c r="AJ13" i="15"/>
  <c r="AI14" i="15" s="1"/>
  <c r="AK13" i="15"/>
  <c r="BK15" i="53"/>
  <c r="BD13" i="15"/>
  <c r="BC14" i="15" s="1"/>
  <c r="BE13" i="15"/>
  <c r="AH13" i="50"/>
  <c r="AS13" i="50"/>
  <c r="AU13" i="50" s="1"/>
  <c r="AX13" i="50" s="1"/>
  <c r="BB13" i="50" s="1"/>
  <c r="M28" i="52"/>
  <c r="AO13" i="51"/>
  <c r="AP13" i="51" s="1"/>
  <c r="BD13" i="51"/>
  <c r="BG13" i="51" s="1"/>
  <c r="M27" i="53"/>
  <c r="X21" i="50"/>
  <c r="AG20" i="50"/>
  <c r="AT20" i="50" s="1"/>
  <c r="M27" i="50"/>
  <c r="N26" i="53"/>
  <c r="S27" i="51"/>
  <c r="X22" i="52"/>
  <c r="AG21" i="52"/>
  <c r="AT21" i="52" s="1"/>
  <c r="L13" i="15"/>
  <c r="BJ15" i="13"/>
  <c r="Q30" i="51"/>
  <c r="BH15" i="13"/>
  <c r="N27" i="51"/>
  <c r="X23" i="51"/>
  <c r="AG22" i="51"/>
  <c r="AT22" i="51" s="1"/>
  <c r="BK15" i="52"/>
  <c r="AT13" i="15"/>
  <c r="AS14" i="15" s="1"/>
  <c r="AU13" i="15"/>
  <c r="CF13" i="15"/>
  <c r="Q28" i="50"/>
  <c r="CS15" i="15"/>
  <c r="DJ14" i="15"/>
  <c r="AK16" i="65" s="1"/>
  <c r="AT13" i="56"/>
  <c r="BH13" i="56"/>
  <c r="BQ12" i="53" l="1"/>
  <c r="BS12" i="53" s="1"/>
  <c r="BC12" i="53"/>
  <c r="O13" i="53" s="1"/>
  <c r="P13" i="53" s="1"/>
  <c r="BR13" i="53"/>
  <c r="X19" i="53"/>
  <c r="AG18" i="53"/>
  <c r="AT18" i="53" s="1"/>
  <c r="AL16" i="65"/>
  <c r="AI16" i="65"/>
  <c r="AH17" i="65" s="1"/>
  <c r="AI15" i="67"/>
  <c r="AH16" i="67" s="1"/>
  <c r="AL15" i="67"/>
  <c r="AM15" i="67" s="1"/>
  <c r="P15" i="67"/>
  <c r="Q15" i="67" s="1"/>
  <c r="CN16" i="15"/>
  <c r="CP16" i="15" s="1"/>
  <c r="CR16" i="15" s="1"/>
  <c r="CQ17" i="15" s="1"/>
  <c r="CO17" i="15" s="1"/>
  <c r="AL17" i="66"/>
  <c r="AI17" i="66"/>
  <c r="AH18" i="66" s="1"/>
  <c r="M18" i="66"/>
  <c r="N18" i="66" s="1"/>
  <c r="J27" i="61"/>
  <c r="J28" i="61"/>
  <c r="L28" i="61"/>
  <c r="T28" i="61"/>
  <c r="U28" i="61" s="1"/>
  <c r="X28" i="61" s="1"/>
  <c r="AB28" i="61" s="1"/>
  <c r="I29" i="61"/>
  <c r="AR15" i="65"/>
  <c r="AC14" i="65"/>
  <c r="AP15" i="66"/>
  <c r="B34" i="67"/>
  <c r="D35" i="66"/>
  <c r="C34" i="66"/>
  <c r="B35" i="66"/>
  <c r="D35" i="65"/>
  <c r="C34" i="65"/>
  <c r="AO14" i="64"/>
  <c r="AP14" i="64"/>
  <c r="AK15" i="64"/>
  <c r="AL15" i="64" s="1"/>
  <c r="AK15" i="61"/>
  <c r="P15" i="61"/>
  <c r="Q15" i="61" s="1"/>
  <c r="AD15" i="61"/>
  <c r="AG15" i="61" s="1"/>
  <c r="C33" i="64"/>
  <c r="D34" i="64"/>
  <c r="B31" i="61"/>
  <c r="D30" i="61"/>
  <c r="C29" i="61"/>
  <c r="DB13" i="15"/>
  <c r="DA14" i="15" s="1"/>
  <c r="DC13" i="15"/>
  <c r="C29" i="53"/>
  <c r="D30" i="53"/>
  <c r="D29" i="50"/>
  <c r="C28" i="50"/>
  <c r="D28" i="52"/>
  <c r="C27" i="52"/>
  <c r="G29" i="15"/>
  <c r="C28" i="15"/>
  <c r="D32" i="13"/>
  <c r="C31" i="13"/>
  <c r="C29" i="51"/>
  <c r="D30" i="51"/>
  <c r="D29" i="56"/>
  <c r="C28" i="56"/>
  <c r="N29" i="52"/>
  <c r="N28" i="50"/>
  <c r="N30" i="13"/>
  <c r="BX13" i="15"/>
  <c r="BW14" i="15" s="1"/>
  <c r="BY13" i="15"/>
  <c r="BN13" i="15"/>
  <c r="BM14" i="15" s="1"/>
  <c r="BO13" i="15"/>
  <c r="S27" i="56"/>
  <c r="O35" i="56"/>
  <c r="R31" i="56"/>
  <c r="T29" i="56"/>
  <c r="Q27" i="56"/>
  <c r="P29" i="56"/>
  <c r="M28" i="13"/>
  <c r="Q29" i="53"/>
  <c r="BI15" i="53"/>
  <c r="BH16" i="53" s="1"/>
  <c r="BL15" i="53"/>
  <c r="M27" i="51"/>
  <c r="AQ14" i="15"/>
  <c r="X23" i="52"/>
  <c r="AG22" i="52"/>
  <c r="AT22" i="52" s="1"/>
  <c r="AK13" i="50"/>
  <c r="AM13" i="50" s="1"/>
  <c r="AN13" i="50" s="1"/>
  <c r="AI13" i="50"/>
  <c r="BI15" i="50"/>
  <c r="BH16" i="50" s="1"/>
  <c r="BL15" i="50"/>
  <c r="BN13" i="51"/>
  <c r="BM13" i="51"/>
  <c r="BF13" i="51"/>
  <c r="BE13" i="51"/>
  <c r="M28" i="50"/>
  <c r="Q29" i="52"/>
  <c r="R29" i="13"/>
  <c r="N28" i="51"/>
  <c r="AM23" i="56"/>
  <c r="AZ23" i="56" s="1"/>
  <c r="AD24" i="56"/>
  <c r="BQ15" i="56"/>
  <c r="CH13" i="15"/>
  <c r="CG14" i="15" s="1"/>
  <c r="CI13" i="15"/>
  <c r="M28" i="53"/>
  <c r="Q31" i="51"/>
  <c r="M29" i="52"/>
  <c r="BN12" i="13"/>
  <c r="BF12" i="13"/>
  <c r="BM12" i="13"/>
  <c r="BE12" i="13"/>
  <c r="X20" i="13"/>
  <c r="AG19" i="13"/>
  <c r="AT19" i="13" s="1"/>
  <c r="Q29" i="50"/>
  <c r="BI15" i="52"/>
  <c r="BL15" i="52"/>
  <c r="X24" i="51"/>
  <c r="AG23" i="51"/>
  <c r="AT23" i="51" s="1"/>
  <c r="S28" i="51"/>
  <c r="X22" i="50"/>
  <c r="AG21" i="50"/>
  <c r="AT21" i="50" s="1"/>
  <c r="BA14" i="15"/>
  <c r="BI15" i="51"/>
  <c r="BH16" i="51" s="1"/>
  <c r="BL15" i="51"/>
  <c r="W14" i="15"/>
  <c r="N13" i="15"/>
  <c r="AG14" i="15"/>
  <c r="AL15" i="13"/>
  <c r="N27" i="53"/>
  <c r="AO13" i="52"/>
  <c r="AP13" i="52" s="1"/>
  <c r="BD13" i="52"/>
  <c r="BG13" i="52" s="1"/>
  <c r="DL14" i="15"/>
  <c r="DK15" i="15" s="1"/>
  <c r="DM14" i="15"/>
  <c r="BJ13" i="56"/>
  <c r="AU13" i="56"/>
  <c r="AG19" i="53" l="1"/>
  <c r="AT19" i="53" s="1"/>
  <c r="X20" i="53"/>
  <c r="AS13" i="53"/>
  <c r="AU13" i="53" s="1"/>
  <c r="AX13" i="53" s="1"/>
  <c r="BB13" i="53" s="1"/>
  <c r="AH13" i="53"/>
  <c r="CS16" i="15"/>
  <c r="AT14" i="64"/>
  <c r="AU14" i="64" s="1"/>
  <c r="AN16" i="65"/>
  <c r="AO16" i="65" s="1"/>
  <c r="AM16" i="65"/>
  <c r="AN15" i="67"/>
  <c r="AK18" i="66"/>
  <c r="AL18" i="66" s="1"/>
  <c r="O18" i="66"/>
  <c r="AD18" i="66" s="1"/>
  <c r="AG18" i="66" s="1"/>
  <c r="AN17" i="66"/>
  <c r="AO17" i="66" s="1"/>
  <c r="AM17" i="66"/>
  <c r="CN17" i="15"/>
  <c r="CP17" i="15" s="1"/>
  <c r="AJ19" i="66"/>
  <c r="T29" i="61"/>
  <c r="U29" i="61" s="1"/>
  <c r="X29" i="61" s="1"/>
  <c r="AB29" i="61" s="1"/>
  <c r="L29" i="61"/>
  <c r="J29" i="61"/>
  <c r="I30" i="61"/>
  <c r="AP15" i="65"/>
  <c r="AQ15" i="66"/>
  <c r="AS15" i="66" s="1"/>
  <c r="AC15" i="66" s="1"/>
  <c r="AT15" i="66"/>
  <c r="AU15" i="66" s="1"/>
  <c r="B35" i="67"/>
  <c r="B36" i="66"/>
  <c r="D36" i="66"/>
  <c r="C35" i="66"/>
  <c r="G15" i="65"/>
  <c r="C35" i="65"/>
  <c r="D36" i="65"/>
  <c r="AI15" i="64"/>
  <c r="AH16" i="64" s="1"/>
  <c r="AQ14" i="64"/>
  <c r="AS14" i="64" s="1"/>
  <c r="AL15" i="61"/>
  <c r="AI15" i="61"/>
  <c r="AH16" i="61" s="1"/>
  <c r="D35" i="64"/>
  <c r="C34" i="64"/>
  <c r="C30" i="61"/>
  <c r="D31" i="61"/>
  <c r="B32" i="61"/>
  <c r="CY14" i="15"/>
  <c r="AJ16" i="67" s="1"/>
  <c r="G30" i="15"/>
  <c r="C29" i="15"/>
  <c r="D29" i="52"/>
  <c r="C28" i="52"/>
  <c r="D31" i="51"/>
  <c r="C30" i="51"/>
  <c r="C29" i="56"/>
  <c r="D30" i="56"/>
  <c r="D33" i="13"/>
  <c r="C32" i="13"/>
  <c r="D30" i="50"/>
  <c r="C29" i="50"/>
  <c r="D31" i="53"/>
  <c r="C30" i="53"/>
  <c r="N30" i="52"/>
  <c r="N29" i="50"/>
  <c r="N31" i="13"/>
  <c r="BU14" i="15"/>
  <c r="BK14" i="15"/>
  <c r="T30" i="56"/>
  <c r="R32" i="56"/>
  <c r="P30" i="56"/>
  <c r="Q28" i="56"/>
  <c r="S28" i="56"/>
  <c r="O36" i="56"/>
  <c r="M29" i="13"/>
  <c r="M30" i="52"/>
  <c r="BJ16" i="52"/>
  <c r="AP14" i="15"/>
  <c r="BF13" i="52"/>
  <c r="BN13" i="52"/>
  <c r="BE13" i="52"/>
  <c r="BM13" i="52"/>
  <c r="BH16" i="52"/>
  <c r="X21" i="13"/>
  <c r="AG20" i="13"/>
  <c r="AT20" i="13" s="1"/>
  <c r="N29" i="51"/>
  <c r="CE14" i="15"/>
  <c r="BJ16" i="51"/>
  <c r="AF14" i="15"/>
  <c r="X23" i="50"/>
  <c r="AG22" i="50"/>
  <c r="AT22" i="50" s="1"/>
  <c r="Q30" i="50"/>
  <c r="M29" i="50"/>
  <c r="M28" i="51"/>
  <c r="Q30" i="53"/>
  <c r="Q32" i="51"/>
  <c r="BO15" i="56"/>
  <c r="BN16" i="56" s="1"/>
  <c r="BR15" i="56"/>
  <c r="BO13" i="51"/>
  <c r="BP13" i="51"/>
  <c r="BJ16" i="50"/>
  <c r="V14" i="15"/>
  <c r="BK15" i="13"/>
  <c r="P13" i="15"/>
  <c r="O14" i="15" s="1"/>
  <c r="Q13" i="15"/>
  <c r="S29" i="51"/>
  <c r="AM24" i="56"/>
  <c r="AZ24" i="56" s="1"/>
  <c r="AD25" i="56"/>
  <c r="R30" i="13"/>
  <c r="AO13" i="50"/>
  <c r="AP13" i="50" s="1"/>
  <c r="BD13" i="50"/>
  <c r="BG13" i="50" s="1"/>
  <c r="N28" i="53"/>
  <c r="BJ16" i="53"/>
  <c r="AZ14" i="15"/>
  <c r="X25" i="51"/>
  <c r="AG24" i="51"/>
  <c r="AT24" i="51" s="1"/>
  <c r="BP12" i="13"/>
  <c r="BO12" i="13"/>
  <c r="M29" i="53"/>
  <c r="Q30" i="52"/>
  <c r="X24" i="52"/>
  <c r="AG23" i="52"/>
  <c r="AT23" i="52" s="1"/>
  <c r="DI15" i="15"/>
  <c r="AJ17" i="65" s="1"/>
  <c r="BM13" i="56"/>
  <c r="AV13" i="56"/>
  <c r="AI13" i="53" l="1"/>
  <c r="AK13" i="53"/>
  <c r="AM13" i="53" s="1"/>
  <c r="X21" i="53"/>
  <c r="AG20" i="53"/>
  <c r="AT20" i="53" s="1"/>
  <c r="M17" i="65"/>
  <c r="N17" i="65" s="1"/>
  <c r="AO15" i="67"/>
  <c r="AP15" i="67"/>
  <c r="M16" i="67"/>
  <c r="N16" i="67" s="1"/>
  <c r="AI18" i="66"/>
  <c r="AH19" i="66" s="1"/>
  <c r="P18" i="66"/>
  <c r="Q18" i="66" s="1"/>
  <c r="M19" i="66"/>
  <c r="N19" i="66" s="1"/>
  <c r="CR17" i="15"/>
  <c r="CQ18" i="15" s="1"/>
  <c r="CO18" i="15" s="1"/>
  <c r="AK19" i="66"/>
  <c r="CS17" i="15"/>
  <c r="AM18" i="66"/>
  <c r="AN18" i="66"/>
  <c r="AO18" i="66" s="1"/>
  <c r="T30" i="61"/>
  <c r="U30" i="61" s="1"/>
  <c r="X30" i="61" s="1"/>
  <c r="AB30" i="61" s="1"/>
  <c r="J30" i="61"/>
  <c r="L30" i="61"/>
  <c r="AQ15" i="65"/>
  <c r="AS15" i="65" s="1"/>
  <c r="AT15" i="65"/>
  <c r="AU15" i="65" s="1"/>
  <c r="AR16" i="66"/>
  <c r="G16" i="66"/>
  <c r="AE15" i="67"/>
  <c r="AF15" i="67"/>
  <c r="B36" i="67"/>
  <c r="AF15" i="66"/>
  <c r="AE15" i="66"/>
  <c r="D37" i="66"/>
  <c r="C36" i="66"/>
  <c r="B37" i="66"/>
  <c r="AE15" i="65"/>
  <c r="AF15" i="65"/>
  <c r="D37" i="65"/>
  <c r="C36" i="65"/>
  <c r="AR15" i="64"/>
  <c r="AC14" i="64"/>
  <c r="G15" i="64" s="1"/>
  <c r="AM15" i="64"/>
  <c r="P15" i="64"/>
  <c r="Q15" i="64" s="1"/>
  <c r="AJ16" i="64"/>
  <c r="AJ16" i="61"/>
  <c r="M16" i="61" s="1"/>
  <c r="N16" i="61" s="1"/>
  <c r="C35" i="64"/>
  <c r="D36" i="64"/>
  <c r="T31" i="61"/>
  <c r="U31" i="61" s="1"/>
  <c r="X31" i="61" s="1"/>
  <c r="AB31" i="61" s="1"/>
  <c r="I31" i="61"/>
  <c r="B33" i="61"/>
  <c r="C31" i="61"/>
  <c r="D32" i="61"/>
  <c r="CX14" i="15"/>
  <c r="D34" i="13"/>
  <c r="C33" i="13"/>
  <c r="C30" i="56"/>
  <c r="D31" i="56"/>
  <c r="C29" i="52"/>
  <c r="D30" i="52"/>
  <c r="D32" i="53"/>
  <c r="C31" i="53"/>
  <c r="D32" i="51"/>
  <c r="C31" i="51"/>
  <c r="D31" i="50"/>
  <c r="C30" i="50"/>
  <c r="G31" i="15"/>
  <c r="C30" i="15"/>
  <c r="N31" i="52"/>
  <c r="N30" i="50"/>
  <c r="N32" i="13"/>
  <c r="BT14" i="15"/>
  <c r="BJ14" i="15"/>
  <c r="O37" i="56"/>
  <c r="Q29" i="56"/>
  <c r="P31" i="56"/>
  <c r="R33" i="56"/>
  <c r="S29" i="56"/>
  <c r="T31" i="56"/>
  <c r="M30" i="13"/>
  <c r="BT12" i="13"/>
  <c r="BU12" i="13" s="1"/>
  <c r="AL16" i="53"/>
  <c r="M29" i="51"/>
  <c r="N30" i="51"/>
  <c r="BP13" i="52"/>
  <c r="BO13" i="52"/>
  <c r="M31" i="52"/>
  <c r="X26" i="51"/>
  <c r="AG25" i="51"/>
  <c r="AT25" i="51" s="1"/>
  <c r="X14" i="15"/>
  <c r="M30" i="50"/>
  <c r="AH14" i="15"/>
  <c r="M30" i="53"/>
  <c r="S30" i="51"/>
  <c r="AL16" i="51"/>
  <c r="X22" i="13"/>
  <c r="AG21" i="13"/>
  <c r="AT21" i="13" s="1"/>
  <c r="AL16" i="50"/>
  <c r="Q31" i="50"/>
  <c r="N29" i="53"/>
  <c r="R31" i="13"/>
  <c r="M14" i="15"/>
  <c r="BP16" i="56"/>
  <c r="CD14" i="15"/>
  <c r="AR14" i="15"/>
  <c r="X25" i="52"/>
  <c r="AG24" i="52"/>
  <c r="AT24" i="52" s="1"/>
  <c r="BQ12" i="13"/>
  <c r="BN13" i="50"/>
  <c r="BF13" i="50"/>
  <c r="BE13" i="50"/>
  <c r="BM13" i="50"/>
  <c r="AD26" i="56"/>
  <c r="AM25" i="56"/>
  <c r="AZ25" i="56" s="1"/>
  <c r="Q33" i="51"/>
  <c r="Q31" i="53"/>
  <c r="AL16" i="52"/>
  <c r="Q31" i="52"/>
  <c r="BB14" i="15"/>
  <c r="BI15" i="13"/>
  <c r="BL15" i="13"/>
  <c r="BQ13" i="51"/>
  <c r="BS13" i="51" s="1"/>
  <c r="BT13" i="51"/>
  <c r="BU13" i="51" s="1"/>
  <c r="X24" i="50"/>
  <c r="AG23" i="50"/>
  <c r="AT23" i="50" s="1"/>
  <c r="DH15" i="15"/>
  <c r="DJ15" i="15" s="1"/>
  <c r="BT13" i="56"/>
  <c r="BS13" i="56"/>
  <c r="BL13" i="56"/>
  <c r="BK13" i="56"/>
  <c r="X22" i="53" l="1"/>
  <c r="AG21" i="53"/>
  <c r="AT21" i="53" s="1"/>
  <c r="AN13" i="53"/>
  <c r="BD13" i="53" s="1"/>
  <c r="BG13" i="53" s="1"/>
  <c r="O17" i="65"/>
  <c r="AD17" i="65" s="1"/>
  <c r="AG17" i="65" s="1"/>
  <c r="DL15" i="15"/>
  <c r="DK16" i="15" s="1"/>
  <c r="DI16" i="15" s="1"/>
  <c r="AJ18" i="65" s="1"/>
  <c r="AK17" i="65"/>
  <c r="AQ15" i="67"/>
  <c r="AS15" i="67" s="1"/>
  <c r="AT15" i="67"/>
  <c r="AU15" i="67" s="1"/>
  <c r="O16" i="67"/>
  <c r="AD16" i="67" s="1"/>
  <c r="AG16" i="67" s="1"/>
  <c r="AI19" i="66"/>
  <c r="AH20" i="66" s="1"/>
  <c r="AJ20" i="66"/>
  <c r="M20" i="66" s="1"/>
  <c r="N20" i="66" s="1"/>
  <c r="CN18" i="15"/>
  <c r="CP18" i="15" s="1"/>
  <c r="CS18" i="15" s="1"/>
  <c r="O19" i="66"/>
  <c r="AD19" i="66" s="1"/>
  <c r="AG19" i="66" s="1"/>
  <c r="AL19" i="66"/>
  <c r="I32" i="61"/>
  <c r="AR16" i="65"/>
  <c r="AC15" i="65"/>
  <c r="AP16" i="66"/>
  <c r="B37" i="67"/>
  <c r="B38" i="66"/>
  <c r="D38" i="66"/>
  <c r="C37" i="66"/>
  <c r="C37" i="65"/>
  <c r="D38" i="65"/>
  <c r="AE15" i="64"/>
  <c r="AF15" i="64"/>
  <c r="M16" i="64"/>
  <c r="N16" i="64" s="1"/>
  <c r="O16" i="64" s="1"/>
  <c r="AD16" i="64" s="1"/>
  <c r="AG16" i="64" s="1"/>
  <c r="AN15" i="64"/>
  <c r="AO15" i="64" s="1"/>
  <c r="D37" i="64"/>
  <c r="C36" i="64"/>
  <c r="L31" i="61"/>
  <c r="J31" i="61"/>
  <c r="O16" i="61"/>
  <c r="C32" i="61"/>
  <c r="D33" i="61"/>
  <c r="B34" i="61"/>
  <c r="CZ14" i="15"/>
  <c r="AK16" i="67" s="1"/>
  <c r="C30" i="52"/>
  <c r="D31" i="52"/>
  <c r="D32" i="50"/>
  <c r="C31" i="50"/>
  <c r="D32" i="56"/>
  <c r="C31" i="56"/>
  <c r="D33" i="51"/>
  <c r="C32" i="51"/>
  <c r="G32" i="15"/>
  <c r="C31" i="15"/>
  <c r="D33" i="53"/>
  <c r="C32" i="53"/>
  <c r="D35" i="13"/>
  <c r="C34" i="13"/>
  <c r="BT13" i="52"/>
  <c r="BU13" i="52" s="1"/>
  <c r="N32" i="52"/>
  <c r="N31" i="50"/>
  <c r="N33" i="13"/>
  <c r="BV14" i="15"/>
  <c r="BL14" i="15"/>
  <c r="BQ13" i="52"/>
  <c r="BS13" i="52" s="1"/>
  <c r="BC13" i="52" s="1"/>
  <c r="O14" i="52" s="1"/>
  <c r="P14" i="52" s="1"/>
  <c r="R34" i="56"/>
  <c r="P32" i="56"/>
  <c r="Q30" i="56"/>
  <c r="S30" i="56"/>
  <c r="O38" i="56"/>
  <c r="T32" i="56"/>
  <c r="M31" i="13"/>
  <c r="X25" i="50"/>
  <c r="AG24" i="50"/>
  <c r="AT24" i="50" s="1"/>
  <c r="AD27" i="56"/>
  <c r="AM26" i="56"/>
  <c r="AZ26" i="56" s="1"/>
  <c r="AR16" i="56"/>
  <c r="L14" i="15"/>
  <c r="BJ16" i="13"/>
  <c r="S31" i="51"/>
  <c r="M32" i="52"/>
  <c r="BR14" i="51"/>
  <c r="BC13" i="51"/>
  <c r="O14" i="51" s="1"/>
  <c r="P14" i="51" s="1"/>
  <c r="Q32" i="52"/>
  <c r="BK16" i="52"/>
  <c r="AT14" i="15"/>
  <c r="AS15" i="15" s="1"/>
  <c r="AU14" i="15"/>
  <c r="R32" i="13"/>
  <c r="BK16" i="51"/>
  <c r="AJ14" i="15"/>
  <c r="AI15" i="15" s="1"/>
  <c r="AK14" i="15"/>
  <c r="Q32" i="53"/>
  <c r="M31" i="50"/>
  <c r="X27" i="51"/>
  <c r="AG26" i="51"/>
  <c r="AT26" i="51" s="1"/>
  <c r="BP13" i="50"/>
  <c r="BO13" i="50"/>
  <c r="N30" i="53"/>
  <c r="M31" i="53"/>
  <c r="N31" i="51"/>
  <c r="Q34" i="51"/>
  <c r="BS12" i="13"/>
  <c r="Q32" i="50"/>
  <c r="BK16" i="50"/>
  <c r="Z14" i="15"/>
  <c r="Y15" i="15" s="1"/>
  <c r="AA14" i="15"/>
  <c r="M30" i="51"/>
  <c r="BH16" i="13"/>
  <c r="BK16" i="53"/>
  <c r="BD14" i="15"/>
  <c r="BC15" i="15" s="1"/>
  <c r="BE14" i="15"/>
  <c r="X26" i="52"/>
  <c r="AG25" i="52"/>
  <c r="AT25" i="52" s="1"/>
  <c r="CF14" i="15"/>
  <c r="X23" i="13"/>
  <c r="AG22" i="13"/>
  <c r="AT22" i="13" s="1"/>
  <c r="DM15" i="15"/>
  <c r="BV13" i="56"/>
  <c r="BU13" i="56"/>
  <c r="AO13" i="53" l="1"/>
  <c r="AP13" i="53" s="1"/>
  <c r="BM13" i="53"/>
  <c r="BN13" i="53"/>
  <c r="BF13" i="53"/>
  <c r="BE13" i="53"/>
  <c r="X23" i="53"/>
  <c r="AG22" i="53"/>
  <c r="AT22" i="53" s="1"/>
  <c r="AI17" i="65"/>
  <c r="AH18" i="65" s="1"/>
  <c r="AL17" i="65"/>
  <c r="AN17" i="65" s="1"/>
  <c r="AO17" i="65" s="1"/>
  <c r="P17" i="65"/>
  <c r="Q17" i="65" s="1"/>
  <c r="M18" i="65"/>
  <c r="N18" i="65" s="1"/>
  <c r="P16" i="67"/>
  <c r="Q16" i="67" s="1"/>
  <c r="AC15" i="67"/>
  <c r="G16" i="67" s="1"/>
  <c r="AR16" i="67"/>
  <c r="AI16" i="67"/>
  <c r="AH17" i="67" s="1"/>
  <c r="AL16" i="67"/>
  <c r="AN16" i="67" s="1"/>
  <c r="P19" i="66"/>
  <c r="Q19" i="66" s="1"/>
  <c r="AN19" i="66"/>
  <c r="AO19" i="66" s="1"/>
  <c r="AM19" i="66"/>
  <c r="CR18" i="15"/>
  <c r="CQ19" i="15" s="1"/>
  <c r="CO19" i="15" s="1"/>
  <c r="AK20" i="66"/>
  <c r="O20" i="66"/>
  <c r="AD20" i="66" s="1"/>
  <c r="AG20" i="66" s="1"/>
  <c r="T32" i="61"/>
  <c r="U32" i="61" s="1"/>
  <c r="X32" i="61" s="1"/>
  <c r="AB32" i="61" s="1"/>
  <c r="J32" i="61"/>
  <c r="L32" i="61"/>
  <c r="T33" i="61"/>
  <c r="U33" i="61" s="1"/>
  <c r="X33" i="61" s="1"/>
  <c r="AB33" i="61" s="1"/>
  <c r="AP16" i="65"/>
  <c r="AT16" i="66"/>
  <c r="AU16" i="66" s="1"/>
  <c r="AQ16" i="66"/>
  <c r="AS16" i="66" s="1"/>
  <c r="AC16" i="66" s="1"/>
  <c r="B38" i="67"/>
  <c r="D39" i="66"/>
  <c r="C38" i="66"/>
  <c r="B39" i="66"/>
  <c r="D39" i="65"/>
  <c r="C38" i="65"/>
  <c r="G16" i="65"/>
  <c r="AP15" i="64"/>
  <c r="AT15" i="64" s="1"/>
  <c r="AU15" i="64" s="1"/>
  <c r="AK16" i="64"/>
  <c r="AL16" i="64" s="1"/>
  <c r="AK16" i="61"/>
  <c r="P16" i="61"/>
  <c r="Q16" i="61" s="1"/>
  <c r="AD16" i="61"/>
  <c r="AG16" i="61" s="1"/>
  <c r="C37" i="64"/>
  <c r="D38" i="64"/>
  <c r="AN13" i="61"/>
  <c r="AM13" i="61"/>
  <c r="B35" i="61"/>
  <c r="D34" i="61"/>
  <c r="C33" i="61"/>
  <c r="DB14" i="15"/>
  <c r="DA15" i="15" s="1"/>
  <c r="DC14" i="15"/>
  <c r="C33" i="51"/>
  <c r="D34" i="51"/>
  <c r="G33" i="15"/>
  <c r="C32" i="15"/>
  <c r="D33" i="56"/>
  <c r="C32" i="56"/>
  <c r="D36" i="13"/>
  <c r="C35" i="13"/>
  <c r="C33" i="53"/>
  <c r="D34" i="53"/>
  <c r="D33" i="50"/>
  <c r="C32" i="50"/>
  <c r="C31" i="52"/>
  <c r="D32" i="52"/>
  <c r="BW13" i="56"/>
  <c r="BY13" i="56" s="1"/>
  <c r="BI13" i="56" s="1"/>
  <c r="N33" i="52"/>
  <c r="N32" i="50"/>
  <c r="N34" i="13"/>
  <c r="BR14" i="52"/>
  <c r="BX14" i="15"/>
  <c r="BW15" i="15" s="1"/>
  <c r="BY14" i="15"/>
  <c r="BN14" i="15"/>
  <c r="BM15" i="15" s="1"/>
  <c r="BO14" i="15"/>
  <c r="S31" i="56"/>
  <c r="Q31" i="56"/>
  <c r="T33" i="56"/>
  <c r="P33" i="56"/>
  <c r="O39" i="56"/>
  <c r="R35" i="56"/>
  <c r="M32" i="13"/>
  <c r="BI16" i="50"/>
  <c r="BH17" i="50" s="1"/>
  <c r="BL16" i="50"/>
  <c r="BI16" i="51"/>
  <c r="BH17" i="51" s="1"/>
  <c r="BL16" i="51"/>
  <c r="BL16" i="52"/>
  <c r="BI16" i="52"/>
  <c r="N14" i="15"/>
  <c r="X27" i="52"/>
  <c r="AG26" i="52"/>
  <c r="AT26" i="52" s="1"/>
  <c r="Q33" i="52"/>
  <c r="M32" i="53"/>
  <c r="R33" i="13"/>
  <c r="M33" i="52"/>
  <c r="BA15" i="15"/>
  <c r="M31" i="51"/>
  <c r="BQ13" i="50"/>
  <c r="BS13" i="50" s="1"/>
  <c r="BT13" i="50"/>
  <c r="BU13" i="50" s="1"/>
  <c r="Q33" i="53"/>
  <c r="AH14" i="51"/>
  <c r="AS14" i="51"/>
  <c r="AU14" i="51" s="1"/>
  <c r="AX14" i="51" s="1"/>
  <c r="BB14" i="51" s="1"/>
  <c r="X24" i="13"/>
  <c r="AG23" i="13"/>
  <c r="AT23" i="13" s="1"/>
  <c r="BR13" i="13"/>
  <c r="BC12" i="13"/>
  <c r="N32" i="51"/>
  <c r="BL16" i="53"/>
  <c r="BI16" i="53"/>
  <c r="BH17" i="53" s="1"/>
  <c r="Q33" i="50"/>
  <c r="Q35" i="51"/>
  <c r="AD28" i="56"/>
  <c r="AM27" i="56"/>
  <c r="AZ27" i="56" s="1"/>
  <c r="W15" i="15"/>
  <c r="N31" i="53"/>
  <c r="X28" i="51"/>
  <c r="AG27" i="51"/>
  <c r="AT27" i="51" s="1"/>
  <c r="AG15" i="15"/>
  <c r="AQ15" i="15"/>
  <c r="S32" i="51"/>
  <c r="AL16" i="13"/>
  <c r="BQ16" i="56"/>
  <c r="CH14" i="15"/>
  <c r="CG15" i="15" s="1"/>
  <c r="CI14" i="15"/>
  <c r="M32" i="50"/>
  <c r="X26" i="50"/>
  <c r="AG25" i="50"/>
  <c r="AT25" i="50" s="1"/>
  <c r="CN20" i="15"/>
  <c r="DH16" i="15"/>
  <c r="DJ16" i="15" s="1"/>
  <c r="BZ13" i="56"/>
  <c r="CA13" i="56" s="1"/>
  <c r="AH14" i="52"/>
  <c r="AS14" i="52"/>
  <c r="AG23" i="53" l="1"/>
  <c r="AT23" i="53" s="1"/>
  <c r="X24" i="53"/>
  <c r="BP13" i="53"/>
  <c r="BT13" i="53" s="1"/>
  <c r="BU13" i="53" s="1"/>
  <c r="BO13" i="53"/>
  <c r="AM17" i="65"/>
  <c r="O18" i="65"/>
  <c r="AD18" i="65" s="1"/>
  <c r="AG18" i="65" s="1"/>
  <c r="DL16" i="15"/>
  <c r="DK17" i="15" s="1"/>
  <c r="DI17" i="15" s="1"/>
  <c r="AJ19" i="65" s="1"/>
  <c r="AK18" i="65"/>
  <c r="AL18" i="65" s="1"/>
  <c r="AM16" i="67"/>
  <c r="AO16" i="67"/>
  <c r="AP16" i="67"/>
  <c r="P20" i="66"/>
  <c r="Q20" i="66" s="1"/>
  <c r="AL20" i="66"/>
  <c r="AM20" i="66" s="1"/>
  <c r="AI20" i="66"/>
  <c r="AH21" i="66" s="1"/>
  <c r="AJ21" i="66"/>
  <c r="CN19" i="15"/>
  <c r="CP19" i="15" s="1"/>
  <c r="CS19" i="15" s="1"/>
  <c r="I34" i="61"/>
  <c r="I33" i="61"/>
  <c r="AT16" i="65"/>
  <c r="AU16" i="65" s="1"/>
  <c r="AQ16" i="65"/>
  <c r="AS16" i="65" s="1"/>
  <c r="AR17" i="66"/>
  <c r="G17" i="66"/>
  <c r="B39" i="67"/>
  <c r="B40" i="66"/>
  <c r="D40" i="66"/>
  <c r="C39" i="66"/>
  <c r="D40" i="65"/>
  <c r="C39" i="65"/>
  <c r="AI16" i="64"/>
  <c r="AH17" i="64" s="1"/>
  <c r="AQ15" i="64"/>
  <c r="AS15" i="64" s="1"/>
  <c r="AM16" i="64"/>
  <c r="P16" i="64"/>
  <c r="Q16" i="64" s="1"/>
  <c r="AL16" i="61"/>
  <c r="AI16" i="61"/>
  <c r="AH17" i="61" s="1"/>
  <c r="D39" i="64"/>
  <c r="C38" i="64"/>
  <c r="AO13" i="61"/>
  <c r="AP13" i="61"/>
  <c r="AT13" i="61" s="1"/>
  <c r="AU13" i="61" s="1"/>
  <c r="AU4" i="61" s="1"/>
  <c r="D37" i="17" s="1"/>
  <c r="C34" i="61"/>
  <c r="D35" i="61"/>
  <c r="B36" i="61"/>
  <c r="CY15" i="15"/>
  <c r="AJ17" i="67" s="1"/>
  <c r="C33" i="50"/>
  <c r="D34" i="50"/>
  <c r="C34" i="53"/>
  <c r="D35" i="53"/>
  <c r="G34" i="15"/>
  <c r="C33" i="15"/>
  <c r="C32" i="52"/>
  <c r="D33" i="52"/>
  <c r="C34" i="51"/>
  <c r="D35" i="51"/>
  <c r="D37" i="13"/>
  <c r="C36" i="13"/>
  <c r="C33" i="56"/>
  <c r="D34" i="56"/>
  <c r="N34" i="52"/>
  <c r="N33" i="50"/>
  <c r="N35" i="13"/>
  <c r="BU15" i="15"/>
  <c r="BK15" i="15"/>
  <c r="P34" i="56"/>
  <c r="T34" i="56"/>
  <c r="R36" i="56"/>
  <c r="Q32" i="56"/>
  <c r="O40" i="56"/>
  <c r="S32" i="56"/>
  <c r="M33" i="13"/>
  <c r="CE15" i="15"/>
  <c r="S33" i="51"/>
  <c r="N32" i="53"/>
  <c r="AK14" i="51"/>
  <c r="AM14" i="51" s="1"/>
  <c r="AN14" i="51" s="1"/>
  <c r="AI14" i="51"/>
  <c r="BJ17" i="52"/>
  <c r="AP15" i="15"/>
  <c r="AR15" i="15" s="1"/>
  <c r="AU15" i="15" s="1"/>
  <c r="Q34" i="50"/>
  <c r="M32" i="51"/>
  <c r="X27" i="50"/>
  <c r="AG26" i="50"/>
  <c r="AT26" i="50" s="1"/>
  <c r="BO16" i="56"/>
  <c r="BN17" i="56" s="1"/>
  <c r="BR16" i="56"/>
  <c r="X25" i="13"/>
  <c r="AG24" i="13"/>
  <c r="AT24" i="13" s="1"/>
  <c r="Q34" i="53"/>
  <c r="BH17" i="52"/>
  <c r="M33" i="50"/>
  <c r="BJ17" i="51"/>
  <c r="AF15" i="15"/>
  <c r="AH15" i="15" s="1"/>
  <c r="AK15" i="15" s="1"/>
  <c r="BJ17" i="53"/>
  <c r="AZ15" i="15"/>
  <c r="BB15" i="15" s="1"/>
  <c r="BE15" i="15" s="1"/>
  <c r="M33" i="53"/>
  <c r="BJ17" i="50"/>
  <c r="V15" i="15"/>
  <c r="X15" i="15" s="1"/>
  <c r="AA15" i="15" s="1"/>
  <c r="N33" i="51"/>
  <c r="Q34" i="52"/>
  <c r="X28" i="52"/>
  <c r="AG27" i="52"/>
  <c r="AT27" i="52" s="1"/>
  <c r="BR14" i="50"/>
  <c r="BC13" i="50"/>
  <c r="O14" i="50" s="1"/>
  <c r="P14" i="50" s="1"/>
  <c r="M34" i="52"/>
  <c r="X29" i="51"/>
  <c r="AG28" i="51"/>
  <c r="AT28" i="51" s="1"/>
  <c r="AM28" i="56"/>
  <c r="AZ28" i="56" s="1"/>
  <c r="AD29" i="56"/>
  <c r="O13" i="13"/>
  <c r="P13" i="13" s="1"/>
  <c r="Q36" i="51"/>
  <c r="R34" i="13"/>
  <c r="BK16" i="13"/>
  <c r="P14" i="15"/>
  <c r="O15" i="15" s="1"/>
  <c r="Q14" i="15"/>
  <c r="DM16" i="15"/>
  <c r="BX14" i="56"/>
  <c r="AU14" i="52"/>
  <c r="AK14" i="52"/>
  <c r="AI14" i="52"/>
  <c r="BQ13" i="53" l="1"/>
  <c r="BS13" i="53" s="1"/>
  <c r="BR14" i="53" s="1"/>
  <c r="X25" i="53"/>
  <c r="AG24" i="53"/>
  <c r="AT24" i="53" s="1"/>
  <c r="AI18" i="65"/>
  <c r="AH19" i="65" s="1"/>
  <c r="M19" i="65"/>
  <c r="N19" i="65" s="1"/>
  <c r="AM18" i="65"/>
  <c r="AN18" i="65"/>
  <c r="AO18" i="65" s="1"/>
  <c r="P18" i="65"/>
  <c r="Q18" i="65" s="1"/>
  <c r="M17" i="67"/>
  <c r="N17" i="67" s="1"/>
  <c r="AT16" i="67"/>
  <c r="AU16" i="67" s="1"/>
  <c r="AQ16" i="67"/>
  <c r="AS16" i="67" s="1"/>
  <c r="CR19" i="15"/>
  <c r="CQ20" i="15" s="1"/>
  <c r="CO20" i="15" s="1"/>
  <c r="AK21" i="66"/>
  <c r="AL21" i="66" s="1"/>
  <c r="M21" i="66"/>
  <c r="N21" i="66" s="1"/>
  <c r="AN20" i="66"/>
  <c r="AO20" i="66" s="1"/>
  <c r="T34" i="61"/>
  <c r="U34" i="61" s="1"/>
  <c r="X34" i="61" s="1"/>
  <c r="AB34" i="61" s="1"/>
  <c r="J34" i="61"/>
  <c r="L34" i="61"/>
  <c r="I35" i="61"/>
  <c r="J33" i="61"/>
  <c r="L33" i="61"/>
  <c r="AR17" i="65"/>
  <c r="AC16" i="65"/>
  <c r="AP17" i="66"/>
  <c r="AE16" i="67"/>
  <c r="AF16" i="67"/>
  <c r="B40" i="67"/>
  <c r="AE16" i="66"/>
  <c r="AF16" i="66"/>
  <c r="D41" i="66"/>
  <c r="C40" i="66"/>
  <c r="B41" i="66"/>
  <c r="AF16" i="65"/>
  <c r="AE16" i="65"/>
  <c r="D41" i="65"/>
  <c r="C40" i="65"/>
  <c r="AR16" i="64"/>
  <c r="AC15" i="64"/>
  <c r="G16" i="64" s="1"/>
  <c r="AN16" i="64"/>
  <c r="AO16" i="64" s="1"/>
  <c r="AJ17" i="64"/>
  <c r="AJ17" i="61"/>
  <c r="C39" i="64"/>
  <c r="D40" i="64"/>
  <c r="AQ13" i="61"/>
  <c r="AS13" i="61" s="1"/>
  <c r="B37" i="61"/>
  <c r="D36" i="61"/>
  <c r="C35" i="61"/>
  <c r="CX15" i="15"/>
  <c r="CZ15" i="15" s="1"/>
  <c r="AK17" i="67" s="1"/>
  <c r="AI17" i="67" s="1"/>
  <c r="AH18" i="67" s="1"/>
  <c r="G35" i="15"/>
  <c r="C34" i="15"/>
  <c r="D36" i="53"/>
  <c r="C35" i="53"/>
  <c r="D38" i="13"/>
  <c r="C37" i="13"/>
  <c r="D36" i="51"/>
  <c r="C35" i="51"/>
  <c r="C34" i="50"/>
  <c r="D35" i="50"/>
  <c r="D35" i="56"/>
  <c r="C34" i="56"/>
  <c r="D34" i="52"/>
  <c r="C33" i="52"/>
  <c r="N35" i="52"/>
  <c r="N34" i="50"/>
  <c r="N36" i="13"/>
  <c r="BT15" i="15"/>
  <c r="BV15" i="15" s="1"/>
  <c r="BJ15" i="15"/>
  <c r="BL15" i="15" s="1"/>
  <c r="Q33" i="56"/>
  <c r="R37" i="56"/>
  <c r="S33" i="56"/>
  <c r="T35" i="56"/>
  <c r="O41" i="56"/>
  <c r="P35" i="56"/>
  <c r="M34" i="13"/>
  <c r="Q37" i="51"/>
  <c r="Q35" i="52"/>
  <c r="BI16" i="13"/>
  <c r="BL16" i="13"/>
  <c r="M34" i="53"/>
  <c r="BK17" i="51"/>
  <c r="BI17" i="51" s="1"/>
  <c r="BH18" i="51" s="1"/>
  <c r="AJ15" i="15"/>
  <c r="AI16" i="15" s="1"/>
  <c r="Q35" i="53"/>
  <c r="N33" i="53"/>
  <c r="N34" i="51"/>
  <c r="AL17" i="51"/>
  <c r="Q35" i="50"/>
  <c r="M34" i="50"/>
  <c r="AD30" i="56"/>
  <c r="AM29" i="56"/>
  <c r="AZ29" i="56" s="1"/>
  <c r="BK17" i="53"/>
  <c r="BI17" i="53" s="1"/>
  <c r="BH18" i="53" s="1"/>
  <c r="BD15" i="15"/>
  <c r="BC16" i="15" s="1"/>
  <c r="X26" i="13"/>
  <c r="AG25" i="13"/>
  <c r="AT25" i="13" s="1"/>
  <c r="S34" i="51"/>
  <c r="R35" i="13"/>
  <c r="M35" i="52"/>
  <c r="BK17" i="50"/>
  <c r="BI17" i="50" s="1"/>
  <c r="BH18" i="50" s="1"/>
  <c r="Z15" i="15"/>
  <c r="Y16" i="15" s="1"/>
  <c r="AL17" i="53"/>
  <c r="X28" i="50"/>
  <c r="AG27" i="50"/>
  <c r="AT27" i="50" s="1"/>
  <c r="BK17" i="52"/>
  <c r="BI17" i="52" s="1"/>
  <c r="BH18" i="52" s="1"/>
  <c r="AT15" i="15"/>
  <c r="AS16" i="15" s="1"/>
  <c r="AO14" i="51"/>
  <c r="AP14" i="51" s="1"/>
  <c r="BD14" i="51"/>
  <c r="BG14" i="51" s="1"/>
  <c r="M33" i="51"/>
  <c r="AL17" i="52"/>
  <c r="BP17" i="56"/>
  <c r="CD15" i="15"/>
  <c r="CF15" i="15" s="1"/>
  <c r="M15" i="15"/>
  <c r="X30" i="51"/>
  <c r="AG29" i="51"/>
  <c r="AT29" i="51" s="1"/>
  <c r="AH14" i="50"/>
  <c r="AS14" i="50"/>
  <c r="AU14" i="50" s="1"/>
  <c r="AX14" i="50" s="1"/>
  <c r="BB14" i="50" s="1"/>
  <c r="X29" i="52"/>
  <c r="AG28" i="52"/>
  <c r="AT28" i="52" s="1"/>
  <c r="AL17" i="50"/>
  <c r="CN21" i="15"/>
  <c r="DH17" i="15"/>
  <c r="DJ17" i="15" s="1"/>
  <c r="U14" i="56"/>
  <c r="V14" i="56" s="1"/>
  <c r="AM14" i="52"/>
  <c r="AX14" i="52"/>
  <c r="BC13" i="53" l="1"/>
  <c r="O14" i="53" s="1"/>
  <c r="P14" i="53" s="1"/>
  <c r="AS14" i="53" s="1"/>
  <c r="AU14" i="53" s="1"/>
  <c r="AX14" i="53" s="1"/>
  <c r="BB14" i="53" s="1"/>
  <c r="AG25" i="53"/>
  <c r="AT25" i="53" s="1"/>
  <c r="X26" i="53"/>
  <c r="DL17" i="15"/>
  <c r="DK18" i="15" s="1"/>
  <c r="DI18" i="15" s="1"/>
  <c r="AJ20" i="65" s="1"/>
  <c r="M20" i="65" s="1"/>
  <c r="N20" i="65" s="1"/>
  <c r="AK19" i="65"/>
  <c r="O19" i="65"/>
  <c r="AD19" i="65" s="1"/>
  <c r="AG19" i="65" s="1"/>
  <c r="AC16" i="67"/>
  <c r="G17" i="67" s="1"/>
  <c r="AR17" i="67"/>
  <c r="O17" i="67"/>
  <c r="AD17" i="67" s="1"/>
  <c r="AG17" i="67" s="1"/>
  <c r="AL17" i="67"/>
  <c r="AI21" i="66"/>
  <c r="AH22" i="66" s="1"/>
  <c r="O21" i="66"/>
  <c r="AD21" i="66" s="1"/>
  <c r="AG21" i="66" s="1"/>
  <c r="AJ22" i="66"/>
  <c r="CP20" i="15"/>
  <c r="T35" i="61"/>
  <c r="U35" i="61" s="1"/>
  <c r="X35" i="61" s="1"/>
  <c r="AB35" i="61" s="1"/>
  <c r="J35" i="61"/>
  <c r="L35" i="61"/>
  <c r="I36" i="61"/>
  <c r="AP17" i="65"/>
  <c r="AT17" i="66"/>
  <c r="AU17" i="66" s="1"/>
  <c r="AQ17" i="66"/>
  <c r="AS17" i="66" s="1"/>
  <c r="AC17" i="66" s="1"/>
  <c r="B41" i="67"/>
  <c r="B42" i="66"/>
  <c r="D42" i="66"/>
  <c r="C41" i="66"/>
  <c r="D42" i="65"/>
  <c r="C41" i="65"/>
  <c r="AE16" i="64"/>
  <c r="AF16" i="64"/>
  <c r="M17" i="64"/>
  <c r="N17" i="64" s="1"/>
  <c r="O17" i="64" s="1"/>
  <c r="AD17" i="64" s="1"/>
  <c r="AG17" i="64" s="1"/>
  <c r="AP16" i="64"/>
  <c r="AT16" i="64" s="1"/>
  <c r="AU16" i="64" s="1"/>
  <c r="AK17" i="64"/>
  <c r="AI17" i="64" s="1"/>
  <c r="AH18" i="64" s="1"/>
  <c r="AK17" i="61"/>
  <c r="AI17" i="61" s="1"/>
  <c r="AH18" i="61" s="1"/>
  <c r="M17" i="61"/>
  <c r="N17" i="61" s="1"/>
  <c r="O17" i="61" s="1"/>
  <c r="AR14" i="61"/>
  <c r="AC13" i="61"/>
  <c r="G14" i="61" s="1"/>
  <c r="D41" i="64"/>
  <c r="C40" i="64"/>
  <c r="D37" i="61"/>
  <c r="C36" i="61"/>
  <c r="B38" i="61"/>
  <c r="DB15" i="15"/>
  <c r="DA16" i="15" s="1"/>
  <c r="DC15" i="15"/>
  <c r="D36" i="56"/>
  <c r="C35" i="56"/>
  <c r="D39" i="13"/>
  <c r="C38" i="13"/>
  <c r="C35" i="50"/>
  <c r="D36" i="50"/>
  <c r="G36" i="15"/>
  <c r="C35" i="15"/>
  <c r="D35" i="52"/>
  <c r="C34" i="52"/>
  <c r="D37" i="51"/>
  <c r="C36" i="51"/>
  <c r="D37" i="53"/>
  <c r="C36" i="53"/>
  <c r="N36" i="52"/>
  <c r="N35" i="50"/>
  <c r="N37" i="13"/>
  <c r="BX15" i="15"/>
  <c r="BW16" i="15" s="1"/>
  <c r="BY15" i="15"/>
  <c r="BN15" i="15"/>
  <c r="BM16" i="15" s="1"/>
  <c r="BO15" i="15"/>
  <c r="BL17" i="52"/>
  <c r="T36" i="56"/>
  <c r="S34" i="56"/>
  <c r="R38" i="56"/>
  <c r="P36" i="56"/>
  <c r="O42" i="56"/>
  <c r="Q34" i="56"/>
  <c r="BL17" i="50"/>
  <c r="BL17" i="53"/>
  <c r="M35" i="13"/>
  <c r="BQ17" i="56"/>
  <c r="BO17" i="56" s="1"/>
  <c r="BN18" i="56" s="1"/>
  <c r="CH15" i="15"/>
  <c r="CG16" i="15" s="1"/>
  <c r="AQ16" i="15"/>
  <c r="W16" i="15"/>
  <c r="R36" i="13"/>
  <c r="AS13" i="13"/>
  <c r="AH13" i="13"/>
  <c r="BH17" i="13"/>
  <c r="AR17" i="56"/>
  <c r="AM30" i="56"/>
  <c r="AZ30" i="56" s="1"/>
  <c r="AD31" i="56"/>
  <c r="N35" i="51"/>
  <c r="AG16" i="15"/>
  <c r="Q36" i="52"/>
  <c r="X31" i="51"/>
  <c r="AG30" i="51"/>
  <c r="AT30" i="51" s="1"/>
  <c r="X29" i="50"/>
  <c r="AG28" i="50"/>
  <c r="AT28" i="50" s="1"/>
  <c r="S35" i="51"/>
  <c r="Q36" i="50"/>
  <c r="N34" i="53"/>
  <c r="M35" i="53"/>
  <c r="M34" i="51"/>
  <c r="M36" i="52"/>
  <c r="X30" i="52"/>
  <c r="AG29" i="52"/>
  <c r="AT29" i="52" s="1"/>
  <c r="L15" i="15"/>
  <c r="N15" i="15" s="1"/>
  <c r="Q15" i="15" s="1"/>
  <c r="BJ17" i="13"/>
  <c r="X27" i="13"/>
  <c r="AG26" i="13"/>
  <c r="AT26" i="13" s="1"/>
  <c r="BF14" i="51"/>
  <c r="BN14" i="51"/>
  <c r="BE14" i="51"/>
  <c r="BM14" i="51"/>
  <c r="BA16" i="15"/>
  <c r="M35" i="50"/>
  <c r="Q38" i="51"/>
  <c r="AK14" i="50"/>
  <c r="AM14" i="50" s="1"/>
  <c r="AN14" i="50" s="1"/>
  <c r="AI14" i="50"/>
  <c r="CI15" i="15"/>
  <c r="BL17" i="51"/>
  <c r="Q36" i="53"/>
  <c r="DM17" i="15"/>
  <c r="BB14" i="52"/>
  <c r="AN14" i="52"/>
  <c r="AH14" i="53" l="1"/>
  <c r="AI14" i="53" s="1"/>
  <c r="AG26" i="53"/>
  <c r="AT26" i="53" s="1"/>
  <c r="X27" i="53"/>
  <c r="T36" i="61"/>
  <c r="U36" i="61" s="1"/>
  <c r="X36" i="61" s="1"/>
  <c r="AB36" i="61" s="1"/>
  <c r="O20" i="65"/>
  <c r="AD20" i="65" s="1"/>
  <c r="AG20" i="65" s="1"/>
  <c r="P19" i="65"/>
  <c r="Q19" i="65" s="1"/>
  <c r="AL19" i="65"/>
  <c r="AN19" i="65" s="1"/>
  <c r="AO19" i="65" s="1"/>
  <c r="AI19" i="65"/>
  <c r="AH20" i="65" s="1"/>
  <c r="P17" i="67"/>
  <c r="Q17" i="67" s="1"/>
  <c r="AN17" i="67"/>
  <c r="AM17" i="67"/>
  <c r="P21" i="66"/>
  <c r="Q21" i="66" s="1"/>
  <c r="CR20" i="15"/>
  <c r="CQ21" i="15" s="1"/>
  <c r="CO21" i="15" s="1"/>
  <c r="AK22" i="66"/>
  <c r="AI22" i="66" s="1"/>
  <c r="AH23" i="66" s="1"/>
  <c r="CS20" i="15"/>
  <c r="M22" i="66"/>
  <c r="N22" i="66" s="1"/>
  <c r="AN21" i="66"/>
  <c r="AO21" i="66" s="1"/>
  <c r="AM21" i="66"/>
  <c r="J36" i="61"/>
  <c r="L36" i="61"/>
  <c r="I37" i="61"/>
  <c r="AQ17" i="65"/>
  <c r="AS17" i="65" s="1"/>
  <c r="AT17" i="65"/>
  <c r="AU17" i="65" s="1"/>
  <c r="AR18" i="66"/>
  <c r="G18" i="66"/>
  <c r="B42" i="67"/>
  <c r="D43" i="66"/>
  <c r="C42" i="66"/>
  <c r="B43" i="66"/>
  <c r="D43" i="65"/>
  <c r="C42" i="65"/>
  <c r="AL17" i="64"/>
  <c r="AQ16" i="64"/>
  <c r="AS16" i="64" s="1"/>
  <c r="AL17" i="61"/>
  <c r="P17" i="61"/>
  <c r="Q17" i="61" s="1"/>
  <c r="AD17" i="61"/>
  <c r="AG17" i="61" s="1"/>
  <c r="C41" i="64"/>
  <c r="D42" i="64"/>
  <c r="AF14" i="61"/>
  <c r="AE14" i="61"/>
  <c r="B39" i="61"/>
  <c r="D38" i="61"/>
  <c r="C37" i="61"/>
  <c r="CY16" i="15"/>
  <c r="AJ18" i="67" s="1"/>
  <c r="C37" i="51"/>
  <c r="D38" i="51"/>
  <c r="G37" i="15"/>
  <c r="C36" i="15"/>
  <c r="D37" i="50"/>
  <c r="C36" i="50"/>
  <c r="D37" i="56"/>
  <c r="C36" i="56"/>
  <c r="D36" i="52"/>
  <c r="C35" i="52"/>
  <c r="D40" i="13"/>
  <c r="C39" i="13"/>
  <c r="C37" i="53"/>
  <c r="D38" i="53"/>
  <c r="N37" i="52"/>
  <c r="N36" i="50"/>
  <c r="N38" i="13"/>
  <c r="BU16" i="15"/>
  <c r="BK16" i="15"/>
  <c r="P37" i="56"/>
  <c r="R39" i="56"/>
  <c r="Q35" i="56"/>
  <c r="S35" i="56"/>
  <c r="O44" i="56"/>
  <c r="O43" i="56"/>
  <c r="T37" i="56"/>
  <c r="BR17" i="56"/>
  <c r="M36" i="13"/>
  <c r="AO14" i="50"/>
  <c r="AP14" i="50" s="1"/>
  <c r="BD14" i="50"/>
  <c r="BG14" i="50" s="1"/>
  <c r="BJ18" i="50"/>
  <c r="V16" i="15"/>
  <c r="X16" i="15" s="1"/>
  <c r="AA16" i="15" s="1"/>
  <c r="M36" i="50"/>
  <c r="BP14" i="51"/>
  <c r="BO14" i="51"/>
  <c r="X28" i="13"/>
  <c r="AG27" i="13"/>
  <c r="AT27" i="13" s="1"/>
  <c r="Q37" i="52"/>
  <c r="Q39" i="51"/>
  <c r="AL17" i="13"/>
  <c r="M36" i="53"/>
  <c r="BJ18" i="52"/>
  <c r="AP16" i="15"/>
  <c r="AR16" i="15" s="1"/>
  <c r="AU16" i="15" s="1"/>
  <c r="AM31" i="56"/>
  <c r="AZ31" i="56" s="1"/>
  <c r="AD32" i="56"/>
  <c r="M35" i="51"/>
  <c r="N35" i="53"/>
  <c r="BJ18" i="51"/>
  <c r="AF16" i="15"/>
  <c r="AH16" i="15" s="1"/>
  <c r="AK16" i="15" s="1"/>
  <c r="AK13" i="13"/>
  <c r="AI13" i="13"/>
  <c r="CE16" i="15"/>
  <c r="BJ18" i="53"/>
  <c r="AZ16" i="15"/>
  <c r="BB16" i="15" s="1"/>
  <c r="BK17" i="13"/>
  <c r="BL17" i="13" s="1"/>
  <c r="P15" i="15"/>
  <c r="O16" i="15" s="1"/>
  <c r="X30" i="50"/>
  <c r="AG29" i="50"/>
  <c r="AT29" i="50" s="1"/>
  <c r="AU13" i="13"/>
  <c r="Q37" i="50"/>
  <c r="X31" i="52"/>
  <c r="AG30" i="52"/>
  <c r="AT30" i="52" s="1"/>
  <c r="N36" i="51"/>
  <c r="R37" i="13"/>
  <c r="Q37" i="53"/>
  <c r="M37" i="52"/>
  <c r="S36" i="51"/>
  <c r="X32" i="51"/>
  <c r="AG31" i="51"/>
  <c r="AT31" i="51" s="1"/>
  <c r="CN22" i="15"/>
  <c r="DH18" i="15"/>
  <c r="DJ18" i="15" s="1"/>
  <c r="AY14" i="56"/>
  <c r="AN14" i="56"/>
  <c r="BD14" i="52"/>
  <c r="BG14" i="52" s="1"/>
  <c r="AO14" i="52"/>
  <c r="AK14" i="53" l="1"/>
  <c r="AM14" i="53" s="1"/>
  <c r="AN14" i="53" s="1"/>
  <c r="BD14" i="53" s="1"/>
  <c r="BG14" i="53" s="1"/>
  <c r="BM14" i="53" s="1"/>
  <c r="AG27" i="53"/>
  <c r="AT27" i="53" s="1"/>
  <c r="X28" i="53"/>
  <c r="AL22" i="66"/>
  <c r="P20" i="65"/>
  <c r="Q20" i="65" s="1"/>
  <c r="AM19" i="65"/>
  <c r="DL18" i="15"/>
  <c r="DK19" i="15" s="1"/>
  <c r="DI19" i="15" s="1"/>
  <c r="AJ21" i="65" s="1"/>
  <c r="AK20" i="65"/>
  <c r="AL20" i="65" s="1"/>
  <c r="AM20" i="65" s="1"/>
  <c r="M18" i="67"/>
  <c r="N18" i="67" s="1"/>
  <c r="AO17" i="67"/>
  <c r="AP17" i="67"/>
  <c r="AT17" i="67" s="1"/>
  <c r="AU17" i="67" s="1"/>
  <c r="O22" i="66"/>
  <c r="AD22" i="66" s="1"/>
  <c r="AG22" i="66" s="1"/>
  <c r="AJ23" i="66"/>
  <c r="CP21" i="15"/>
  <c r="CS21" i="15" s="1"/>
  <c r="T37" i="61"/>
  <c r="U37" i="61" s="1"/>
  <c r="X37" i="61" s="1"/>
  <c r="AB37" i="61" s="1"/>
  <c r="J37" i="61"/>
  <c r="L37" i="61"/>
  <c r="I38" i="61"/>
  <c r="AR18" i="65"/>
  <c r="AC17" i="65"/>
  <c r="AP18" i="66"/>
  <c r="B43" i="67"/>
  <c r="B44" i="66"/>
  <c r="D44" i="66"/>
  <c r="C44" i="66" s="1"/>
  <c r="C43" i="66"/>
  <c r="G17" i="65"/>
  <c r="C43" i="65"/>
  <c r="D44" i="65"/>
  <c r="C44" i="65" s="1"/>
  <c r="AR17" i="64"/>
  <c r="AC16" i="64"/>
  <c r="G17" i="64" s="1"/>
  <c r="AM17" i="64"/>
  <c r="P17" i="64"/>
  <c r="Q17" i="64" s="1"/>
  <c r="AJ18" i="64"/>
  <c r="AJ18" i="61"/>
  <c r="D43" i="64"/>
  <c r="C42" i="64"/>
  <c r="B40" i="61"/>
  <c r="D39" i="61"/>
  <c r="C38" i="61"/>
  <c r="CX16" i="15"/>
  <c r="CZ16" i="15" s="1"/>
  <c r="AK18" i="67" s="1"/>
  <c r="AI18" i="67" s="1"/>
  <c r="AH19" i="67" s="1"/>
  <c r="D38" i="50"/>
  <c r="C37" i="50"/>
  <c r="G38" i="15"/>
  <c r="C37" i="15"/>
  <c r="D39" i="53"/>
  <c r="C38" i="53"/>
  <c r="D39" i="51"/>
  <c r="C38" i="51"/>
  <c r="C37" i="56"/>
  <c r="D38" i="56"/>
  <c r="D37" i="52"/>
  <c r="C36" i="52"/>
  <c r="D41" i="13"/>
  <c r="C40" i="13"/>
  <c r="BI17" i="13"/>
  <c r="BH18" i="13" s="1"/>
  <c r="N38" i="52"/>
  <c r="N37" i="50"/>
  <c r="N39" i="13"/>
  <c r="BT16" i="15"/>
  <c r="BV16" i="15" s="1"/>
  <c r="BJ16" i="15"/>
  <c r="BL16" i="15" s="1"/>
  <c r="O9" i="56"/>
  <c r="S36" i="56"/>
  <c r="Q36" i="56"/>
  <c r="R40" i="56"/>
  <c r="T38" i="56"/>
  <c r="P38" i="56"/>
  <c r="M37" i="13"/>
  <c r="M37" i="50"/>
  <c r="X33" i="51"/>
  <c r="AG32" i="51"/>
  <c r="AT32" i="51" s="1"/>
  <c r="X32" i="52"/>
  <c r="AG31" i="52"/>
  <c r="AT31" i="52" s="1"/>
  <c r="AL18" i="53"/>
  <c r="AM13" i="13"/>
  <c r="Q40" i="51"/>
  <c r="AX13" i="13"/>
  <c r="BK18" i="50"/>
  <c r="BI18" i="50" s="1"/>
  <c r="BH19" i="50" s="1"/>
  <c r="Z16" i="15"/>
  <c r="Y17" i="15" s="1"/>
  <c r="M38" i="52"/>
  <c r="R38" i="13"/>
  <c r="M36" i="51"/>
  <c r="BK18" i="51"/>
  <c r="BI18" i="51" s="1"/>
  <c r="BH19" i="51" s="1"/>
  <c r="AJ16" i="15"/>
  <c r="AI17" i="15" s="1"/>
  <c r="N37" i="51"/>
  <c r="X31" i="50"/>
  <c r="AG30" i="50"/>
  <c r="AT30" i="50" s="1"/>
  <c r="X29" i="13"/>
  <c r="AG28" i="13"/>
  <c r="AT28" i="13" s="1"/>
  <c r="AL18" i="50"/>
  <c r="AL18" i="51"/>
  <c r="S37" i="51"/>
  <c r="M16" i="15"/>
  <c r="BP18" i="56"/>
  <c r="CD16" i="15"/>
  <c r="CF16" i="15" s="1"/>
  <c r="M37" i="53"/>
  <c r="N36" i="53"/>
  <c r="BK18" i="52"/>
  <c r="BI18" i="52" s="1"/>
  <c r="BH19" i="52" s="1"/>
  <c r="AT16" i="15"/>
  <c r="AS17" i="15" s="1"/>
  <c r="Q38" i="52"/>
  <c r="BQ14" i="51"/>
  <c r="BS14" i="51" s="1"/>
  <c r="BT14" i="51"/>
  <c r="BU14" i="51" s="1"/>
  <c r="BF14" i="50"/>
  <c r="BN14" i="50"/>
  <c r="BE14" i="50"/>
  <c r="BM14" i="50"/>
  <c r="BK18" i="53"/>
  <c r="BI18" i="53" s="1"/>
  <c r="BH19" i="53" s="1"/>
  <c r="BD16" i="15"/>
  <c r="BC17" i="15" s="1"/>
  <c r="AD33" i="56"/>
  <c r="AM32" i="56"/>
  <c r="AZ32" i="56" s="1"/>
  <c r="Q38" i="53"/>
  <c r="Q38" i="50"/>
  <c r="BE16" i="15"/>
  <c r="AL18" i="52"/>
  <c r="DM18" i="15"/>
  <c r="AQ14" i="56"/>
  <c r="AO14" i="56"/>
  <c r="BA14" i="56"/>
  <c r="AP14" i="52"/>
  <c r="BN14" i="52"/>
  <c r="BF14" i="52"/>
  <c r="BM14" i="52"/>
  <c r="BE14" i="52"/>
  <c r="BF14" i="53" l="1"/>
  <c r="AO14" i="53"/>
  <c r="AP14" i="53" s="1"/>
  <c r="BN14" i="53"/>
  <c r="BP14" i="53" s="1"/>
  <c r="BT14" i="53" s="1"/>
  <c r="BU14" i="53" s="1"/>
  <c r="BE14" i="53"/>
  <c r="X29" i="53"/>
  <c r="AG28" i="53"/>
  <c r="AT28" i="53" s="1"/>
  <c r="T38" i="61"/>
  <c r="U38" i="61" s="1"/>
  <c r="X38" i="61" s="1"/>
  <c r="AB38" i="61" s="1"/>
  <c r="AI20" i="65"/>
  <c r="AH21" i="65" s="1"/>
  <c r="AN20" i="65"/>
  <c r="AO20" i="65" s="1"/>
  <c r="M21" i="65"/>
  <c r="N21" i="65" s="1"/>
  <c r="AQ17" i="67"/>
  <c r="AS17" i="67" s="1"/>
  <c r="AC17" i="67" s="1"/>
  <c r="G18" i="67" s="1"/>
  <c r="AL18" i="67"/>
  <c r="O18" i="67"/>
  <c r="AD18" i="67" s="1"/>
  <c r="AG18" i="67" s="1"/>
  <c r="P22" i="66"/>
  <c r="Q22" i="66" s="1"/>
  <c r="CR21" i="15"/>
  <c r="CQ22" i="15" s="1"/>
  <c r="CO22" i="15" s="1"/>
  <c r="AK23" i="66"/>
  <c r="AI23" i="66" s="1"/>
  <c r="AH24" i="66" s="1"/>
  <c r="M23" i="66"/>
  <c r="N23" i="66" s="1"/>
  <c r="AM22" i="66"/>
  <c r="AN22" i="66"/>
  <c r="AO22" i="66" s="1"/>
  <c r="J38" i="61"/>
  <c r="L38" i="61"/>
  <c r="I39" i="61"/>
  <c r="J39" i="61" s="1"/>
  <c r="AP18" i="65"/>
  <c r="AT18" i="66"/>
  <c r="AU18" i="66" s="1"/>
  <c r="AQ18" i="66"/>
  <c r="AS18" i="66" s="1"/>
  <c r="AC18" i="66" s="1"/>
  <c r="AF17" i="67"/>
  <c r="AE17" i="67"/>
  <c r="B44" i="67"/>
  <c r="AE17" i="66"/>
  <c r="AF17" i="66"/>
  <c r="AE17" i="65"/>
  <c r="AF17" i="65"/>
  <c r="AF17" i="64"/>
  <c r="AE17" i="64"/>
  <c r="Z9" i="67"/>
  <c r="M18" i="64"/>
  <c r="N18" i="64" s="1"/>
  <c r="AN17" i="64"/>
  <c r="AO17" i="64" s="1"/>
  <c r="M18" i="61"/>
  <c r="N18" i="61" s="1"/>
  <c r="O18" i="61" s="1"/>
  <c r="AK18" i="64"/>
  <c r="AI18" i="64" s="1"/>
  <c r="AH19" i="64" s="1"/>
  <c r="AK18" i="61"/>
  <c r="AI18" i="61" s="1"/>
  <c r="AH19" i="61" s="1"/>
  <c r="C43" i="64"/>
  <c r="D44" i="64"/>
  <c r="C44" i="64" s="1"/>
  <c r="C39" i="61"/>
  <c r="D40" i="61"/>
  <c r="B41" i="61"/>
  <c r="DB16" i="15"/>
  <c r="DA17" i="15" s="1"/>
  <c r="DC16" i="15"/>
  <c r="C37" i="52"/>
  <c r="D38" i="52"/>
  <c r="D39" i="50"/>
  <c r="C38" i="50"/>
  <c r="D40" i="51"/>
  <c r="C39" i="51"/>
  <c r="D40" i="53"/>
  <c r="C39" i="53"/>
  <c r="G39" i="15"/>
  <c r="C38" i="15"/>
  <c r="C38" i="56"/>
  <c r="D39" i="56"/>
  <c r="C41" i="13"/>
  <c r="D42" i="13"/>
  <c r="BL18" i="50"/>
  <c r="N39" i="52"/>
  <c r="N38" i="50"/>
  <c r="N40" i="13"/>
  <c r="BX16" i="15"/>
  <c r="BW17" i="15" s="1"/>
  <c r="BY16" i="15"/>
  <c r="BN16" i="15"/>
  <c r="BM17" i="15" s="1"/>
  <c r="BO16" i="15"/>
  <c r="T39" i="56"/>
  <c r="R41" i="56"/>
  <c r="Q37" i="56"/>
  <c r="P39" i="56"/>
  <c r="S37" i="56"/>
  <c r="BL18" i="52"/>
  <c r="BL18" i="51"/>
  <c r="M38" i="13"/>
  <c r="BP14" i="50"/>
  <c r="BO14" i="50"/>
  <c r="N37" i="53"/>
  <c r="BQ18" i="56"/>
  <c r="BO18" i="56" s="1"/>
  <c r="BN19" i="56" s="1"/>
  <c r="CH16" i="15"/>
  <c r="CG17" i="15" s="1"/>
  <c r="BL18" i="53"/>
  <c r="AR18" i="56"/>
  <c r="Q39" i="50"/>
  <c r="L16" i="15"/>
  <c r="N16" i="15" s="1"/>
  <c r="Q16" i="15" s="1"/>
  <c r="BJ18" i="13"/>
  <c r="X30" i="13"/>
  <c r="AG29" i="13"/>
  <c r="AT29" i="13" s="1"/>
  <c r="BC14" i="51"/>
  <c r="O15" i="51" s="1"/>
  <c r="P15" i="51" s="1"/>
  <c r="BR15" i="51"/>
  <c r="M37" i="51"/>
  <c r="X33" i="52"/>
  <c r="AG32" i="52"/>
  <c r="AT32" i="52" s="1"/>
  <c r="BA17" i="15"/>
  <c r="Q39" i="52"/>
  <c r="X32" i="50"/>
  <c r="AG31" i="50"/>
  <c r="AT31" i="50" s="1"/>
  <c r="BB13" i="13"/>
  <c r="Q41" i="51"/>
  <c r="M38" i="53"/>
  <c r="N38" i="51"/>
  <c r="M39" i="52"/>
  <c r="X34" i="51"/>
  <c r="AG33" i="51"/>
  <c r="AT33" i="51" s="1"/>
  <c r="Q39" i="53"/>
  <c r="AQ17" i="15"/>
  <c r="R39" i="13"/>
  <c r="M38" i="50"/>
  <c r="AD34" i="56"/>
  <c r="AM33" i="56"/>
  <c r="AZ33" i="56" s="1"/>
  <c r="CI16" i="15"/>
  <c r="S38" i="51"/>
  <c r="AG17" i="15"/>
  <c r="W17" i="15"/>
  <c r="AN13" i="13"/>
  <c r="AO13" i="13" s="1"/>
  <c r="CN23" i="15"/>
  <c r="DH19" i="15"/>
  <c r="DJ19" i="15" s="1"/>
  <c r="BD14" i="56"/>
  <c r="AS14" i="56"/>
  <c r="BP14" i="52"/>
  <c r="BO14" i="52"/>
  <c r="BQ14" i="53" l="1"/>
  <c r="BS14" i="53" s="1"/>
  <c r="BR15" i="53" s="1"/>
  <c r="BO14" i="53"/>
  <c r="X30" i="53"/>
  <c r="AG29" i="53"/>
  <c r="AT29" i="53" s="1"/>
  <c r="T39" i="61"/>
  <c r="U39" i="61" s="1"/>
  <c r="X39" i="61" s="1"/>
  <c r="AB39" i="61" s="1"/>
  <c r="DL19" i="15"/>
  <c r="DK20" i="15" s="1"/>
  <c r="DI20" i="15" s="1"/>
  <c r="AJ22" i="65" s="1"/>
  <c r="AK21" i="65"/>
  <c r="O21" i="65"/>
  <c r="AD21" i="65" s="1"/>
  <c r="AG21" i="65" s="1"/>
  <c r="AR18" i="67"/>
  <c r="P18" i="67"/>
  <c r="Q18" i="67" s="1"/>
  <c r="AM18" i="67"/>
  <c r="AN18" i="67"/>
  <c r="AL23" i="66"/>
  <c r="O23" i="66"/>
  <c r="AD23" i="66" s="1"/>
  <c r="AG23" i="66" s="1"/>
  <c r="AJ24" i="66"/>
  <c r="CP22" i="15"/>
  <c r="CS22" i="15" s="1"/>
  <c r="I40" i="61"/>
  <c r="L39" i="61"/>
  <c r="AQ18" i="65"/>
  <c r="AS18" i="65" s="1"/>
  <c r="AT18" i="65"/>
  <c r="AU18" i="65" s="1"/>
  <c r="AR19" i="66"/>
  <c r="G19" i="66"/>
  <c r="O18" i="64"/>
  <c r="AD18" i="64" s="1"/>
  <c r="AG18" i="64" s="1"/>
  <c r="AL18" i="64"/>
  <c r="W9" i="67"/>
  <c r="V9" i="67"/>
  <c r="AA9" i="67"/>
  <c r="Y9" i="67"/>
  <c r="F4" i="67" a="1"/>
  <c r="F4" i="67" s="1"/>
  <c r="Z9" i="66"/>
  <c r="Z9" i="65"/>
  <c r="AP17" i="64"/>
  <c r="AT17" i="64" s="1"/>
  <c r="AU17" i="64" s="1"/>
  <c r="AL18" i="61"/>
  <c r="P18" i="61"/>
  <c r="Q18" i="61" s="1"/>
  <c r="AD18" i="61"/>
  <c r="AG18" i="61" s="1"/>
  <c r="B42" i="61"/>
  <c r="C40" i="61"/>
  <c r="D41" i="61"/>
  <c r="CY17" i="15"/>
  <c r="AJ19" i="67" s="1"/>
  <c r="D41" i="53"/>
  <c r="C40" i="53"/>
  <c r="D41" i="51"/>
  <c r="C40" i="51"/>
  <c r="D43" i="13"/>
  <c r="C42" i="13"/>
  <c r="G40" i="15"/>
  <c r="C39" i="15"/>
  <c r="C38" i="52"/>
  <c r="D39" i="52"/>
  <c r="D40" i="56"/>
  <c r="C39" i="56"/>
  <c r="D40" i="50"/>
  <c r="C39" i="50"/>
  <c r="BQ14" i="52"/>
  <c r="BS14" i="52" s="1"/>
  <c r="N40" i="52"/>
  <c r="N39" i="50"/>
  <c r="N41" i="13"/>
  <c r="BU17" i="15"/>
  <c r="BK17" i="15"/>
  <c r="P40" i="56"/>
  <c r="Q38" i="56"/>
  <c r="R42" i="56"/>
  <c r="T40" i="56"/>
  <c r="S38" i="56"/>
  <c r="BR18" i="56"/>
  <c r="M39" i="13"/>
  <c r="BJ19" i="51"/>
  <c r="AF17" i="15"/>
  <c r="AH17" i="15" s="1"/>
  <c r="AK17" i="15" s="1"/>
  <c r="AM34" i="56"/>
  <c r="AZ34" i="56" s="1"/>
  <c r="AD35" i="56"/>
  <c r="BJ19" i="52"/>
  <c r="AP17" i="15"/>
  <c r="AR17" i="15" s="1"/>
  <c r="AU17" i="15" s="1"/>
  <c r="M40" i="52"/>
  <c r="X31" i="13"/>
  <c r="AG30" i="13"/>
  <c r="AT30" i="13" s="1"/>
  <c r="Q40" i="53"/>
  <c r="Q40" i="52"/>
  <c r="AL18" i="13"/>
  <c r="S39" i="51"/>
  <c r="M39" i="50"/>
  <c r="N39" i="51"/>
  <c r="CE17" i="15"/>
  <c r="AP13" i="13"/>
  <c r="BJ19" i="53"/>
  <c r="AZ17" i="15"/>
  <c r="BB17" i="15" s="1"/>
  <c r="BE17" i="15" s="1"/>
  <c r="BK18" i="13"/>
  <c r="BI18" i="13" s="1"/>
  <c r="BH19" i="13" s="1"/>
  <c r="P16" i="15"/>
  <c r="O17" i="15" s="1"/>
  <c r="BD13" i="13"/>
  <c r="N38" i="53"/>
  <c r="BJ19" i="50"/>
  <c r="V17" i="15"/>
  <c r="X17" i="15" s="1"/>
  <c r="AA17" i="15" s="1"/>
  <c r="R40" i="13"/>
  <c r="X33" i="50"/>
  <c r="AG32" i="50"/>
  <c r="AT32" i="50" s="1"/>
  <c r="M39" i="53"/>
  <c r="Q42" i="51"/>
  <c r="X34" i="52"/>
  <c r="AG33" i="52"/>
  <c r="AT33" i="52" s="1"/>
  <c r="Q40" i="50"/>
  <c r="X35" i="51"/>
  <c r="AG34" i="51"/>
  <c r="AT34" i="51" s="1"/>
  <c r="M38" i="51"/>
  <c r="BQ14" i="50"/>
  <c r="BS14" i="50" s="1"/>
  <c r="BT14" i="50"/>
  <c r="BU14" i="50" s="1"/>
  <c r="DM19" i="15"/>
  <c r="AT14" i="56"/>
  <c r="AU14" i="56" s="1"/>
  <c r="BH14" i="56"/>
  <c r="BT14" i="52"/>
  <c r="BU14" i="52" s="1"/>
  <c r="AS15" i="51"/>
  <c r="AH15" i="51"/>
  <c r="BC14" i="53" l="1"/>
  <c r="O15" i="53" s="1"/>
  <c r="P15" i="53" s="1"/>
  <c r="AS15" i="53" s="1"/>
  <c r="X31" i="53"/>
  <c r="AG30" i="53"/>
  <c r="AT30" i="53" s="1"/>
  <c r="P21" i="65"/>
  <c r="Q21" i="65" s="1"/>
  <c r="M22" i="65"/>
  <c r="N22" i="65" s="1"/>
  <c r="AL21" i="65"/>
  <c r="AN21" i="65" s="1"/>
  <c r="AO21" i="65" s="1"/>
  <c r="AI21" i="65"/>
  <c r="AH22" i="65" s="1"/>
  <c r="M19" i="67"/>
  <c r="N19" i="67" s="1"/>
  <c r="AO18" i="67"/>
  <c r="AP18" i="67"/>
  <c r="AT18" i="67" s="1"/>
  <c r="AU18" i="67" s="1"/>
  <c r="P23" i="66"/>
  <c r="Q23" i="66" s="1"/>
  <c r="CR22" i="15"/>
  <c r="CQ23" i="15" s="1"/>
  <c r="CO23" i="15" s="1"/>
  <c r="AK24" i="66"/>
  <c r="AI24" i="66" s="1"/>
  <c r="AH25" i="66" s="1"/>
  <c r="M24" i="66"/>
  <c r="N24" i="66" s="1"/>
  <c r="AN23" i="66"/>
  <c r="AO23" i="66" s="1"/>
  <c r="AM23" i="66"/>
  <c r="J40" i="61"/>
  <c r="L40" i="61"/>
  <c r="I41" i="61"/>
  <c r="T40" i="61"/>
  <c r="U40" i="61" s="1"/>
  <c r="X40" i="61" s="1"/>
  <c r="AB40" i="61" s="1"/>
  <c r="AR19" i="65"/>
  <c r="AC18" i="65"/>
  <c r="AP19" i="66"/>
  <c r="P18" i="64"/>
  <c r="Q18" i="64" s="1"/>
  <c r="AN18" i="64"/>
  <c r="AO18" i="64" s="1"/>
  <c r="AM18" i="64"/>
  <c r="G18" i="65"/>
  <c r="H9" i="67"/>
  <c r="H4" i="67"/>
  <c r="L31" i="17" s="1"/>
  <c r="AA9" i="66"/>
  <c r="Y9" i="66"/>
  <c r="W9" i="66"/>
  <c r="V9" i="66"/>
  <c r="F4" i="66" a="1"/>
  <c r="F4" i="66" s="1"/>
  <c r="W9" i="65"/>
  <c r="V9" i="65"/>
  <c r="AA9" i="65"/>
  <c r="Y9" i="65"/>
  <c r="F4" i="65" a="1"/>
  <c r="F4" i="65" s="1"/>
  <c r="AQ17" i="64"/>
  <c r="AS17" i="64" s="1"/>
  <c r="AJ19" i="64"/>
  <c r="AJ19" i="61"/>
  <c r="M19" i="61" s="1"/>
  <c r="N19" i="61" s="1"/>
  <c r="Z9" i="64"/>
  <c r="B43" i="61"/>
  <c r="D42" i="61"/>
  <c r="C41" i="61"/>
  <c r="CX17" i="15"/>
  <c r="CZ17" i="15" s="1"/>
  <c r="C41" i="53"/>
  <c r="D42" i="53"/>
  <c r="C40" i="15"/>
  <c r="G41" i="15"/>
  <c r="D41" i="56"/>
  <c r="C40" i="56"/>
  <c r="C39" i="52"/>
  <c r="D40" i="52"/>
  <c r="D44" i="13"/>
  <c r="C44" i="13" s="1"/>
  <c r="C43" i="13"/>
  <c r="D41" i="50"/>
  <c r="C40" i="50"/>
  <c r="C41" i="51"/>
  <c r="D42" i="51"/>
  <c r="N41" i="52"/>
  <c r="N40" i="50"/>
  <c r="N42" i="13"/>
  <c r="BT17" i="15"/>
  <c r="BV17" i="15" s="1"/>
  <c r="BJ17" i="15"/>
  <c r="BL17" i="15" s="1"/>
  <c r="BO17" i="15" s="1"/>
  <c r="R43" i="56"/>
  <c r="R44" i="56"/>
  <c r="Q39" i="56"/>
  <c r="T41" i="56"/>
  <c r="S39" i="56"/>
  <c r="P41" i="56"/>
  <c r="M40" i="13"/>
  <c r="X36" i="51"/>
  <c r="AG35" i="51"/>
  <c r="AT35" i="51" s="1"/>
  <c r="X34" i="50"/>
  <c r="AG33" i="50"/>
  <c r="AT33" i="50" s="1"/>
  <c r="AL19" i="50"/>
  <c r="M17" i="15"/>
  <c r="BP19" i="56"/>
  <c r="CD17" i="15"/>
  <c r="CF17" i="15" s="1"/>
  <c r="S40" i="51"/>
  <c r="Q41" i="53"/>
  <c r="BK19" i="52"/>
  <c r="BI19" i="52" s="1"/>
  <c r="BH20" i="52" s="1"/>
  <c r="AT17" i="15"/>
  <c r="AS18" i="15" s="1"/>
  <c r="BR15" i="50"/>
  <c r="BC14" i="50"/>
  <c r="O15" i="50" s="1"/>
  <c r="P15" i="50" s="1"/>
  <c r="Q41" i="50"/>
  <c r="Q43" i="51"/>
  <c r="N39" i="53"/>
  <c r="BL18" i="13"/>
  <c r="AL19" i="52"/>
  <c r="Q41" i="52"/>
  <c r="X32" i="13"/>
  <c r="AG31" i="13"/>
  <c r="AT31" i="13" s="1"/>
  <c r="AD36" i="56"/>
  <c r="AM35" i="56"/>
  <c r="AZ35" i="56" s="1"/>
  <c r="R41" i="13"/>
  <c r="N40" i="51"/>
  <c r="M39" i="51"/>
  <c r="M40" i="53"/>
  <c r="BK19" i="53"/>
  <c r="BI19" i="53" s="1"/>
  <c r="BH20" i="53" s="1"/>
  <c r="BD17" i="15"/>
  <c r="BC18" i="15" s="1"/>
  <c r="M40" i="50"/>
  <c r="BK19" i="50"/>
  <c r="BI19" i="50" s="1"/>
  <c r="BH20" i="50" s="1"/>
  <c r="Z17" i="15"/>
  <c r="Y18" i="15" s="1"/>
  <c r="AL19" i="53"/>
  <c r="BG13" i="13"/>
  <c r="BK19" i="51"/>
  <c r="BI19" i="51" s="1"/>
  <c r="BH20" i="51" s="1"/>
  <c r="AJ17" i="15"/>
  <c r="AI18" i="15" s="1"/>
  <c r="X35" i="52"/>
  <c r="AG34" i="52"/>
  <c r="AT34" i="52" s="1"/>
  <c r="M41" i="52"/>
  <c r="AL19" i="51"/>
  <c r="CN24" i="15"/>
  <c r="DH20" i="15"/>
  <c r="DJ20" i="15" s="1"/>
  <c r="AV14" i="56"/>
  <c r="BJ14" i="56"/>
  <c r="BR15" i="52"/>
  <c r="BC14" i="52"/>
  <c r="AK15" i="51"/>
  <c r="AI15" i="51"/>
  <c r="AU15" i="51"/>
  <c r="AH15" i="53" l="1"/>
  <c r="X32" i="53"/>
  <c r="AG31" i="53"/>
  <c r="AT31" i="53" s="1"/>
  <c r="DL20" i="15"/>
  <c r="DK21" i="15" s="1"/>
  <c r="DI21" i="15" s="1"/>
  <c r="AJ23" i="65" s="1"/>
  <c r="AK22" i="65"/>
  <c r="AL22" i="65" s="1"/>
  <c r="AM21" i="65"/>
  <c r="O22" i="65"/>
  <c r="AD22" i="65" s="1"/>
  <c r="AG22" i="65" s="1"/>
  <c r="AQ18" i="67"/>
  <c r="AS18" i="67" s="1"/>
  <c r="AC18" i="67" s="1"/>
  <c r="G19" i="67" s="1"/>
  <c r="DC17" i="15"/>
  <c r="AK19" i="67"/>
  <c r="O19" i="67"/>
  <c r="AD19" i="67" s="1"/>
  <c r="AG19" i="67" s="1"/>
  <c r="AL24" i="66"/>
  <c r="O24" i="66"/>
  <c r="AD24" i="66" s="1"/>
  <c r="AG24" i="66" s="1"/>
  <c r="AJ25" i="66"/>
  <c r="M25" i="66" s="1"/>
  <c r="N25" i="66" s="1"/>
  <c r="CP23" i="15"/>
  <c r="CS23" i="15" s="1"/>
  <c r="T41" i="61"/>
  <c r="U41" i="61" s="1"/>
  <c r="X41" i="61" s="1"/>
  <c r="AB41" i="61" s="1"/>
  <c r="J41" i="61"/>
  <c r="L41" i="61"/>
  <c r="I42" i="61"/>
  <c r="AP19" i="65"/>
  <c r="AT19" i="66"/>
  <c r="AU19" i="66" s="1"/>
  <c r="AQ19" i="66"/>
  <c r="AS19" i="66" s="1"/>
  <c r="AC19" i="66" s="1"/>
  <c r="AR18" i="64"/>
  <c r="AC17" i="64"/>
  <c r="G18" i="64" s="1"/>
  <c r="J4" i="67"/>
  <c r="I4" i="67"/>
  <c r="I9" i="67"/>
  <c r="T9" i="67"/>
  <c r="H9" i="66"/>
  <c r="H4" i="66"/>
  <c r="D42" i="17" s="1"/>
  <c r="H9" i="65"/>
  <c r="H4" i="65"/>
  <c r="H42" i="17" s="1"/>
  <c r="M19" i="64"/>
  <c r="N19" i="64" s="1"/>
  <c r="O19" i="64" s="1"/>
  <c r="AD19" i="64" s="1"/>
  <c r="AG19" i="64" s="1"/>
  <c r="AK19" i="64"/>
  <c r="AI19" i="64" s="1"/>
  <c r="AH20" i="64" s="1"/>
  <c r="AK19" i="61"/>
  <c r="W9" i="64"/>
  <c r="V9" i="64"/>
  <c r="F4" i="64" a="1"/>
  <c r="F4" i="64" s="1"/>
  <c r="AA9" i="64"/>
  <c r="Y9" i="64"/>
  <c r="O19" i="61"/>
  <c r="D43" i="61"/>
  <c r="C42" i="61"/>
  <c r="B44" i="61"/>
  <c r="DB17" i="15"/>
  <c r="DA18" i="15" s="1"/>
  <c r="C42" i="53"/>
  <c r="D43" i="53"/>
  <c r="C42" i="51"/>
  <c r="D43" i="51"/>
  <c r="C41" i="56"/>
  <c r="D42" i="56"/>
  <c r="C41" i="15"/>
  <c r="G42" i="15"/>
  <c r="D41" i="52"/>
  <c r="C40" i="52"/>
  <c r="C41" i="50"/>
  <c r="D42" i="50"/>
  <c r="N42" i="52"/>
  <c r="N41" i="50"/>
  <c r="N43" i="13"/>
  <c r="BX17" i="15"/>
  <c r="BW18" i="15" s="1"/>
  <c r="BY17" i="15"/>
  <c r="BN17" i="15"/>
  <c r="BM18" i="15" s="1"/>
  <c r="R9" i="56"/>
  <c r="S40" i="56"/>
  <c r="Q40" i="56"/>
  <c r="T42" i="56"/>
  <c r="P42" i="56"/>
  <c r="M41" i="13"/>
  <c r="BL19" i="52"/>
  <c r="AG18" i="15"/>
  <c r="M41" i="53"/>
  <c r="N41" i="51"/>
  <c r="Q42" i="50"/>
  <c r="BQ19" i="56"/>
  <c r="BO19" i="56" s="1"/>
  <c r="BN20" i="56" s="1"/>
  <c r="CH17" i="15"/>
  <c r="CG18" i="15" s="1"/>
  <c r="BF13" i="13"/>
  <c r="BM13" i="13"/>
  <c r="BN13" i="13"/>
  <c r="BE13" i="13"/>
  <c r="X35" i="50"/>
  <c r="AG34" i="50"/>
  <c r="AT34" i="50" s="1"/>
  <c r="AM36" i="56"/>
  <c r="AZ36" i="56" s="1"/>
  <c r="AD37" i="56"/>
  <c r="N40" i="53"/>
  <c r="Q42" i="53"/>
  <c r="AR19" i="56"/>
  <c r="BL19" i="51"/>
  <c r="BL19" i="53"/>
  <c r="M41" i="50"/>
  <c r="AQ18" i="15"/>
  <c r="L17" i="15"/>
  <c r="N17" i="15" s="1"/>
  <c r="Q17" i="15" s="1"/>
  <c r="BJ19" i="13"/>
  <c r="X36" i="52"/>
  <c r="AG35" i="52"/>
  <c r="AT35" i="52" s="1"/>
  <c r="BA18" i="15"/>
  <c r="M40" i="51"/>
  <c r="X33" i="13"/>
  <c r="AG32" i="13"/>
  <c r="AT32" i="13" s="1"/>
  <c r="M42" i="52"/>
  <c r="W18" i="15"/>
  <c r="R42" i="13"/>
  <c r="Q42" i="52"/>
  <c r="Q44" i="51"/>
  <c r="S41" i="51"/>
  <c r="X37" i="51"/>
  <c r="AG36" i="51"/>
  <c r="AT36" i="51" s="1"/>
  <c r="CI17" i="15"/>
  <c r="BL19" i="50"/>
  <c r="DM20" i="15"/>
  <c r="BM14" i="56"/>
  <c r="AU15" i="53"/>
  <c r="AK15" i="53"/>
  <c r="AI15" i="53"/>
  <c r="O15" i="52"/>
  <c r="P15" i="52" s="1"/>
  <c r="AX15" i="51"/>
  <c r="AM15" i="51"/>
  <c r="AS15" i="50"/>
  <c r="AH15" i="50"/>
  <c r="X33" i="53" l="1"/>
  <c r="AG32" i="53"/>
  <c r="AT32" i="53" s="1"/>
  <c r="AI22" i="65"/>
  <c r="AH23" i="65" s="1"/>
  <c r="P22" i="65"/>
  <c r="Q22" i="65" s="1"/>
  <c r="AM22" i="65"/>
  <c r="AN22" i="65"/>
  <c r="AO22" i="65" s="1"/>
  <c r="M23" i="65"/>
  <c r="N23" i="65" s="1"/>
  <c r="AR19" i="67"/>
  <c r="P19" i="67"/>
  <c r="Q19" i="67" s="1"/>
  <c r="AI19" i="67"/>
  <c r="AH20" i="67" s="1"/>
  <c r="AL19" i="67"/>
  <c r="AM19" i="67" s="1"/>
  <c r="P24" i="66"/>
  <c r="Q24" i="66" s="1"/>
  <c r="CR23" i="15"/>
  <c r="CQ24" i="15" s="1"/>
  <c r="CO24" i="15" s="1"/>
  <c r="AK25" i="66"/>
  <c r="O25" i="66"/>
  <c r="AD25" i="66" s="1"/>
  <c r="AG25" i="66" s="1"/>
  <c r="AN24" i="66"/>
  <c r="AO24" i="66" s="1"/>
  <c r="AM24" i="66"/>
  <c r="J42" i="61"/>
  <c r="L42" i="61"/>
  <c r="T42" i="61"/>
  <c r="U42" i="61" s="1"/>
  <c r="X42" i="61" s="1"/>
  <c r="AB42" i="61" s="1"/>
  <c r="T43" i="61"/>
  <c r="U43" i="61" s="1"/>
  <c r="X43" i="61" s="1"/>
  <c r="AB43" i="61" s="1"/>
  <c r="AT19" i="65"/>
  <c r="AU19" i="65" s="1"/>
  <c r="AQ19" i="65"/>
  <c r="AS19" i="65" s="1"/>
  <c r="AR20" i="66"/>
  <c r="G20" i="66"/>
  <c r="AE18" i="66"/>
  <c r="AF18" i="66"/>
  <c r="AF18" i="65"/>
  <c r="AE18" i="65"/>
  <c r="AL19" i="64"/>
  <c r="AP18" i="64"/>
  <c r="AE18" i="64"/>
  <c r="AF18" i="64"/>
  <c r="L9" i="67"/>
  <c r="U9" i="67"/>
  <c r="T9" i="66"/>
  <c r="J4" i="66"/>
  <c r="I9" i="66"/>
  <c r="I4" i="66"/>
  <c r="T9" i="65"/>
  <c r="J4" i="65"/>
  <c r="I4" i="65"/>
  <c r="I9" i="65"/>
  <c r="AL19" i="61"/>
  <c r="AI19" i="61"/>
  <c r="AH20" i="61" s="1"/>
  <c r="P19" i="61"/>
  <c r="Q19" i="61" s="1"/>
  <c r="AD19" i="61"/>
  <c r="AG19" i="61" s="1"/>
  <c r="H9" i="64"/>
  <c r="H4" i="64"/>
  <c r="H31" i="17" s="1"/>
  <c r="Z9" i="61"/>
  <c r="Y9" i="61"/>
  <c r="D44" i="61"/>
  <c r="C44" i="61" s="1"/>
  <c r="C43" i="61"/>
  <c r="CY18" i="15"/>
  <c r="AJ20" i="67" s="1"/>
  <c r="D44" i="51"/>
  <c r="C44" i="51" s="1"/>
  <c r="C43" i="51"/>
  <c r="D42" i="52"/>
  <c r="C41" i="52"/>
  <c r="G43" i="15"/>
  <c r="C42" i="15"/>
  <c r="D44" i="53"/>
  <c r="C44" i="53" s="1"/>
  <c r="C43" i="53"/>
  <c r="C42" i="50"/>
  <c r="D43" i="50"/>
  <c r="D43" i="56"/>
  <c r="C42" i="56"/>
  <c r="N43" i="52"/>
  <c r="N42" i="50"/>
  <c r="N44" i="13"/>
  <c r="N9" i="13" s="1"/>
  <c r="L4" i="13"/>
  <c r="BU18" i="15"/>
  <c r="BK18" i="15"/>
  <c r="P44" i="56"/>
  <c r="P43" i="56"/>
  <c r="T44" i="56"/>
  <c r="T43" i="56"/>
  <c r="Q41" i="56"/>
  <c r="S41" i="56"/>
  <c r="M42" i="13"/>
  <c r="BR19" i="56"/>
  <c r="Q9" i="51"/>
  <c r="BJ20" i="50"/>
  <c r="V18" i="15"/>
  <c r="X18" i="15" s="1"/>
  <c r="AA18" i="15" s="1"/>
  <c r="X34" i="13"/>
  <c r="AG33" i="13"/>
  <c r="AT33" i="13" s="1"/>
  <c r="Q43" i="53"/>
  <c r="CE18" i="15"/>
  <c r="N42" i="51"/>
  <c r="Q43" i="52"/>
  <c r="AL19" i="13"/>
  <c r="N41" i="53"/>
  <c r="M42" i="53"/>
  <c r="M41" i="51"/>
  <c r="BJ20" i="53"/>
  <c r="AL20" i="53" s="1"/>
  <c r="AZ18" i="15"/>
  <c r="BB18" i="15" s="1"/>
  <c r="BE18" i="15" s="1"/>
  <c r="M42" i="50"/>
  <c r="X38" i="51"/>
  <c r="AG37" i="51"/>
  <c r="AT37" i="51" s="1"/>
  <c r="R43" i="13"/>
  <c r="BK19" i="13"/>
  <c r="BI19" i="13" s="1"/>
  <c r="BH20" i="13" s="1"/>
  <c r="P17" i="15"/>
  <c r="O18" i="15" s="1"/>
  <c r="AM37" i="56"/>
  <c r="AZ37" i="56" s="1"/>
  <c r="AD38" i="56"/>
  <c r="BO13" i="13"/>
  <c r="BP13" i="13"/>
  <c r="Q43" i="50"/>
  <c r="M43" i="52"/>
  <c r="BJ20" i="52"/>
  <c r="AP18" i="15"/>
  <c r="AR18" i="15" s="1"/>
  <c r="AU18" i="15" s="1"/>
  <c r="X36" i="50"/>
  <c r="AG35" i="50"/>
  <c r="AT35" i="50" s="1"/>
  <c r="S42" i="51"/>
  <c r="X37" i="52"/>
  <c r="AG36" i="52"/>
  <c r="AT36" i="52" s="1"/>
  <c r="BJ20" i="51"/>
  <c r="AF18" i="15"/>
  <c r="AH18" i="15" s="1"/>
  <c r="AK18" i="15" s="1"/>
  <c r="CN25" i="15"/>
  <c r="DH21" i="15"/>
  <c r="DJ21" i="15" s="1"/>
  <c r="BT14" i="56"/>
  <c r="BS14" i="56"/>
  <c r="BL14" i="56"/>
  <c r="BK14" i="56"/>
  <c r="AM15" i="53"/>
  <c r="AX15" i="53"/>
  <c r="AN15" i="51"/>
  <c r="AO15" i="51" s="1"/>
  <c r="BB15" i="51"/>
  <c r="AK15" i="50"/>
  <c r="AI15" i="50"/>
  <c r="AU15" i="50"/>
  <c r="AG33" i="53" l="1"/>
  <c r="AT33" i="53" s="1"/>
  <c r="X34" i="53"/>
  <c r="O23" i="65"/>
  <c r="AD23" i="65" s="1"/>
  <c r="AG23" i="65" s="1"/>
  <c r="DL21" i="15"/>
  <c r="DK22" i="15" s="1"/>
  <c r="DI22" i="15" s="1"/>
  <c r="AJ24" i="65" s="1"/>
  <c r="AK23" i="65"/>
  <c r="AN19" i="67"/>
  <c r="M20" i="67"/>
  <c r="N20" i="67" s="1"/>
  <c r="P25" i="66"/>
  <c r="Q25" i="66" s="1"/>
  <c r="AL25" i="66"/>
  <c r="AM25" i="66" s="1"/>
  <c r="AI25" i="66"/>
  <c r="AH26" i="66" s="1"/>
  <c r="AJ26" i="66"/>
  <c r="CP24" i="15"/>
  <c r="I43" i="61"/>
  <c r="AR20" i="65"/>
  <c r="AC19" i="65"/>
  <c r="AP20" i="66"/>
  <c r="AF18" i="67"/>
  <c r="AE18" i="67"/>
  <c r="G19" i="65"/>
  <c r="AT18" i="64"/>
  <c r="AU18" i="64" s="1"/>
  <c r="AQ18" i="64"/>
  <c r="AS18" i="64" s="1"/>
  <c r="X9" i="67"/>
  <c r="L9" i="66"/>
  <c r="U9" i="66"/>
  <c r="L9" i="65"/>
  <c r="U9" i="65"/>
  <c r="AM19" i="64"/>
  <c r="P19" i="64"/>
  <c r="Q19" i="64" s="1"/>
  <c r="AJ20" i="64"/>
  <c r="AJ20" i="61"/>
  <c r="M20" i="61" s="1"/>
  <c r="N20" i="61" s="1"/>
  <c r="O20" i="61" s="1"/>
  <c r="J4" i="64"/>
  <c r="I4" i="64"/>
  <c r="I9" i="64"/>
  <c r="T9" i="64"/>
  <c r="AA9" i="61"/>
  <c r="W9" i="61"/>
  <c r="V9" i="61"/>
  <c r="I44" i="61"/>
  <c r="J44" i="61" s="1"/>
  <c r="F4" i="61" a="1"/>
  <c r="F4" i="61" s="1"/>
  <c r="CX18" i="15"/>
  <c r="CZ18" i="15" s="1"/>
  <c r="G44" i="15"/>
  <c r="C44" i="15" s="1"/>
  <c r="C43" i="15"/>
  <c r="D44" i="56"/>
  <c r="C44" i="56" s="1"/>
  <c r="C43" i="56"/>
  <c r="D43" i="52"/>
  <c r="C42" i="52"/>
  <c r="C43" i="50"/>
  <c r="D44" i="50"/>
  <c r="C44" i="50" s="1"/>
  <c r="BQ13" i="13"/>
  <c r="BS13" i="13" s="1"/>
  <c r="N44" i="52"/>
  <c r="N9" i="52" s="1"/>
  <c r="L4" i="52"/>
  <c r="N43" i="50"/>
  <c r="BT18" i="15"/>
  <c r="BV18" i="15" s="1"/>
  <c r="BJ18" i="15"/>
  <c r="BL18" i="15" s="1"/>
  <c r="BO18" i="15" s="1"/>
  <c r="P9" i="56"/>
  <c r="T9" i="56"/>
  <c r="S42" i="56"/>
  <c r="Q42" i="56"/>
  <c r="M44" i="13"/>
  <c r="M43" i="13"/>
  <c r="X38" i="52"/>
  <c r="AG37" i="52"/>
  <c r="AT37" i="52" s="1"/>
  <c r="X37" i="50"/>
  <c r="AG36" i="50"/>
  <c r="AT36" i="50" s="1"/>
  <c r="M18" i="15"/>
  <c r="M42" i="51"/>
  <c r="Q44" i="53"/>
  <c r="BL19" i="13"/>
  <c r="BK20" i="51"/>
  <c r="BI20" i="51" s="1"/>
  <c r="BH21" i="51" s="1"/>
  <c r="AJ18" i="15"/>
  <c r="AI19" i="15" s="1"/>
  <c r="BK20" i="52"/>
  <c r="BI20" i="52" s="1"/>
  <c r="BH21" i="52" s="1"/>
  <c r="AT18" i="15"/>
  <c r="AS19" i="15" s="1"/>
  <c r="BT13" i="13"/>
  <c r="BU13" i="13" s="1"/>
  <c r="R44" i="13"/>
  <c r="M43" i="53"/>
  <c r="N43" i="51"/>
  <c r="AL20" i="51"/>
  <c r="S43" i="51"/>
  <c r="AL20" i="52"/>
  <c r="Q44" i="52"/>
  <c r="X35" i="13"/>
  <c r="AG34" i="13"/>
  <c r="AT34" i="13" s="1"/>
  <c r="M44" i="52"/>
  <c r="M9" i="52" s="1"/>
  <c r="K4" i="52"/>
  <c r="AM38" i="56"/>
  <c r="AZ38" i="56" s="1"/>
  <c r="AD39" i="56"/>
  <c r="M43" i="50"/>
  <c r="N42" i="53"/>
  <c r="X39" i="51"/>
  <c r="AG38" i="51"/>
  <c r="AT38" i="51" s="1"/>
  <c r="BP20" i="56"/>
  <c r="CD18" i="15"/>
  <c r="CF18" i="15" s="1"/>
  <c r="BK20" i="50"/>
  <c r="BI20" i="50" s="1"/>
  <c r="BH21" i="50" s="1"/>
  <c r="Z18" i="15"/>
  <c r="Y19" i="15" s="1"/>
  <c r="Q44" i="50"/>
  <c r="BK20" i="53"/>
  <c r="BD18" i="15"/>
  <c r="BC19" i="15" s="1"/>
  <c r="AL20" i="50"/>
  <c r="DM21" i="15"/>
  <c r="BV14" i="56"/>
  <c r="BU14" i="56"/>
  <c r="BB15" i="53"/>
  <c r="AN15" i="53"/>
  <c r="AO15" i="53" s="1"/>
  <c r="AS15" i="52"/>
  <c r="AH15" i="52"/>
  <c r="AP15" i="51"/>
  <c r="BD15" i="51"/>
  <c r="AX15" i="50"/>
  <c r="AM15" i="50"/>
  <c r="X35" i="53" l="1"/>
  <c r="AG34" i="53"/>
  <c r="AT34" i="53" s="1"/>
  <c r="P23" i="65"/>
  <c r="Q23" i="65" s="1"/>
  <c r="AI23" i="65"/>
  <c r="AH24" i="65" s="1"/>
  <c r="AL23" i="65"/>
  <c r="AM23" i="65" s="1"/>
  <c r="M24" i="65"/>
  <c r="N24" i="65" s="1"/>
  <c r="DC18" i="15"/>
  <c r="AK20" i="67"/>
  <c r="O20" i="67"/>
  <c r="AD20" i="67" s="1"/>
  <c r="AG20" i="67" s="1"/>
  <c r="AO19" i="67"/>
  <c r="AP19" i="67"/>
  <c r="AT19" i="67" s="1"/>
  <c r="AU19" i="67" s="1"/>
  <c r="M26" i="66"/>
  <c r="N26" i="66" s="1"/>
  <c r="CR24" i="15"/>
  <c r="CQ25" i="15" s="1"/>
  <c r="CO25" i="15" s="1"/>
  <c r="AK26" i="66"/>
  <c r="AL26" i="66" s="1"/>
  <c r="AN25" i="66"/>
  <c r="AO25" i="66" s="1"/>
  <c r="CS24" i="15"/>
  <c r="J43" i="61"/>
  <c r="L43" i="61"/>
  <c r="AP20" i="65"/>
  <c r="AT20" i="66"/>
  <c r="AU20" i="66" s="1"/>
  <c r="AQ20" i="66"/>
  <c r="AS20" i="66" s="1"/>
  <c r="AC20" i="66" s="1"/>
  <c r="G20" i="65"/>
  <c r="AR19" i="64"/>
  <c r="AC18" i="64"/>
  <c r="G19" i="64" s="1"/>
  <c r="AB9" i="67"/>
  <c r="X9" i="66"/>
  <c r="X9" i="65"/>
  <c r="M20" i="64"/>
  <c r="N20" i="64" s="1"/>
  <c r="O20" i="64" s="1"/>
  <c r="AD20" i="64" s="1"/>
  <c r="AG20" i="64" s="1"/>
  <c r="AN19" i="64"/>
  <c r="AO19" i="64" s="1"/>
  <c r="AK20" i="64"/>
  <c r="AI20" i="64" s="1"/>
  <c r="AH21" i="64" s="1"/>
  <c r="AK20" i="61"/>
  <c r="P20" i="61"/>
  <c r="Q20" i="61" s="1"/>
  <c r="AD20" i="61"/>
  <c r="AG20" i="61" s="1"/>
  <c r="U9" i="64"/>
  <c r="L9" i="64"/>
  <c r="AM14" i="61"/>
  <c r="AN14" i="61"/>
  <c r="T44" i="61"/>
  <c r="U44" i="61" s="1"/>
  <c r="X44" i="61" s="1"/>
  <c r="AB44" i="61" s="1"/>
  <c r="L44" i="61"/>
  <c r="BY18" i="15"/>
  <c r="DB18" i="15"/>
  <c r="DA19" i="15" s="1"/>
  <c r="D44" i="52"/>
  <c r="C44" i="52" s="1"/>
  <c r="C43" i="52"/>
  <c r="BW14" i="56"/>
  <c r="BY14" i="56" s="1"/>
  <c r="BI14" i="56" s="1"/>
  <c r="K4" i="13"/>
  <c r="M9" i="13"/>
  <c r="N44" i="50"/>
  <c r="N9" i="50" s="1"/>
  <c r="L4" i="50"/>
  <c r="BX18" i="15"/>
  <c r="BW19" i="15" s="1"/>
  <c r="BN18" i="15"/>
  <c r="BM19" i="15" s="1"/>
  <c r="BL20" i="51"/>
  <c r="Q43" i="56"/>
  <c r="Q44" i="56"/>
  <c r="S44" i="56"/>
  <c r="S43" i="56"/>
  <c r="BL20" i="52"/>
  <c r="BQ20" i="56"/>
  <c r="BO20" i="56" s="1"/>
  <c r="BN21" i="56" s="1"/>
  <c r="CH18" i="15"/>
  <c r="CG19" i="15" s="1"/>
  <c r="S44" i="51"/>
  <c r="Q9" i="53"/>
  <c r="L18" i="15"/>
  <c r="N18" i="15" s="1"/>
  <c r="BJ20" i="13"/>
  <c r="X36" i="13"/>
  <c r="AG35" i="13"/>
  <c r="AT35" i="13" s="1"/>
  <c r="AR20" i="56"/>
  <c r="AM39" i="56"/>
  <c r="AZ39" i="56" s="1"/>
  <c r="AD40" i="56"/>
  <c r="Q9" i="52"/>
  <c r="N44" i="51"/>
  <c r="N9" i="51" s="1"/>
  <c r="L4" i="51"/>
  <c r="BA19" i="15"/>
  <c r="W19" i="15"/>
  <c r="X40" i="51"/>
  <c r="AG39" i="51"/>
  <c r="AT39" i="51" s="1"/>
  <c r="M44" i="53"/>
  <c r="M9" i="53" s="1"/>
  <c r="K4" i="53"/>
  <c r="AQ19" i="15"/>
  <c r="X38" i="50"/>
  <c r="AG37" i="50"/>
  <c r="AT37" i="50" s="1"/>
  <c r="M43" i="51"/>
  <c r="N43" i="53"/>
  <c r="R9" i="13"/>
  <c r="AG19" i="15"/>
  <c r="X39" i="52"/>
  <c r="AG38" i="52"/>
  <c r="AT38" i="52" s="1"/>
  <c r="BL20" i="53"/>
  <c r="BI20" i="53"/>
  <c r="BH21" i="53" s="1"/>
  <c r="BL20" i="50"/>
  <c r="Q9" i="50"/>
  <c r="CI18" i="15"/>
  <c r="M44" i="50"/>
  <c r="M9" i="50" s="1"/>
  <c r="K4" i="50"/>
  <c r="BR14" i="13"/>
  <c r="BC13" i="13"/>
  <c r="CN26" i="15"/>
  <c r="DH22" i="15"/>
  <c r="DJ22" i="15" s="1"/>
  <c r="BZ14" i="56"/>
  <c r="CA14" i="56" s="1"/>
  <c r="AP15" i="53"/>
  <c r="BD15" i="53"/>
  <c r="BG15" i="53" s="1"/>
  <c r="AK15" i="52"/>
  <c r="AI15" i="52"/>
  <c r="AU15" i="52"/>
  <c r="BG15" i="51"/>
  <c r="AN15" i="50"/>
  <c r="AO15" i="50" s="1"/>
  <c r="BB15" i="50"/>
  <c r="X36" i="53" l="1"/>
  <c r="AG35" i="53"/>
  <c r="AT35" i="53" s="1"/>
  <c r="AN23" i="65"/>
  <c r="AO23" i="65" s="1"/>
  <c r="DL22" i="15"/>
  <c r="DK23" i="15" s="1"/>
  <c r="DI23" i="15" s="1"/>
  <c r="AJ25" i="65" s="1"/>
  <c r="AK24" i="65"/>
  <c r="AL24" i="65" s="1"/>
  <c r="O24" i="65"/>
  <c r="AD24" i="65" s="1"/>
  <c r="AG24" i="65" s="1"/>
  <c r="AQ19" i="67"/>
  <c r="AS19" i="67" s="1"/>
  <c r="AC19" i="67" s="1"/>
  <c r="G20" i="67" s="1"/>
  <c r="P20" i="67"/>
  <c r="Q20" i="67" s="1"/>
  <c r="AI20" i="67"/>
  <c r="AH21" i="67" s="1"/>
  <c r="AL20" i="67"/>
  <c r="AN20" i="67" s="1"/>
  <c r="AJ27" i="66"/>
  <c r="CP25" i="15"/>
  <c r="CS25" i="15" s="1"/>
  <c r="AI26" i="66"/>
  <c r="AH27" i="66" s="1"/>
  <c r="O26" i="66"/>
  <c r="AD26" i="66" s="1"/>
  <c r="AG26" i="66" s="1"/>
  <c r="AT20" i="65"/>
  <c r="AU20" i="65" s="1"/>
  <c r="AQ20" i="65"/>
  <c r="AS20" i="65" s="1"/>
  <c r="AR21" i="66"/>
  <c r="G21" i="66"/>
  <c r="AE19" i="67"/>
  <c r="AF19" i="67"/>
  <c r="AF19" i="66"/>
  <c r="AE19" i="66"/>
  <c r="AF19" i="65"/>
  <c r="AE19" i="65"/>
  <c r="AL20" i="64"/>
  <c r="AF19" i="64"/>
  <c r="AE19" i="64"/>
  <c r="AB9" i="66"/>
  <c r="AB9" i="65"/>
  <c r="AP19" i="64"/>
  <c r="AT19" i="64" s="1"/>
  <c r="AU19" i="64" s="1"/>
  <c r="AL20" i="61"/>
  <c r="AI20" i="61"/>
  <c r="AH21" i="61" s="1"/>
  <c r="X9" i="64"/>
  <c r="AO14" i="61"/>
  <c r="AP14" i="61"/>
  <c r="CY19" i="15"/>
  <c r="AJ21" i="67" s="1"/>
  <c r="BU19" i="15"/>
  <c r="BK19" i="15"/>
  <c r="Q9" i="56"/>
  <c r="S9" i="56"/>
  <c r="BR20" i="56"/>
  <c r="BK20" i="13"/>
  <c r="BI20" i="13" s="1"/>
  <c r="BH21" i="13" s="1"/>
  <c r="P18" i="15"/>
  <c r="O19" i="15" s="1"/>
  <c r="O14" i="13"/>
  <c r="P14" i="13" s="1"/>
  <c r="BJ21" i="51"/>
  <c r="AF19" i="15"/>
  <c r="X39" i="50"/>
  <c r="AG38" i="50"/>
  <c r="AT38" i="50" s="1"/>
  <c r="AL20" i="13"/>
  <c r="X41" i="51"/>
  <c r="AG40" i="51"/>
  <c r="AT40" i="51" s="1"/>
  <c r="M44" i="51"/>
  <c r="M9" i="51" s="1"/>
  <c r="K4" i="51"/>
  <c r="BJ21" i="50"/>
  <c r="V19" i="15"/>
  <c r="S9" i="51"/>
  <c r="X37" i="13"/>
  <c r="AG36" i="13"/>
  <c r="AT36" i="13" s="1"/>
  <c r="CE19" i="15"/>
  <c r="X40" i="52"/>
  <c r="AG39" i="52"/>
  <c r="AT39" i="52" s="1"/>
  <c r="N44" i="53"/>
  <c r="N9" i="53" s="1"/>
  <c r="L4" i="53"/>
  <c r="BJ21" i="52"/>
  <c r="AP19" i="15"/>
  <c r="BJ21" i="53"/>
  <c r="AZ19" i="15"/>
  <c r="AM40" i="56"/>
  <c r="AZ40" i="56" s="1"/>
  <c r="AD41" i="56"/>
  <c r="Q18" i="15"/>
  <c r="DM22" i="15"/>
  <c r="BX15" i="56"/>
  <c r="BN15" i="53"/>
  <c r="BF15" i="53"/>
  <c r="BE15" i="53"/>
  <c r="BM15" i="53"/>
  <c r="AX15" i="52"/>
  <c r="AM15" i="52"/>
  <c r="BN15" i="51"/>
  <c r="BM15" i="51"/>
  <c r="BF15" i="51"/>
  <c r="BE15" i="51"/>
  <c r="AP15" i="50"/>
  <c r="BD15" i="50"/>
  <c r="X37" i="53" l="1"/>
  <c r="AG36" i="53"/>
  <c r="AT36" i="53" s="1"/>
  <c r="P24" i="65"/>
  <c r="Q24" i="65" s="1"/>
  <c r="AN24" i="65"/>
  <c r="AO24" i="65" s="1"/>
  <c r="AM24" i="65"/>
  <c r="M25" i="65"/>
  <c r="N25" i="65" s="1"/>
  <c r="AI24" i="65"/>
  <c r="AH25" i="65" s="1"/>
  <c r="AR20" i="67"/>
  <c r="AP20" i="67" s="1"/>
  <c r="AT20" i="67" s="1"/>
  <c r="AU20" i="67" s="1"/>
  <c r="AO20" i="67"/>
  <c r="AM20" i="67"/>
  <c r="M21" i="67"/>
  <c r="N21" i="67" s="1"/>
  <c r="P26" i="66"/>
  <c r="Q26" i="66" s="1"/>
  <c r="AM26" i="66"/>
  <c r="AN26" i="66"/>
  <c r="AO26" i="66" s="1"/>
  <c r="CR25" i="15"/>
  <c r="CQ26" i="15" s="1"/>
  <c r="CO26" i="15" s="1"/>
  <c r="AK27" i="66"/>
  <c r="AI27" i="66" s="1"/>
  <c r="AH28" i="66" s="1"/>
  <c r="M27" i="66"/>
  <c r="N27" i="66" s="1"/>
  <c r="AR21" i="65"/>
  <c r="AC20" i="65"/>
  <c r="AP21" i="66"/>
  <c r="AF20" i="65"/>
  <c r="AE20" i="65"/>
  <c r="AQ19" i="64"/>
  <c r="AS19" i="64" s="1"/>
  <c r="AM20" i="64"/>
  <c r="P20" i="64"/>
  <c r="Q20" i="64" s="1"/>
  <c r="AJ21" i="64"/>
  <c r="AJ21" i="61"/>
  <c r="AB9" i="64"/>
  <c r="AQ14" i="61"/>
  <c r="AS14" i="61" s="1"/>
  <c r="AT14" i="61"/>
  <c r="AU14" i="61" s="1"/>
  <c r="CX19" i="15"/>
  <c r="BT19" i="15"/>
  <c r="BJ19" i="15"/>
  <c r="BL20" i="13"/>
  <c r="AR19" i="15"/>
  <c r="AP7" i="15"/>
  <c r="AL21" i="52"/>
  <c r="AD42" i="56"/>
  <c r="AM41" i="56"/>
  <c r="AZ41" i="56" s="1"/>
  <c r="X42" i="51"/>
  <c r="AG41" i="51"/>
  <c r="AT41" i="51" s="1"/>
  <c r="X40" i="50"/>
  <c r="AG39" i="50"/>
  <c r="AT39" i="50" s="1"/>
  <c r="BB19" i="15"/>
  <c r="AZ7" i="15"/>
  <c r="X41" i="52"/>
  <c r="AG40" i="52"/>
  <c r="AT40" i="52" s="1"/>
  <c r="X19" i="15"/>
  <c r="V7" i="15"/>
  <c r="AH19" i="15"/>
  <c r="AF7" i="15"/>
  <c r="AL21" i="53"/>
  <c r="AL21" i="50"/>
  <c r="AL21" i="51"/>
  <c r="M19" i="15"/>
  <c r="X38" i="13"/>
  <c r="AG37" i="13"/>
  <c r="AT37" i="13" s="1"/>
  <c r="BP21" i="56"/>
  <c r="CD19" i="15"/>
  <c r="CN27" i="15"/>
  <c r="DH23" i="15"/>
  <c r="DJ23" i="15" s="1"/>
  <c r="U15" i="56"/>
  <c r="V15" i="56" s="1"/>
  <c r="BP15" i="53"/>
  <c r="BQ15" i="53" s="1"/>
  <c r="BO15" i="53"/>
  <c r="AN15" i="52"/>
  <c r="AO15" i="52" s="1"/>
  <c r="BB15" i="52"/>
  <c r="BP15" i="51"/>
  <c r="BQ15" i="51" s="1"/>
  <c r="BO15" i="51"/>
  <c r="BG15" i="50"/>
  <c r="X38" i="53" l="1"/>
  <c r="AG37" i="53"/>
  <c r="AT37" i="53" s="1"/>
  <c r="O25" i="65"/>
  <c r="AD25" i="65" s="1"/>
  <c r="AG25" i="65" s="1"/>
  <c r="DL23" i="15"/>
  <c r="DK24" i="15" s="1"/>
  <c r="AK25" i="65"/>
  <c r="AL25" i="65" s="1"/>
  <c r="AQ20" i="67"/>
  <c r="AS20" i="67" s="1"/>
  <c r="AC20" i="67" s="1"/>
  <c r="G21" i="67" s="1"/>
  <c r="O21" i="67"/>
  <c r="AD21" i="67" s="1"/>
  <c r="AG21" i="67" s="1"/>
  <c r="AL27" i="66"/>
  <c r="AJ28" i="66"/>
  <c r="M28" i="66" s="1"/>
  <c r="N28" i="66" s="1"/>
  <c r="CP26" i="15"/>
  <c r="CS26" i="15" s="1"/>
  <c r="O27" i="66"/>
  <c r="AD27" i="66" s="1"/>
  <c r="AG27" i="66" s="1"/>
  <c r="AP21" i="65"/>
  <c r="AT21" i="66"/>
  <c r="AU21" i="66" s="1"/>
  <c r="AQ21" i="66"/>
  <c r="AS21" i="66" s="1"/>
  <c r="AC21" i="66" s="1"/>
  <c r="AE20" i="67"/>
  <c r="AF20" i="67"/>
  <c r="AR20" i="64"/>
  <c r="AC19" i="64"/>
  <c r="G20" i="64" s="1"/>
  <c r="M21" i="64"/>
  <c r="N21" i="64" s="1"/>
  <c r="O21" i="64" s="1"/>
  <c r="AD21" i="64" s="1"/>
  <c r="AG21" i="64" s="1"/>
  <c r="AN20" i="64"/>
  <c r="M21" i="61"/>
  <c r="N21" i="61" s="1"/>
  <c r="O21" i="61" s="1"/>
  <c r="AR15" i="61"/>
  <c r="AC14" i="61"/>
  <c r="G15" i="61" s="1"/>
  <c r="CZ19" i="15"/>
  <c r="AK21" i="67" s="1"/>
  <c r="CX7" i="15"/>
  <c r="BV19" i="15"/>
  <c r="BT7" i="15"/>
  <c r="BL19" i="15"/>
  <c r="BJ7" i="15"/>
  <c r="CF19" i="15"/>
  <c r="CD7" i="15"/>
  <c r="AH14" i="13"/>
  <c r="AS14" i="13"/>
  <c r="X42" i="52"/>
  <c r="AG41" i="52"/>
  <c r="AT41" i="52" s="1"/>
  <c r="X43" i="51"/>
  <c r="AG42" i="51"/>
  <c r="AT42" i="51" s="1"/>
  <c r="AR21" i="56"/>
  <c r="L19" i="15"/>
  <c r="BJ21" i="13"/>
  <c r="BK21" i="50"/>
  <c r="Z19" i="15"/>
  <c r="Y20" i="15" s="1"/>
  <c r="AA19" i="15"/>
  <c r="BK21" i="51"/>
  <c r="AJ19" i="15"/>
  <c r="AI20" i="15" s="1"/>
  <c r="AK19" i="15"/>
  <c r="BK21" i="53"/>
  <c r="BD19" i="15"/>
  <c r="BC20" i="15" s="1"/>
  <c r="BE19" i="15"/>
  <c r="AD43" i="56"/>
  <c r="AM42" i="56"/>
  <c r="X39" i="13"/>
  <c r="AG38" i="13"/>
  <c r="AT38" i="13" s="1"/>
  <c r="X41" i="50"/>
  <c r="AG40" i="50"/>
  <c r="AT40" i="50" s="1"/>
  <c r="BK21" i="52"/>
  <c r="AT19" i="15"/>
  <c r="AS20" i="15" s="1"/>
  <c r="AU19" i="15"/>
  <c r="DI24" i="15"/>
  <c r="AJ26" i="65" s="1"/>
  <c r="DM23" i="15"/>
  <c r="BS15" i="53"/>
  <c r="BT15" i="53"/>
  <c r="AP15" i="52"/>
  <c r="BD15" i="52"/>
  <c r="BS15" i="51"/>
  <c r="BT15" i="51"/>
  <c r="BN15" i="50"/>
  <c r="BM15" i="50"/>
  <c r="BF15" i="50"/>
  <c r="BE15" i="50"/>
  <c r="X39" i="53" l="1"/>
  <c r="AG38" i="53"/>
  <c r="AT38" i="53" s="1"/>
  <c r="AI25" i="65"/>
  <c r="AH26" i="65" s="1"/>
  <c r="P25" i="65"/>
  <c r="Q25" i="65" s="1"/>
  <c r="M26" i="65"/>
  <c r="N26" i="65" s="1"/>
  <c r="AN25" i="65"/>
  <c r="AO25" i="65" s="1"/>
  <c r="AM25" i="65"/>
  <c r="AR21" i="67"/>
  <c r="P21" i="67"/>
  <c r="Q21" i="67" s="1"/>
  <c r="AI21" i="67"/>
  <c r="AH22" i="67" s="1"/>
  <c r="AL21" i="67"/>
  <c r="AM21" i="67" s="1"/>
  <c r="P27" i="66"/>
  <c r="Q27" i="66" s="1"/>
  <c r="AM27" i="66"/>
  <c r="AN27" i="66"/>
  <c r="AO27" i="66" s="1"/>
  <c r="CR26" i="15"/>
  <c r="CQ27" i="15" s="1"/>
  <c r="CO27" i="15" s="1"/>
  <c r="AK28" i="66"/>
  <c r="O28" i="66"/>
  <c r="AD28" i="66" s="1"/>
  <c r="AG28" i="66" s="1"/>
  <c r="AQ21" i="65"/>
  <c r="AS21" i="65" s="1"/>
  <c r="AT21" i="65"/>
  <c r="AU21" i="65" s="1"/>
  <c r="AR22" i="66"/>
  <c r="G22" i="66"/>
  <c r="AE20" i="66"/>
  <c r="AF20" i="66"/>
  <c r="G21" i="65"/>
  <c r="AF20" i="64"/>
  <c r="AE20" i="64"/>
  <c r="AO20" i="64"/>
  <c r="AP20" i="64"/>
  <c r="AT20" i="64" s="1"/>
  <c r="AU20" i="64" s="1"/>
  <c r="P21" i="64"/>
  <c r="Q21" i="64" s="1"/>
  <c r="AK21" i="64"/>
  <c r="AL21" i="64" s="1"/>
  <c r="AK21" i="61"/>
  <c r="P21" i="61"/>
  <c r="Q21" i="61" s="1"/>
  <c r="AD21" i="61"/>
  <c r="AG21" i="61" s="1"/>
  <c r="AF15" i="61"/>
  <c r="AE15" i="61"/>
  <c r="DB19" i="15"/>
  <c r="DA20" i="15" s="1"/>
  <c r="DC19" i="15"/>
  <c r="BX19" i="15"/>
  <c r="BW20" i="15" s="1"/>
  <c r="BY19" i="15"/>
  <c r="BN19" i="15"/>
  <c r="BM20" i="15" s="1"/>
  <c r="BO19" i="15"/>
  <c r="BI21" i="53"/>
  <c r="BH22" i="53" s="1"/>
  <c r="BL21" i="53"/>
  <c r="X44" i="51"/>
  <c r="AG43" i="51"/>
  <c r="AT43" i="51" s="1"/>
  <c r="BQ21" i="56"/>
  <c r="CH19" i="15"/>
  <c r="CG20" i="15" s="1"/>
  <c r="CI19" i="15"/>
  <c r="X40" i="13"/>
  <c r="AG39" i="13"/>
  <c r="AT39" i="13" s="1"/>
  <c r="AG20" i="15"/>
  <c r="AL21" i="13"/>
  <c r="AQ20" i="15"/>
  <c r="BI21" i="51"/>
  <c r="BH22" i="51" s="1"/>
  <c r="BL21" i="51"/>
  <c r="N19" i="15"/>
  <c r="L7" i="15"/>
  <c r="X43" i="52"/>
  <c r="AG42" i="52"/>
  <c r="AT42" i="52" s="1"/>
  <c r="BI21" i="52"/>
  <c r="BH22" i="52" s="1"/>
  <c r="BL21" i="52"/>
  <c r="AZ42" i="56"/>
  <c r="W20" i="15"/>
  <c r="AD44" i="56"/>
  <c r="AM43" i="56"/>
  <c r="AZ43" i="56" s="1"/>
  <c r="X42" i="50"/>
  <c r="AG41" i="50"/>
  <c r="AT41" i="50" s="1"/>
  <c r="AU14" i="13"/>
  <c r="BA20" i="15"/>
  <c r="BI21" i="50"/>
  <c r="BH22" i="50" s="1"/>
  <c r="BL21" i="50"/>
  <c r="AI14" i="13"/>
  <c r="AK14" i="13"/>
  <c r="CN28" i="15"/>
  <c r="DH24" i="15"/>
  <c r="DJ24" i="15" s="1"/>
  <c r="AY15" i="56"/>
  <c r="AN15" i="56"/>
  <c r="BU15" i="53"/>
  <c r="BR16" i="53"/>
  <c r="BC15" i="53"/>
  <c r="BG15" i="52"/>
  <c r="BU15" i="51"/>
  <c r="BR16" i="51"/>
  <c r="BC15" i="51"/>
  <c r="BP15" i="50"/>
  <c r="BQ15" i="50" s="1"/>
  <c r="BO15" i="50"/>
  <c r="X40" i="53" l="1"/>
  <c r="AG39" i="53"/>
  <c r="AT39" i="53" s="1"/>
  <c r="DL24" i="15"/>
  <c r="DK25" i="15" s="1"/>
  <c r="DI25" i="15" s="1"/>
  <c r="AJ27" i="65" s="1"/>
  <c r="AK26" i="65"/>
  <c r="O26" i="65"/>
  <c r="AD26" i="65" s="1"/>
  <c r="AG26" i="65" s="1"/>
  <c r="AN21" i="67"/>
  <c r="AO21" i="67" s="1"/>
  <c r="P28" i="66"/>
  <c r="Q28" i="66" s="1"/>
  <c r="AL28" i="66"/>
  <c r="AM28" i="66" s="1"/>
  <c r="AI28" i="66"/>
  <c r="AH29" i="66" s="1"/>
  <c r="AJ29" i="66"/>
  <c r="CP27" i="15"/>
  <c r="CS27" i="15" s="1"/>
  <c r="AR22" i="65"/>
  <c r="AC21" i="65"/>
  <c r="AP22" i="66"/>
  <c r="AI21" i="64"/>
  <c r="AH22" i="64" s="1"/>
  <c r="AQ20" i="64"/>
  <c r="AS20" i="64" s="1"/>
  <c r="AI21" i="61"/>
  <c r="AH22" i="61" s="1"/>
  <c r="AL21" i="61"/>
  <c r="AM21" i="64"/>
  <c r="CY20" i="15"/>
  <c r="AJ22" i="67" s="1"/>
  <c r="BU20" i="15"/>
  <c r="BK20" i="15"/>
  <c r="X44" i="52"/>
  <c r="AG43" i="52"/>
  <c r="AT43" i="52" s="1"/>
  <c r="X9" i="51"/>
  <c r="AG44" i="51"/>
  <c r="X43" i="50"/>
  <c r="AG42" i="50"/>
  <c r="AT42" i="50" s="1"/>
  <c r="BK21" i="13"/>
  <c r="P19" i="15"/>
  <c r="O20" i="15" s="1"/>
  <c r="Q19" i="15"/>
  <c r="BJ22" i="51"/>
  <c r="AH20" i="15"/>
  <c r="AK20" i="15" s="1"/>
  <c r="AM44" i="56"/>
  <c r="AD9" i="56"/>
  <c r="X41" i="13"/>
  <c r="AG40" i="13"/>
  <c r="AT40" i="13" s="1"/>
  <c r="AX14" i="13"/>
  <c r="BJ22" i="50"/>
  <c r="X20" i="15"/>
  <c r="AA20" i="15" s="1"/>
  <c r="BJ22" i="53"/>
  <c r="BB20" i="15"/>
  <c r="BE20" i="15" s="1"/>
  <c r="BJ22" i="52"/>
  <c r="AR20" i="15"/>
  <c r="AU20" i="15" s="1"/>
  <c r="CE20" i="15"/>
  <c r="AM14" i="13"/>
  <c r="BO21" i="56"/>
  <c r="BN22" i="56" s="1"/>
  <c r="BR21" i="56"/>
  <c r="DM24" i="15"/>
  <c r="AQ15" i="56"/>
  <c r="AO15" i="56"/>
  <c r="BA15" i="56"/>
  <c r="O16" i="53"/>
  <c r="P16" i="53" s="1"/>
  <c r="BN15" i="52"/>
  <c r="BM15" i="52"/>
  <c r="BF15" i="52"/>
  <c r="BE15" i="52"/>
  <c r="O16" i="51"/>
  <c r="P16" i="51" s="1"/>
  <c r="BT15" i="50"/>
  <c r="BU15" i="50" s="1"/>
  <c r="BS15" i="50"/>
  <c r="X41" i="53" l="1"/>
  <c r="AG40" i="53"/>
  <c r="AT40" i="53" s="1"/>
  <c r="M27" i="65"/>
  <c r="N27" i="65" s="1"/>
  <c r="P26" i="65"/>
  <c r="Q26" i="65" s="1"/>
  <c r="AI26" i="65"/>
  <c r="AH27" i="65" s="1"/>
  <c r="AL26" i="65"/>
  <c r="AN26" i="65" s="1"/>
  <c r="AO26" i="65" s="1"/>
  <c r="AP21" i="67"/>
  <c r="AT21" i="67" s="1"/>
  <c r="AU21" i="67" s="1"/>
  <c r="M22" i="67"/>
  <c r="N22" i="67" s="1"/>
  <c r="M29" i="66"/>
  <c r="N29" i="66" s="1"/>
  <c r="AN28" i="66"/>
  <c r="AO28" i="66" s="1"/>
  <c r="CR27" i="15"/>
  <c r="CQ28" i="15" s="1"/>
  <c r="CO28" i="15" s="1"/>
  <c r="AK29" i="66"/>
  <c r="AL29" i="66" s="1"/>
  <c r="AP22" i="65"/>
  <c r="AT22" i="66"/>
  <c r="AU22" i="66" s="1"/>
  <c r="AQ22" i="66"/>
  <c r="AS22" i="66" s="1"/>
  <c r="AC22" i="66" s="1"/>
  <c r="AE21" i="67"/>
  <c r="AF21" i="67"/>
  <c r="AF21" i="65"/>
  <c r="AE21" i="65"/>
  <c r="AR21" i="64"/>
  <c r="AC20" i="64"/>
  <c r="G21" i="64" s="1"/>
  <c r="AN21" i="64"/>
  <c r="AO21" i="64" s="1"/>
  <c r="AJ22" i="64"/>
  <c r="AJ22" i="61"/>
  <c r="CZ20" i="15"/>
  <c r="AK22" i="67" s="1"/>
  <c r="AI22" i="67" s="1"/>
  <c r="AH23" i="67" s="1"/>
  <c r="BV20" i="15"/>
  <c r="BL20" i="15"/>
  <c r="BO20" i="15" s="1"/>
  <c r="BK22" i="51"/>
  <c r="BI22" i="51" s="1"/>
  <c r="BH23" i="51" s="1"/>
  <c r="AJ20" i="15"/>
  <c r="AI21" i="15" s="1"/>
  <c r="BK22" i="53"/>
  <c r="BI22" i="53" s="1"/>
  <c r="BH23" i="53" s="1"/>
  <c r="BD20" i="15"/>
  <c r="BC21" i="15" s="1"/>
  <c r="AL22" i="51"/>
  <c r="BP22" i="56"/>
  <c r="CF20" i="15"/>
  <c r="CI20" i="15" s="1"/>
  <c r="AL22" i="53"/>
  <c r="BB14" i="13"/>
  <c r="X44" i="50"/>
  <c r="AG43" i="50"/>
  <c r="AT43" i="50" s="1"/>
  <c r="BK22" i="52"/>
  <c r="BI22" i="52" s="1"/>
  <c r="BH23" i="52" s="1"/>
  <c r="AT20" i="15"/>
  <c r="AS21" i="15" s="1"/>
  <c r="AM4" i="56"/>
  <c r="L19" i="17" s="1"/>
  <c r="AZ44" i="56"/>
  <c r="AZ9" i="56" s="1"/>
  <c r="AM9" i="56"/>
  <c r="M20" i="15"/>
  <c r="AT44" i="51"/>
  <c r="AT9" i="51" s="1"/>
  <c r="AG9" i="51"/>
  <c r="AG4" i="51"/>
  <c r="L5" i="17" s="1"/>
  <c r="X42" i="13"/>
  <c r="AG41" i="13"/>
  <c r="AT41" i="13" s="1"/>
  <c r="BI21" i="13"/>
  <c r="BH22" i="13" s="1"/>
  <c r="BL21" i="13"/>
  <c r="AL22" i="52"/>
  <c r="BK22" i="50"/>
  <c r="BI22" i="50" s="1"/>
  <c r="BH23" i="50" s="1"/>
  <c r="Z20" i="15"/>
  <c r="Y21" i="15" s="1"/>
  <c r="AN14" i="13"/>
  <c r="AL22" i="50"/>
  <c r="X9" i="52"/>
  <c r="AG44" i="52"/>
  <c r="CN29" i="15"/>
  <c r="DH25" i="15"/>
  <c r="DJ25" i="15" s="1"/>
  <c r="BD15" i="56"/>
  <c r="AS15" i="56"/>
  <c r="BP15" i="52"/>
  <c r="BQ15" i="52" s="1"/>
  <c r="BO15" i="52"/>
  <c r="BR16" i="50"/>
  <c r="BC15" i="50"/>
  <c r="AG41" i="53" l="1"/>
  <c r="AT41" i="53" s="1"/>
  <c r="X42" i="53"/>
  <c r="AM26" i="65"/>
  <c r="DL25" i="15"/>
  <c r="DK26" i="15" s="1"/>
  <c r="DI26" i="15" s="1"/>
  <c r="AJ28" i="65" s="1"/>
  <c r="M28" i="65" s="1"/>
  <c r="N28" i="65" s="1"/>
  <c r="AK27" i="65"/>
  <c r="AL27" i="65" s="1"/>
  <c r="O27" i="65"/>
  <c r="AD27" i="65" s="1"/>
  <c r="AG27" i="65" s="1"/>
  <c r="AQ21" i="67"/>
  <c r="AS21" i="67" s="1"/>
  <c r="AC21" i="67" s="1"/>
  <c r="G22" i="67" s="1"/>
  <c r="DC20" i="15"/>
  <c r="O22" i="67"/>
  <c r="AD22" i="67" s="1"/>
  <c r="AG22" i="67" s="1"/>
  <c r="AL22" i="67"/>
  <c r="AJ30" i="66"/>
  <c r="CP28" i="15"/>
  <c r="CS28" i="15" s="1"/>
  <c r="AI29" i="66"/>
  <c r="AH30" i="66" s="1"/>
  <c r="O29" i="66"/>
  <c r="AD29" i="66" s="1"/>
  <c r="AG29" i="66" s="1"/>
  <c r="AQ22" i="65"/>
  <c r="AS22" i="65" s="1"/>
  <c r="AT22" i="65"/>
  <c r="AU22" i="65" s="1"/>
  <c r="AR23" i="66"/>
  <c r="G23" i="66"/>
  <c r="AE21" i="64"/>
  <c r="AF21" i="64"/>
  <c r="M22" i="64"/>
  <c r="N22" i="64" s="1"/>
  <c r="O22" i="64" s="1"/>
  <c r="AD22" i="64" s="1"/>
  <c r="AG22" i="64" s="1"/>
  <c r="AP21" i="64"/>
  <c r="AT21" i="64" s="1"/>
  <c r="AU21" i="64" s="1"/>
  <c r="M22" i="61"/>
  <c r="N22" i="61" s="1"/>
  <c r="O22" i="61" s="1"/>
  <c r="AK22" i="64"/>
  <c r="AI22" i="64" s="1"/>
  <c r="AH23" i="64" s="1"/>
  <c r="AK22" i="61"/>
  <c r="AI22" i="61" s="1"/>
  <c r="AH23" i="61" s="1"/>
  <c r="BY20" i="15"/>
  <c r="DB20" i="15"/>
  <c r="DA21" i="15" s="1"/>
  <c r="BX20" i="15"/>
  <c r="BW21" i="15" s="1"/>
  <c r="BN20" i="15"/>
  <c r="BM21" i="15" s="1"/>
  <c r="BL22" i="52"/>
  <c r="BL22" i="50"/>
  <c r="BL22" i="53"/>
  <c r="BA21" i="15"/>
  <c r="AQ21" i="15"/>
  <c r="X43" i="13"/>
  <c r="AG42" i="13"/>
  <c r="AT42" i="13" s="1"/>
  <c r="BD14" i="13"/>
  <c r="BG14" i="13" s="1"/>
  <c r="BQ22" i="56"/>
  <c r="BO22" i="56" s="1"/>
  <c r="BN23" i="56" s="1"/>
  <c r="CH20" i="15"/>
  <c r="CG21" i="15" s="1"/>
  <c r="W21" i="15"/>
  <c r="AO14" i="13"/>
  <c r="AR22" i="56"/>
  <c r="AT44" i="52"/>
  <c r="AT9" i="52" s="1"/>
  <c r="AG9" i="52"/>
  <c r="AG4" i="52"/>
  <c r="D19" i="17" s="1"/>
  <c r="N20" i="15"/>
  <c r="Q20" i="15" s="1"/>
  <c r="BJ22" i="13"/>
  <c r="X9" i="50"/>
  <c r="AG44" i="50"/>
  <c r="BL22" i="51"/>
  <c r="AG21" i="15"/>
  <c r="DM25" i="15"/>
  <c r="AT15" i="56"/>
  <c r="AU15" i="56" s="1"/>
  <c r="BH15" i="56"/>
  <c r="AS16" i="53"/>
  <c r="AH16" i="53"/>
  <c r="BS15" i="52"/>
  <c r="BT15" i="52"/>
  <c r="BU15" i="52" s="1"/>
  <c r="AS16" i="51"/>
  <c r="AH16" i="51"/>
  <c r="O16" i="50"/>
  <c r="P16" i="50" s="1"/>
  <c r="AG42" i="53" l="1"/>
  <c r="X43" i="53"/>
  <c r="AR22" i="67"/>
  <c r="P27" i="65"/>
  <c r="Q27" i="65" s="1"/>
  <c r="AM27" i="65"/>
  <c r="AN27" i="65"/>
  <c r="AO27" i="65" s="1"/>
  <c r="O28" i="65"/>
  <c r="AD28" i="65" s="1"/>
  <c r="AG28" i="65" s="1"/>
  <c r="AI27" i="65"/>
  <c r="AH28" i="65" s="1"/>
  <c r="P22" i="67"/>
  <c r="Q22" i="67" s="1"/>
  <c r="AN22" i="67"/>
  <c r="AM22" i="67"/>
  <c r="P29" i="66"/>
  <c r="Q29" i="66" s="1"/>
  <c r="AN29" i="66"/>
  <c r="AO29" i="66" s="1"/>
  <c r="AM29" i="66"/>
  <c r="CR28" i="15"/>
  <c r="CQ29" i="15" s="1"/>
  <c r="CO29" i="15" s="1"/>
  <c r="AK30" i="66"/>
  <c r="AI30" i="66" s="1"/>
  <c r="AH31" i="66" s="1"/>
  <c r="M30" i="66"/>
  <c r="N30" i="66" s="1"/>
  <c r="AR23" i="65"/>
  <c r="AC22" i="65"/>
  <c r="AP23" i="66"/>
  <c r="AF21" i="66"/>
  <c r="AE21" i="66"/>
  <c r="G22" i="65"/>
  <c r="AL22" i="64"/>
  <c r="AQ21" i="64"/>
  <c r="AS21" i="64" s="1"/>
  <c r="P22" i="64"/>
  <c r="Q22" i="64" s="1"/>
  <c r="AL22" i="61"/>
  <c r="P22" i="61"/>
  <c r="Q22" i="61" s="1"/>
  <c r="AD22" i="61"/>
  <c r="AG22" i="61" s="1"/>
  <c r="CY21" i="15"/>
  <c r="AJ23" i="67" s="1"/>
  <c r="BU21" i="15"/>
  <c r="BK21" i="15"/>
  <c r="BE14" i="13"/>
  <c r="BF14" i="13"/>
  <c r="BM14" i="13"/>
  <c r="BN14" i="13"/>
  <c r="BJ23" i="51"/>
  <c r="AH21" i="15"/>
  <c r="AK21" i="15" s="1"/>
  <c r="AP14" i="13"/>
  <c r="BJ23" i="53"/>
  <c r="BB21" i="15"/>
  <c r="BE21" i="15" s="1"/>
  <c r="AT44" i="50"/>
  <c r="AT9" i="50" s="1"/>
  <c r="AG9" i="50"/>
  <c r="AG4" i="50"/>
  <c r="H5" i="17" s="1"/>
  <c r="CE21" i="15"/>
  <c r="X44" i="13"/>
  <c r="AG43" i="13"/>
  <c r="AT43" i="13" s="1"/>
  <c r="BJ23" i="50"/>
  <c r="X21" i="15"/>
  <c r="AA21" i="15" s="1"/>
  <c r="BJ23" i="52"/>
  <c r="AR21" i="15"/>
  <c r="AU21" i="15" s="1"/>
  <c r="AL22" i="13"/>
  <c r="BK22" i="13"/>
  <c r="BI22" i="13" s="1"/>
  <c r="BH23" i="13" s="1"/>
  <c r="P20" i="15"/>
  <c r="O21" i="15" s="1"/>
  <c r="BR22" i="56"/>
  <c r="CN30" i="15"/>
  <c r="DH26" i="15"/>
  <c r="DJ26" i="15" s="1"/>
  <c r="AV15" i="56"/>
  <c r="BJ15" i="56"/>
  <c r="BM15" i="56" s="1"/>
  <c r="AK16" i="53"/>
  <c r="AI16" i="53"/>
  <c r="AU16" i="53"/>
  <c r="BR16" i="52"/>
  <c r="BC15" i="52"/>
  <c r="AK16" i="51"/>
  <c r="AI16" i="51"/>
  <c r="AU16" i="51"/>
  <c r="X44" i="53" l="1"/>
  <c r="AG43" i="53"/>
  <c r="AT43" i="53" s="1"/>
  <c r="AT42" i="53"/>
  <c r="P28" i="65"/>
  <c r="Q28" i="65" s="1"/>
  <c r="DL26" i="15"/>
  <c r="DK27" i="15" s="1"/>
  <c r="DI27" i="15" s="1"/>
  <c r="AJ29" i="65" s="1"/>
  <c r="AK28" i="65"/>
  <c r="AL28" i="65" s="1"/>
  <c r="AN28" i="65" s="1"/>
  <c r="AO28" i="65" s="1"/>
  <c r="M23" i="67"/>
  <c r="N23" i="67" s="1"/>
  <c r="AO22" i="67"/>
  <c r="AP22" i="67"/>
  <c r="AT22" i="67" s="1"/>
  <c r="AU22" i="67" s="1"/>
  <c r="AL30" i="66"/>
  <c r="AJ31" i="66"/>
  <c r="CP29" i="15"/>
  <c r="CS29" i="15" s="1"/>
  <c r="O30" i="66"/>
  <c r="AD30" i="66" s="1"/>
  <c r="AG30" i="66" s="1"/>
  <c r="AP23" i="65"/>
  <c r="AT23" i="66"/>
  <c r="AU23" i="66" s="1"/>
  <c r="AQ23" i="66"/>
  <c r="AS23" i="66" s="1"/>
  <c r="AC23" i="66" s="1"/>
  <c r="AF22" i="67"/>
  <c r="AE22" i="67"/>
  <c r="AR22" i="64"/>
  <c r="AC21" i="64"/>
  <c r="G22" i="64" s="1"/>
  <c r="AJ23" i="64"/>
  <c r="AJ23" i="61"/>
  <c r="M23" i="61" s="1"/>
  <c r="N23" i="61" s="1"/>
  <c r="AM22" i="64"/>
  <c r="CZ21" i="15"/>
  <c r="AK23" i="67" s="1"/>
  <c r="AI23" i="67" s="1"/>
  <c r="AH24" i="67" s="1"/>
  <c r="BV21" i="15"/>
  <c r="BL21" i="15"/>
  <c r="BO21" i="15" s="1"/>
  <c r="BL22" i="13"/>
  <c r="AL23" i="51"/>
  <c r="BK23" i="50"/>
  <c r="BI23" i="50" s="1"/>
  <c r="BH24" i="50" s="1"/>
  <c r="Z21" i="15"/>
  <c r="Y22" i="15" s="1"/>
  <c r="X9" i="13"/>
  <c r="AG44" i="13"/>
  <c r="BK23" i="53"/>
  <c r="BI23" i="53" s="1"/>
  <c r="BH24" i="53" s="1"/>
  <c r="BD21" i="15"/>
  <c r="BC22" i="15" s="1"/>
  <c r="BP23" i="56"/>
  <c r="CF21" i="15"/>
  <c r="CI21" i="15" s="1"/>
  <c r="AL23" i="53"/>
  <c r="AL23" i="50"/>
  <c r="BP14" i="13"/>
  <c r="BO14" i="13"/>
  <c r="AL23" i="52"/>
  <c r="BK23" i="52"/>
  <c r="BI23" i="52" s="1"/>
  <c r="BH24" i="52" s="1"/>
  <c r="AT21" i="15"/>
  <c r="AS22" i="15" s="1"/>
  <c r="M21" i="15"/>
  <c r="BK23" i="51"/>
  <c r="BI23" i="51" s="1"/>
  <c r="BH24" i="51" s="1"/>
  <c r="AJ21" i="15"/>
  <c r="AI22" i="15" s="1"/>
  <c r="DM26" i="15"/>
  <c r="BT15" i="56"/>
  <c r="BL15" i="56"/>
  <c r="BK15" i="56"/>
  <c r="BS15" i="56"/>
  <c r="AX16" i="53"/>
  <c r="AM16" i="53"/>
  <c r="O16" i="52"/>
  <c r="P16" i="52" s="1"/>
  <c r="AX16" i="51"/>
  <c r="AM16" i="51"/>
  <c r="AH16" i="50"/>
  <c r="AS16" i="50"/>
  <c r="AG44" i="53" l="1"/>
  <c r="X9" i="53"/>
  <c r="M29" i="65"/>
  <c r="N29" i="65" s="1"/>
  <c r="AM28" i="65"/>
  <c r="AI28" i="65"/>
  <c r="AH29" i="65" s="1"/>
  <c r="AQ22" i="67"/>
  <c r="AS22" i="67" s="1"/>
  <c r="AC22" i="67" s="1"/>
  <c r="G23" i="67" s="1"/>
  <c r="O23" i="67"/>
  <c r="AD23" i="67" s="1"/>
  <c r="AG23" i="67" s="1"/>
  <c r="AL23" i="67"/>
  <c r="P30" i="66"/>
  <c r="Q30" i="66" s="1"/>
  <c r="AN30" i="66"/>
  <c r="AO30" i="66" s="1"/>
  <c r="AM30" i="66"/>
  <c r="CR29" i="15"/>
  <c r="CQ30" i="15" s="1"/>
  <c r="CO30" i="15" s="1"/>
  <c r="AK31" i="66"/>
  <c r="AI31" i="66" s="1"/>
  <c r="AH32" i="66" s="1"/>
  <c r="M31" i="66"/>
  <c r="N31" i="66" s="1"/>
  <c r="AQ23" i="65"/>
  <c r="AS23" i="65" s="1"/>
  <c r="AT23" i="65"/>
  <c r="AU23" i="65" s="1"/>
  <c r="AR24" i="66"/>
  <c r="G24" i="66"/>
  <c r="AF22" i="66"/>
  <c r="AE22" i="66"/>
  <c r="AE22" i="65"/>
  <c r="AF22" i="65"/>
  <c r="AF22" i="64"/>
  <c r="AE22" i="64"/>
  <c r="M23" i="64"/>
  <c r="N23" i="64" s="1"/>
  <c r="O23" i="64" s="1"/>
  <c r="AD23" i="64" s="1"/>
  <c r="AG23" i="64" s="1"/>
  <c r="AN22" i="64"/>
  <c r="AO22" i="64" s="1"/>
  <c r="AK23" i="64"/>
  <c r="AI23" i="64" s="1"/>
  <c r="AH24" i="64" s="1"/>
  <c r="AK23" i="61"/>
  <c r="O23" i="61"/>
  <c r="DB21" i="15"/>
  <c r="DA22" i="15" s="1"/>
  <c r="DC21" i="15"/>
  <c r="BQ14" i="13"/>
  <c r="BS14" i="13" s="1"/>
  <c r="BL23" i="53"/>
  <c r="BX21" i="15"/>
  <c r="BW22" i="15" s="1"/>
  <c r="BY21" i="15"/>
  <c r="BN21" i="15"/>
  <c r="BM22" i="15" s="1"/>
  <c r="BL23" i="50"/>
  <c r="BJ23" i="13"/>
  <c r="N21" i="15"/>
  <c r="AQ22" i="15"/>
  <c r="BT14" i="13"/>
  <c r="BU14" i="13" s="1"/>
  <c r="BQ23" i="56"/>
  <c r="BO23" i="56" s="1"/>
  <c r="BN24" i="56" s="1"/>
  <c r="CH21" i="15"/>
  <c r="CG22" i="15" s="1"/>
  <c r="W22" i="15"/>
  <c r="AR23" i="56"/>
  <c r="BA22" i="15"/>
  <c r="BL23" i="51"/>
  <c r="AG22" i="15"/>
  <c r="BL23" i="52"/>
  <c r="AT44" i="13"/>
  <c r="AT9" i="13" s="1"/>
  <c r="AG4" i="13"/>
  <c r="D5" i="17" s="1"/>
  <c r="AG9" i="13"/>
  <c r="CN31" i="15"/>
  <c r="DH27" i="15"/>
  <c r="DJ27" i="15" s="1"/>
  <c r="BV15" i="56"/>
  <c r="BW15" i="56" s="1"/>
  <c r="BU15" i="56"/>
  <c r="AN16" i="53"/>
  <c r="AO16" i="53" s="1"/>
  <c r="BB16" i="53"/>
  <c r="AN16" i="51"/>
  <c r="AO16" i="51" s="1"/>
  <c r="BB16" i="51"/>
  <c r="AU16" i="50"/>
  <c r="AK16" i="50"/>
  <c r="AI16" i="50"/>
  <c r="AT44" i="53" l="1"/>
  <c r="AT9" i="53" s="1"/>
  <c r="AG9" i="53"/>
  <c r="AG4" i="53"/>
  <c r="H19" i="17" s="1"/>
  <c r="DL27" i="15"/>
  <c r="DK28" i="15" s="1"/>
  <c r="DI28" i="15" s="1"/>
  <c r="AJ30" i="65" s="1"/>
  <c r="AK29" i="65"/>
  <c r="AL29" i="65" s="1"/>
  <c r="O29" i="65"/>
  <c r="AD29" i="65" s="1"/>
  <c r="AG29" i="65" s="1"/>
  <c r="AR23" i="67"/>
  <c r="P23" i="67"/>
  <c r="Q23" i="67" s="1"/>
  <c r="AM23" i="67"/>
  <c r="AN23" i="67"/>
  <c r="AL31" i="66"/>
  <c r="O31" i="66"/>
  <c r="AD31" i="66" s="1"/>
  <c r="AG31" i="66" s="1"/>
  <c r="AJ32" i="66"/>
  <c r="M32" i="66" s="1"/>
  <c r="N32" i="66" s="1"/>
  <c r="CP30" i="15"/>
  <c r="AR24" i="65"/>
  <c r="AC23" i="65"/>
  <c r="AP24" i="66"/>
  <c r="P23" i="64"/>
  <c r="Q23" i="64" s="1"/>
  <c r="AL23" i="64"/>
  <c r="AM23" i="64" s="1"/>
  <c r="AP22" i="64"/>
  <c r="AT22" i="64" s="1"/>
  <c r="AU22" i="64" s="1"/>
  <c r="AL23" i="61"/>
  <c r="AI23" i="61"/>
  <c r="AH24" i="61" s="1"/>
  <c r="P23" i="61"/>
  <c r="Q23" i="61" s="1"/>
  <c r="AD23" i="61"/>
  <c r="AG23" i="61" s="1"/>
  <c r="AM15" i="61"/>
  <c r="AN15" i="61"/>
  <c r="CY22" i="15"/>
  <c r="AJ24" i="67" s="1"/>
  <c r="M24" i="67" s="1"/>
  <c r="N24" i="67" s="1"/>
  <c r="BU22" i="15"/>
  <c r="BK22" i="15"/>
  <c r="BJ24" i="50"/>
  <c r="X22" i="15"/>
  <c r="CE22" i="15"/>
  <c r="BJ24" i="52"/>
  <c r="AR22" i="15"/>
  <c r="AU22" i="15" s="1"/>
  <c r="BJ24" i="51"/>
  <c r="AH22" i="15"/>
  <c r="AK22" i="15" s="1"/>
  <c r="BR15" i="13"/>
  <c r="BC14" i="13"/>
  <c r="BK23" i="13"/>
  <c r="BI23" i="13" s="1"/>
  <c r="BH24" i="13" s="1"/>
  <c r="P21" i="15"/>
  <c r="O22" i="15" s="1"/>
  <c r="BJ24" i="53"/>
  <c r="AL24" i="53" s="1"/>
  <c r="BB22" i="15"/>
  <c r="BE22" i="15" s="1"/>
  <c r="AL23" i="13"/>
  <c r="BR23" i="56"/>
  <c r="Q21" i="15"/>
  <c r="DM27" i="15"/>
  <c r="BY15" i="56"/>
  <c r="BI15" i="56" s="1"/>
  <c r="BZ15" i="56"/>
  <c r="CA15" i="56" s="1"/>
  <c r="AP16" i="53"/>
  <c r="BD16" i="53"/>
  <c r="BG16" i="53" s="1"/>
  <c r="AH16" i="52"/>
  <c r="AS16" i="52"/>
  <c r="AP16" i="51"/>
  <c r="BD16" i="51"/>
  <c r="BG16" i="51" s="1"/>
  <c r="AM16" i="50"/>
  <c r="AX16" i="50"/>
  <c r="P29" i="65" l="1"/>
  <c r="Q29" i="65" s="1"/>
  <c r="AM29" i="65"/>
  <c r="AN29" i="65"/>
  <c r="AO29" i="65" s="1"/>
  <c r="M30" i="65"/>
  <c r="N30" i="65" s="1"/>
  <c r="AI29" i="65"/>
  <c r="AH30" i="65" s="1"/>
  <c r="O24" i="67"/>
  <c r="AD24" i="67" s="1"/>
  <c r="AG24" i="67" s="1"/>
  <c r="AO23" i="67"/>
  <c r="AP23" i="67"/>
  <c r="AT23" i="67" s="1"/>
  <c r="AU23" i="67" s="1"/>
  <c r="CR30" i="15"/>
  <c r="CQ31" i="15" s="1"/>
  <c r="CO31" i="15" s="1"/>
  <c r="AK32" i="66"/>
  <c r="CS30" i="15"/>
  <c r="O32" i="66"/>
  <c r="AD32" i="66" s="1"/>
  <c r="AG32" i="66" s="1"/>
  <c r="P31" i="66"/>
  <c r="Q31" i="66" s="1"/>
  <c r="AN31" i="66"/>
  <c r="AO31" i="66" s="1"/>
  <c r="AM31" i="66"/>
  <c r="AP24" i="65"/>
  <c r="AQ24" i="66"/>
  <c r="AS24" i="66" s="1"/>
  <c r="AC24" i="66" s="1"/>
  <c r="AT24" i="66"/>
  <c r="AU24" i="66" s="1"/>
  <c r="AQ22" i="64"/>
  <c r="AS22" i="64" s="1"/>
  <c r="AN23" i="64"/>
  <c r="AO23" i="64" s="1"/>
  <c r="AJ24" i="64"/>
  <c r="AJ24" i="61"/>
  <c r="M24" i="61" s="1"/>
  <c r="N24" i="61" s="1"/>
  <c r="O24" i="61" s="1"/>
  <c r="AO15" i="61"/>
  <c r="AP15" i="61"/>
  <c r="AT15" i="61" s="1"/>
  <c r="AU15" i="61" s="1"/>
  <c r="CZ22" i="15"/>
  <c r="BV22" i="15"/>
  <c r="BL22" i="15"/>
  <c r="BO22" i="15" s="1"/>
  <c r="BL23" i="13"/>
  <c r="AL24" i="52"/>
  <c r="BP24" i="56"/>
  <c r="CF22" i="15"/>
  <c r="CI22" i="15" s="1"/>
  <c r="BK24" i="53"/>
  <c r="BD22" i="15"/>
  <c r="BC23" i="15" s="1"/>
  <c r="BK24" i="50"/>
  <c r="BI24" i="50" s="1"/>
  <c r="BH25" i="50" s="1"/>
  <c r="Z22" i="15"/>
  <c r="Y23" i="15" s="1"/>
  <c r="BK24" i="51"/>
  <c r="BI24" i="51" s="1"/>
  <c r="BH25" i="51" s="1"/>
  <c r="AJ22" i="15"/>
  <c r="AI23" i="15" s="1"/>
  <c r="AA22" i="15"/>
  <c r="M22" i="15"/>
  <c r="AL24" i="51"/>
  <c r="AL24" i="50"/>
  <c r="O15" i="13"/>
  <c r="P15" i="13" s="1"/>
  <c r="BK24" i="52"/>
  <c r="BI24" i="52" s="1"/>
  <c r="BH25" i="52" s="1"/>
  <c r="AT22" i="15"/>
  <c r="AS23" i="15" s="1"/>
  <c r="CN32" i="15"/>
  <c r="DH28" i="15"/>
  <c r="DJ28" i="15" s="1"/>
  <c r="BX16" i="56"/>
  <c r="BN16" i="53"/>
  <c r="BF16" i="53"/>
  <c r="BE16" i="53"/>
  <c r="BM16" i="53"/>
  <c r="AU16" i="52"/>
  <c r="AK16" i="52"/>
  <c r="AI16" i="52"/>
  <c r="BN16" i="51"/>
  <c r="BE16" i="51"/>
  <c r="BM16" i="51"/>
  <c r="BF16" i="51"/>
  <c r="BB16" i="50"/>
  <c r="AN16" i="50"/>
  <c r="O30" i="65" l="1"/>
  <c r="AD30" i="65" s="1"/>
  <c r="AG30" i="65" s="1"/>
  <c r="DL28" i="15"/>
  <c r="DK29" i="15" s="1"/>
  <c r="DI29" i="15" s="1"/>
  <c r="AJ31" i="65" s="1"/>
  <c r="AK30" i="65"/>
  <c r="AL30" i="65" s="1"/>
  <c r="AQ23" i="67"/>
  <c r="AS23" i="67" s="1"/>
  <c r="AC23" i="67" s="1"/>
  <c r="G24" i="67" s="1"/>
  <c r="P24" i="67"/>
  <c r="Q24" i="67" s="1"/>
  <c r="DC22" i="15"/>
  <c r="AK24" i="67"/>
  <c r="P32" i="66"/>
  <c r="Q32" i="66" s="1"/>
  <c r="AL32" i="66"/>
  <c r="AM32" i="66" s="1"/>
  <c r="AI32" i="66"/>
  <c r="AH33" i="66" s="1"/>
  <c r="AJ33" i="66"/>
  <c r="CP31" i="15"/>
  <c r="CS31" i="15" s="1"/>
  <c r="AT24" i="65"/>
  <c r="AU24" i="65" s="1"/>
  <c r="AQ24" i="65"/>
  <c r="AS24" i="65" s="1"/>
  <c r="AR25" i="66"/>
  <c r="G25" i="66"/>
  <c r="G23" i="65"/>
  <c r="AR23" i="64"/>
  <c r="AP23" i="64" s="1"/>
  <c r="AT23" i="64" s="1"/>
  <c r="AU23" i="64" s="1"/>
  <c r="AC22" i="64"/>
  <c r="G23" i="64" s="1"/>
  <c r="M24" i="64"/>
  <c r="N24" i="64" s="1"/>
  <c r="AK24" i="64"/>
  <c r="AI24" i="64" s="1"/>
  <c r="AH25" i="64" s="1"/>
  <c r="AK24" i="61"/>
  <c r="P24" i="61"/>
  <c r="Q24" i="61" s="1"/>
  <c r="AD24" i="61"/>
  <c r="AG24" i="61" s="1"/>
  <c r="AQ15" i="61"/>
  <c r="AS15" i="61" s="1"/>
  <c r="DB22" i="15"/>
  <c r="DA23" i="15" s="1"/>
  <c r="BL24" i="50"/>
  <c r="BX22" i="15"/>
  <c r="BW23" i="15" s="1"/>
  <c r="BY22" i="15"/>
  <c r="BN22" i="15"/>
  <c r="BM23" i="15" s="1"/>
  <c r="BL24" i="51"/>
  <c r="BL24" i="53"/>
  <c r="BI24" i="53"/>
  <c r="BH25" i="53" s="1"/>
  <c r="AG23" i="15"/>
  <c r="AQ23" i="15"/>
  <c r="BQ24" i="56"/>
  <c r="BO24" i="56" s="1"/>
  <c r="BN25" i="56" s="1"/>
  <c r="CH22" i="15"/>
  <c r="CG23" i="15" s="1"/>
  <c r="W23" i="15"/>
  <c r="AR24" i="56"/>
  <c r="BL24" i="52"/>
  <c r="N22" i="15"/>
  <c r="Q22" i="15" s="1"/>
  <c r="BJ24" i="13"/>
  <c r="BA23" i="15"/>
  <c r="DM28" i="15"/>
  <c r="U16" i="56"/>
  <c r="V16" i="56" s="1"/>
  <c r="BP16" i="53"/>
  <c r="BO16" i="53"/>
  <c r="AM16" i="52"/>
  <c r="AX16" i="52"/>
  <c r="BP16" i="51"/>
  <c r="BQ16" i="51" s="1"/>
  <c r="BO16" i="51"/>
  <c r="BD16" i="50"/>
  <c r="BG16" i="50" s="1"/>
  <c r="AO16" i="50"/>
  <c r="P30" i="65" l="1"/>
  <c r="Q30" i="65" s="1"/>
  <c r="AN30" i="65"/>
  <c r="AO30" i="65" s="1"/>
  <c r="AM30" i="65"/>
  <c r="M31" i="65"/>
  <c r="N31" i="65" s="1"/>
  <c r="AI30" i="65"/>
  <c r="AH31" i="65" s="1"/>
  <c r="AR24" i="67"/>
  <c r="AL24" i="67"/>
  <c r="AI24" i="67"/>
  <c r="AH25" i="67" s="1"/>
  <c r="M33" i="66"/>
  <c r="N33" i="66" s="1"/>
  <c r="CR31" i="15"/>
  <c r="CQ32" i="15" s="1"/>
  <c r="CO32" i="15" s="1"/>
  <c r="AK33" i="66"/>
  <c r="AL33" i="66" s="1"/>
  <c r="AN32" i="66"/>
  <c r="AO32" i="66" s="1"/>
  <c r="AR25" i="65"/>
  <c r="AC24" i="65"/>
  <c r="AP25" i="66"/>
  <c r="AE23" i="66"/>
  <c r="AF23" i="66"/>
  <c r="O24" i="64"/>
  <c r="AD24" i="64" s="1"/>
  <c r="AG24" i="64" s="1"/>
  <c r="AL24" i="64"/>
  <c r="AE23" i="64"/>
  <c r="AF23" i="64"/>
  <c r="AQ23" i="64"/>
  <c r="AS23" i="64" s="1"/>
  <c r="AR24" i="64" s="1"/>
  <c r="AL24" i="61"/>
  <c r="AI24" i="61"/>
  <c r="AH25" i="61" s="1"/>
  <c r="AR16" i="61"/>
  <c r="AC15" i="61"/>
  <c r="G16" i="61" s="1"/>
  <c r="CY23" i="15"/>
  <c r="AJ25" i="67" s="1"/>
  <c r="BU23" i="15"/>
  <c r="BK23" i="15"/>
  <c r="AH15" i="13"/>
  <c r="AS15" i="13"/>
  <c r="AL24" i="13"/>
  <c r="BK24" i="13"/>
  <c r="BI24" i="13" s="1"/>
  <c r="BH25" i="13" s="1"/>
  <c r="P22" i="15"/>
  <c r="O23" i="15" s="1"/>
  <c r="BR24" i="56"/>
  <c r="BJ25" i="52"/>
  <c r="AR23" i="15"/>
  <c r="AU23" i="15" s="1"/>
  <c r="BJ25" i="50"/>
  <c r="X23" i="15"/>
  <c r="AA23" i="15" s="1"/>
  <c r="BJ25" i="51"/>
  <c r="AH23" i="15"/>
  <c r="AK23" i="15" s="1"/>
  <c r="BJ25" i="53"/>
  <c r="BB23" i="15"/>
  <c r="CE23" i="15"/>
  <c r="CN33" i="15"/>
  <c r="DH29" i="15"/>
  <c r="DJ29" i="15" s="1"/>
  <c r="BT16" i="53"/>
  <c r="BQ16" i="53"/>
  <c r="BB16" i="52"/>
  <c r="AN16" i="52"/>
  <c r="BS16" i="51"/>
  <c r="BT16" i="51"/>
  <c r="AP16" i="50"/>
  <c r="BN16" i="50"/>
  <c r="BM16" i="50"/>
  <c r="BF16" i="50"/>
  <c r="BE16" i="50"/>
  <c r="DL29" i="15" l="1"/>
  <c r="DK30" i="15" s="1"/>
  <c r="DI30" i="15" s="1"/>
  <c r="AJ32" i="65" s="1"/>
  <c r="M32" i="65" s="1"/>
  <c r="N32" i="65" s="1"/>
  <c r="AK31" i="65"/>
  <c r="AL31" i="65" s="1"/>
  <c r="O31" i="65"/>
  <c r="AD31" i="65" s="1"/>
  <c r="AG31" i="65" s="1"/>
  <c r="M25" i="67"/>
  <c r="N25" i="67" s="1"/>
  <c r="AN24" i="67"/>
  <c r="AM24" i="67"/>
  <c r="AJ34" i="66"/>
  <c r="CP32" i="15"/>
  <c r="AI33" i="66"/>
  <c r="AH34" i="66" s="1"/>
  <c r="O33" i="66"/>
  <c r="AD33" i="66" s="1"/>
  <c r="AG33" i="66" s="1"/>
  <c r="AP25" i="65"/>
  <c r="AT25" i="66"/>
  <c r="AU25" i="66" s="1"/>
  <c r="AQ25" i="66"/>
  <c r="AS25" i="66" s="1"/>
  <c r="AC25" i="66" s="1"/>
  <c r="AE23" i="67"/>
  <c r="AF23" i="67"/>
  <c r="AE23" i="65"/>
  <c r="AF23" i="65"/>
  <c r="AM24" i="64"/>
  <c r="G24" i="65"/>
  <c r="P24" i="64"/>
  <c r="Q24" i="64" s="1"/>
  <c r="AC23" i="64"/>
  <c r="G24" i="64" s="1"/>
  <c r="AN24" i="64"/>
  <c r="AO24" i="64" s="1"/>
  <c r="AJ25" i="64"/>
  <c r="AJ25" i="61"/>
  <c r="AE16" i="61"/>
  <c r="AF16" i="61"/>
  <c r="CZ23" i="15"/>
  <c r="AK25" i="67" s="1"/>
  <c r="AL25" i="67" s="1"/>
  <c r="BV23" i="15"/>
  <c r="BL23" i="15"/>
  <c r="AL25" i="53"/>
  <c r="AL25" i="50"/>
  <c r="BL24" i="13"/>
  <c r="BK25" i="53"/>
  <c r="BI25" i="53" s="1"/>
  <c r="BH26" i="53" s="1"/>
  <c r="BD23" i="15"/>
  <c r="BC24" i="15" s="1"/>
  <c r="BK25" i="51"/>
  <c r="BI25" i="51" s="1"/>
  <c r="BH26" i="51" s="1"/>
  <c r="AJ23" i="15"/>
  <c r="AI24" i="15" s="1"/>
  <c r="BK25" i="52"/>
  <c r="BI25" i="52" s="1"/>
  <c r="BH26" i="52" s="1"/>
  <c r="AT23" i="15"/>
  <c r="AS24" i="15" s="1"/>
  <c r="AL25" i="51"/>
  <c r="BP25" i="56"/>
  <c r="CF23" i="15"/>
  <c r="CI23" i="15" s="1"/>
  <c r="AU15" i="13"/>
  <c r="AL25" i="52"/>
  <c r="BE23" i="15"/>
  <c r="BK25" i="50"/>
  <c r="BI25" i="50" s="1"/>
  <c r="BH26" i="50" s="1"/>
  <c r="Z23" i="15"/>
  <c r="Y24" i="15" s="1"/>
  <c r="M23" i="15"/>
  <c r="AI15" i="13"/>
  <c r="AK15" i="13"/>
  <c r="DM29" i="15"/>
  <c r="AY16" i="56"/>
  <c r="AN16" i="56"/>
  <c r="BU16" i="53"/>
  <c r="BS16" i="53"/>
  <c r="BD16" i="52"/>
  <c r="BG16" i="52" s="1"/>
  <c r="AO16" i="52"/>
  <c r="BU16" i="51"/>
  <c r="BR17" i="51"/>
  <c r="BC16" i="51"/>
  <c r="BP16" i="50"/>
  <c r="BO16" i="50"/>
  <c r="O32" i="65" l="1"/>
  <c r="AD32" i="65" s="1"/>
  <c r="AG32" i="65" s="1"/>
  <c r="P31" i="65"/>
  <c r="Q31" i="65" s="1"/>
  <c r="AN31" i="65"/>
  <c r="AO31" i="65" s="1"/>
  <c r="AM31" i="65"/>
  <c r="AI31" i="65"/>
  <c r="AH32" i="65" s="1"/>
  <c r="AO24" i="67"/>
  <c r="AP24" i="67"/>
  <c r="AT24" i="67" s="1"/>
  <c r="AU24" i="67" s="1"/>
  <c r="AI25" i="67"/>
  <c r="AH26" i="67" s="1"/>
  <c r="O25" i="67"/>
  <c r="AD25" i="67" s="1"/>
  <c r="AG25" i="67" s="1"/>
  <c r="P33" i="66"/>
  <c r="Q33" i="66" s="1"/>
  <c r="AN33" i="66"/>
  <c r="AO33" i="66" s="1"/>
  <c r="AM33" i="66"/>
  <c r="CR32" i="15"/>
  <c r="CQ33" i="15" s="1"/>
  <c r="CO33" i="15" s="1"/>
  <c r="AK34" i="66"/>
  <c r="AL34" i="66" s="1"/>
  <c r="CS32" i="15"/>
  <c r="M34" i="66"/>
  <c r="N34" i="66" s="1"/>
  <c r="AT25" i="65"/>
  <c r="AU25" i="65" s="1"/>
  <c r="AQ25" i="65"/>
  <c r="AS25" i="65" s="1"/>
  <c r="AR26" i="66"/>
  <c r="G26" i="66"/>
  <c r="AE24" i="67"/>
  <c r="AF24" i="67"/>
  <c r="AF24" i="64"/>
  <c r="AE24" i="64"/>
  <c r="M25" i="64"/>
  <c r="N25" i="64" s="1"/>
  <c r="O25" i="64" s="1"/>
  <c r="AD25" i="64" s="1"/>
  <c r="AG25" i="64" s="1"/>
  <c r="AP24" i="64"/>
  <c r="AT24" i="64" s="1"/>
  <c r="AU24" i="64" s="1"/>
  <c r="AK25" i="64"/>
  <c r="AI25" i="64" s="1"/>
  <c r="AH26" i="64" s="1"/>
  <c r="AK25" i="61"/>
  <c r="AI25" i="61" s="1"/>
  <c r="AH26" i="61" s="1"/>
  <c r="M25" i="61"/>
  <c r="N25" i="61" s="1"/>
  <c r="O25" i="61" s="1"/>
  <c r="DB23" i="15"/>
  <c r="DA24" i="15" s="1"/>
  <c r="DC23" i="15"/>
  <c r="BL25" i="52"/>
  <c r="BX23" i="15"/>
  <c r="BW24" i="15" s="1"/>
  <c r="BY23" i="15"/>
  <c r="BN23" i="15"/>
  <c r="BM24" i="15" s="1"/>
  <c r="BO23" i="15"/>
  <c r="BL25" i="51"/>
  <c r="BL25" i="53"/>
  <c r="AM15" i="13"/>
  <c r="AQ24" i="15"/>
  <c r="BJ25" i="13"/>
  <c r="N23" i="15"/>
  <c r="BL25" i="50"/>
  <c r="W24" i="15"/>
  <c r="AX15" i="13"/>
  <c r="AG24" i="15"/>
  <c r="BQ25" i="56"/>
  <c r="BO25" i="56" s="1"/>
  <c r="BN26" i="56" s="1"/>
  <c r="CH23" i="15"/>
  <c r="CG24" i="15" s="1"/>
  <c r="BA24" i="15"/>
  <c r="AR25" i="56"/>
  <c r="CN34" i="15"/>
  <c r="DH30" i="15"/>
  <c r="DJ30" i="15" s="1"/>
  <c r="AQ16" i="56"/>
  <c r="AO16" i="56"/>
  <c r="BA16" i="56"/>
  <c r="BR17" i="53"/>
  <c r="BC16" i="53"/>
  <c r="BN16" i="52"/>
  <c r="BF16" i="52"/>
  <c r="BM16" i="52"/>
  <c r="BE16" i="52"/>
  <c r="AP16" i="52"/>
  <c r="O17" i="51"/>
  <c r="P17" i="51" s="1"/>
  <c r="BT16" i="50"/>
  <c r="BU16" i="50" s="1"/>
  <c r="BQ16" i="50"/>
  <c r="P32" i="65" l="1"/>
  <c r="Q32" i="65" s="1"/>
  <c r="DL30" i="15"/>
  <c r="DK31" i="15" s="1"/>
  <c r="DI31" i="15" s="1"/>
  <c r="AJ33" i="65" s="1"/>
  <c r="AK32" i="65"/>
  <c r="AL32" i="65" s="1"/>
  <c r="AN32" i="65" s="1"/>
  <c r="AO32" i="65" s="1"/>
  <c r="AQ24" i="67"/>
  <c r="AS24" i="67" s="1"/>
  <c r="AC24" i="67" s="1"/>
  <c r="G25" i="67" s="1"/>
  <c r="P25" i="67"/>
  <c r="Q25" i="67" s="1"/>
  <c r="AM25" i="67"/>
  <c r="AN25" i="67"/>
  <c r="O34" i="66"/>
  <c r="AD34" i="66" s="1"/>
  <c r="AG34" i="66" s="1"/>
  <c r="AJ35" i="66"/>
  <c r="CP33" i="15"/>
  <c r="AI34" i="66"/>
  <c r="AH35" i="66" s="1"/>
  <c r="AR26" i="65"/>
  <c r="AC25" i="65"/>
  <c r="AP26" i="66"/>
  <c r="AE24" i="66"/>
  <c r="AF24" i="66"/>
  <c r="AL25" i="64"/>
  <c r="AQ24" i="64"/>
  <c r="AS24" i="64" s="1"/>
  <c r="P25" i="64"/>
  <c r="Q25" i="64" s="1"/>
  <c r="AL25" i="61"/>
  <c r="P25" i="61"/>
  <c r="Q25" i="61" s="1"/>
  <c r="AD25" i="61"/>
  <c r="AG25" i="61" s="1"/>
  <c r="CY24" i="15"/>
  <c r="AJ26" i="67" s="1"/>
  <c r="BU24" i="15"/>
  <c r="BK24" i="15"/>
  <c r="BK25" i="13"/>
  <c r="BI25" i="13" s="1"/>
  <c r="BH26" i="13" s="1"/>
  <c r="P23" i="15"/>
  <c r="O24" i="15" s="1"/>
  <c r="BJ26" i="53"/>
  <c r="BB24" i="15"/>
  <c r="BE24" i="15" s="1"/>
  <c r="BJ26" i="51"/>
  <c r="AH24" i="15"/>
  <c r="AK24" i="15" s="1"/>
  <c r="AL25" i="13"/>
  <c r="CE24" i="15"/>
  <c r="Q23" i="15"/>
  <c r="BB15" i="13"/>
  <c r="BJ26" i="52"/>
  <c r="AR24" i="15"/>
  <c r="BR25" i="56"/>
  <c r="BJ26" i="50"/>
  <c r="X24" i="15"/>
  <c r="AA24" i="15" s="1"/>
  <c r="AN15" i="13"/>
  <c r="DM30" i="15"/>
  <c r="BD16" i="56"/>
  <c r="AS16" i="56"/>
  <c r="O17" i="53"/>
  <c r="P17" i="53" s="1"/>
  <c r="BP16" i="52"/>
  <c r="BO16" i="52"/>
  <c r="BS16" i="50"/>
  <c r="AM32" i="65" l="1"/>
  <c r="M33" i="65"/>
  <c r="N33" i="65" s="1"/>
  <c r="AI32" i="65"/>
  <c r="AH33" i="65" s="1"/>
  <c r="AR25" i="67"/>
  <c r="AP25" i="67" s="1"/>
  <c r="AT25" i="67" s="1"/>
  <c r="AU25" i="67" s="1"/>
  <c r="M26" i="67"/>
  <c r="N26" i="67" s="1"/>
  <c r="AO25" i="67"/>
  <c r="CR33" i="15"/>
  <c r="CQ34" i="15" s="1"/>
  <c r="CO34" i="15" s="1"/>
  <c r="AK35" i="66"/>
  <c r="AI35" i="66" s="1"/>
  <c r="AH36" i="66" s="1"/>
  <c r="CS33" i="15"/>
  <c r="M35" i="66"/>
  <c r="N35" i="66" s="1"/>
  <c r="P34" i="66"/>
  <c r="Q34" i="66" s="1"/>
  <c r="AM34" i="66"/>
  <c r="AN34" i="66"/>
  <c r="AO34" i="66" s="1"/>
  <c r="AP26" i="65"/>
  <c r="AT26" i="66"/>
  <c r="AU26" i="66" s="1"/>
  <c r="AQ26" i="66"/>
  <c r="AS26" i="66" s="1"/>
  <c r="AC26" i="66" s="1"/>
  <c r="AF24" i="65"/>
  <c r="AE24" i="65"/>
  <c r="G25" i="65"/>
  <c r="AR25" i="64"/>
  <c r="AC24" i="64"/>
  <c r="G25" i="64" s="1"/>
  <c r="AM25" i="64"/>
  <c r="AJ26" i="64"/>
  <c r="AJ26" i="61"/>
  <c r="CZ24" i="15"/>
  <c r="BL25" i="13"/>
  <c r="BV24" i="15"/>
  <c r="BL24" i="15"/>
  <c r="BO24" i="15" s="1"/>
  <c r="BK26" i="51"/>
  <c r="BI26" i="51" s="1"/>
  <c r="BH27" i="51" s="1"/>
  <c r="AJ24" i="15"/>
  <c r="AI25" i="15" s="1"/>
  <c r="AL26" i="51"/>
  <c r="BD15" i="13"/>
  <c r="BG15" i="13" s="1"/>
  <c r="BK26" i="52"/>
  <c r="BI26" i="52" s="1"/>
  <c r="BH27" i="52" s="1"/>
  <c r="AT24" i="15"/>
  <c r="AS25" i="15" s="1"/>
  <c r="BK26" i="53"/>
  <c r="BI26" i="53" s="1"/>
  <c r="BH27" i="53" s="1"/>
  <c r="BD24" i="15"/>
  <c r="BC25" i="15" s="1"/>
  <c r="AO15" i="13"/>
  <c r="AU24" i="15"/>
  <c r="BP26" i="56"/>
  <c r="CF24" i="15"/>
  <c r="CI24" i="15" s="1"/>
  <c r="AL26" i="53"/>
  <c r="AL26" i="52"/>
  <c r="M24" i="15"/>
  <c r="AL26" i="50"/>
  <c r="BK26" i="50"/>
  <c r="BI26" i="50" s="1"/>
  <c r="BH27" i="50" s="1"/>
  <c r="Z24" i="15"/>
  <c r="Y25" i="15" s="1"/>
  <c r="CN35" i="15"/>
  <c r="DH31" i="15"/>
  <c r="DJ31" i="15" s="1"/>
  <c r="AT16" i="56"/>
  <c r="BH16" i="56"/>
  <c r="BT16" i="52"/>
  <c r="BU16" i="52" s="1"/>
  <c r="BQ16" i="52"/>
  <c r="AH17" i="51"/>
  <c r="AS17" i="51"/>
  <c r="BR17" i="50"/>
  <c r="BC16" i="50"/>
  <c r="DL31" i="15" l="1"/>
  <c r="DK32" i="15" s="1"/>
  <c r="DI32" i="15" s="1"/>
  <c r="AJ34" i="65" s="1"/>
  <c r="AK33" i="65"/>
  <c r="AL33" i="65" s="1"/>
  <c r="O33" i="65"/>
  <c r="AD33" i="65" s="1"/>
  <c r="AG33" i="65" s="1"/>
  <c r="AQ25" i="67"/>
  <c r="AS25" i="67" s="1"/>
  <c r="AC25" i="67" s="1"/>
  <c r="G26" i="67" s="1"/>
  <c r="DC24" i="15"/>
  <c r="AK26" i="67"/>
  <c r="O26" i="67"/>
  <c r="AD26" i="67" s="1"/>
  <c r="AG26" i="67" s="1"/>
  <c r="AL35" i="66"/>
  <c r="O35" i="66"/>
  <c r="AD35" i="66" s="1"/>
  <c r="AG35" i="66" s="1"/>
  <c r="AJ36" i="66"/>
  <c r="M36" i="66" s="1"/>
  <c r="N36" i="66" s="1"/>
  <c r="CP34" i="15"/>
  <c r="AT26" i="65"/>
  <c r="AU26" i="65" s="1"/>
  <c r="AQ26" i="65"/>
  <c r="AS26" i="65" s="1"/>
  <c r="AR27" i="66"/>
  <c r="G27" i="66"/>
  <c r="AE25" i="64"/>
  <c r="AF25" i="64"/>
  <c r="M26" i="64"/>
  <c r="N26" i="64" s="1"/>
  <c r="O26" i="64" s="1"/>
  <c r="AD26" i="64" s="1"/>
  <c r="AG26" i="64" s="1"/>
  <c r="AN25" i="64"/>
  <c r="AO25" i="64" s="1"/>
  <c r="M26" i="61"/>
  <c r="N26" i="61" s="1"/>
  <c r="O26" i="61" s="1"/>
  <c r="AK26" i="64"/>
  <c r="AI26" i="64" s="1"/>
  <c r="AH27" i="64" s="1"/>
  <c r="AK26" i="61"/>
  <c r="AI26" i="61" s="1"/>
  <c r="AH27" i="61" s="1"/>
  <c r="BY24" i="15"/>
  <c r="DB24" i="15"/>
  <c r="DA25" i="15" s="1"/>
  <c r="BL26" i="53"/>
  <c r="BL26" i="51"/>
  <c r="BX24" i="15"/>
  <c r="BW25" i="15" s="1"/>
  <c r="BN24" i="15"/>
  <c r="BM25" i="15" s="1"/>
  <c r="BE15" i="13"/>
  <c r="BN15" i="13"/>
  <c r="BF15" i="13"/>
  <c r="BM15" i="13"/>
  <c r="AP15" i="13"/>
  <c r="BA25" i="15"/>
  <c r="BL26" i="50"/>
  <c r="AQ25" i="15"/>
  <c r="AG25" i="15"/>
  <c r="N24" i="15"/>
  <c r="BJ26" i="13"/>
  <c r="BQ26" i="56"/>
  <c r="BO26" i="56" s="1"/>
  <c r="BN27" i="56" s="1"/>
  <c r="CH24" i="15"/>
  <c r="CG25" i="15" s="1"/>
  <c r="W25" i="15"/>
  <c r="BL26" i="52"/>
  <c r="AR26" i="56"/>
  <c r="DM31" i="15"/>
  <c r="BJ16" i="56"/>
  <c r="BM16" i="56" s="1"/>
  <c r="AU16" i="56"/>
  <c r="AH17" i="53"/>
  <c r="AS17" i="53"/>
  <c r="BS16" i="52"/>
  <c r="AU17" i="51"/>
  <c r="AK17" i="51"/>
  <c r="AI17" i="51"/>
  <c r="O17" i="50"/>
  <c r="P17" i="50" s="1"/>
  <c r="P33" i="65" l="1"/>
  <c r="Q33" i="65" s="1"/>
  <c r="AN33" i="65"/>
  <c r="AO33" i="65" s="1"/>
  <c r="AM33" i="65"/>
  <c r="M34" i="65"/>
  <c r="N34" i="65" s="1"/>
  <c r="AI33" i="65"/>
  <c r="AH34" i="65" s="1"/>
  <c r="AR26" i="67"/>
  <c r="P26" i="67"/>
  <c r="Q26" i="67" s="1"/>
  <c r="AI26" i="67"/>
  <c r="AH27" i="67" s="1"/>
  <c r="AL26" i="67"/>
  <c r="AN26" i="67" s="1"/>
  <c r="P35" i="66"/>
  <c r="Q35" i="66" s="1"/>
  <c r="CR34" i="15"/>
  <c r="CQ35" i="15" s="1"/>
  <c r="CO35" i="15" s="1"/>
  <c r="AK36" i="66"/>
  <c r="CS34" i="15"/>
  <c r="O36" i="66"/>
  <c r="AD36" i="66" s="1"/>
  <c r="AG36" i="66" s="1"/>
  <c r="AN35" i="66"/>
  <c r="AO35" i="66" s="1"/>
  <c r="AM35" i="66"/>
  <c r="AR27" i="65"/>
  <c r="AC26" i="65"/>
  <c r="AP27" i="66"/>
  <c r="AF25" i="67"/>
  <c r="AE25" i="67"/>
  <c r="AE25" i="66"/>
  <c r="AF25" i="66"/>
  <c r="AL26" i="64"/>
  <c r="AP25" i="64"/>
  <c r="AT25" i="64" s="1"/>
  <c r="AU25" i="64" s="1"/>
  <c r="AL26" i="61"/>
  <c r="P26" i="61"/>
  <c r="Q26" i="61" s="1"/>
  <c r="AD26" i="61"/>
  <c r="AG26" i="61" s="1"/>
  <c r="CY25" i="15"/>
  <c r="AJ27" i="67" s="1"/>
  <c r="BU25" i="15"/>
  <c r="BK25" i="15"/>
  <c r="BR26" i="56"/>
  <c r="AL26" i="13"/>
  <c r="BK26" i="13"/>
  <c r="BI26" i="13" s="1"/>
  <c r="BH27" i="13" s="1"/>
  <c r="P24" i="15"/>
  <c r="O25" i="15" s="1"/>
  <c r="BJ27" i="50"/>
  <c r="X25" i="15"/>
  <c r="BJ27" i="53"/>
  <c r="BB25" i="15"/>
  <c r="CE25" i="15"/>
  <c r="BJ27" i="51"/>
  <c r="AH25" i="15"/>
  <c r="BP15" i="13"/>
  <c r="BO15" i="13"/>
  <c r="Q24" i="15"/>
  <c r="BJ27" i="52"/>
  <c r="AR25" i="15"/>
  <c r="AU25" i="15" s="1"/>
  <c r="CN36" i="15"/>
  <c r="DH32" i="15"/>
  <c r="DJ32" i="15" s="1"/>
  <c r="BT16" i="56"/>
  <c r="BK16" i="56"/>
  <c r="BS16" i="56"/>
  <c r="BL16" i="56"/>
  <c r="AV16" i="56"/>
  <c r="AU17" i="53"/>
  <c r="AK17" i="53"/>
  <c r="AI17" i="53"/>
  <c r="BR17" i="52"/>
  <c r="BC16" i="52"/>
  <c r="AM17" i="51"/>
  <c r="AX17" i="51"/>
  <c r="O34" i="65" l="1"/>
  <c r="AD34" i="65" s="1"/>
  <c r="AG34" i="65" s="1"/>
  <c r="DL32" i="15"/>
  <c r="DK33" i="15" s="1"/>
  <c r="AK34" i="65"/>
  <c r="AL34" i="65" s="1"/>
  <c r="AO26" i="67"/>
  <c r="AP26" i="67"/>
  <c r="AT26" i="67" s="1"/>
  <c r="AU26" i="67" s="1"/>
  <c r="M27" i="67"/>
  <c r="N27" i="67" s="1"/>
  <c r="AM26" i="67"/>
  <c r="P36" i="66"/>
  <c r="Q36" i="66" s="1"/>
  <c r="AL36" i="66"/>
  <c r="AM36" i="66" s="1"/>
  <c r="AI36" i="66"/>
  <c r="AH37" i="66" s="1"/>
  <c r="AJ37" i="66"/>
  <c r="CP35" i="15"/>
  <c r="CS35" i="15" s="1"/>
  <c r="AP27" i="65"/>
  <c r="AQ27" i="66"/>
  <c r="AS27" i="66" s="1"/>
  <c r="AC27" i="66" s="1"/>
  <c r="AT27" i="66"/>
  <c r="AU27" i="66" s="1"/>
  <c r="AE25" i="65"/>
  <c r="AF25" i="65"/>
  <c r="G26" i="65"/>
  <c r="AQ25" i="64"/>
  <c r="AS25" i="64" s="1"/>
  <c r="AM26" i="64"/>
  <c r="P26" i="64"/>
  <c r="Q26" i="64" s="1"/>
  <c r="AJ27" i="64"/>
  <c r="AJ27" i="61"/>
  <c r="M27" i="61" s="1"/>
  <c r="N27" i="61" s="1"/>
  <c r="CZ25" i="15"/>
  <c r="AK27" i="67" s="1"/>
  <c r="AI27" i="67" s="1"/>
  <c r="AH28" i="67" s="1"/>
  <c r="BQ15" i="13"/>
  <c r="BS15" i="13" s="1"/>
  <c r="BV25" i="15"/>
  <c r="BL25" i="15"/>
  <c r="BO25" i="15" s="1"/>
  <c r="BP27" i="56"/>
  <c r="CF25" i="15"/>
  <c r="CI25" i="15" s="1"/>
  <c r="BK27" i="50"/>
  <c r="BI27" i="50" s="1"/>
  <c r="BH28" i="50" s="1"/>
  <c r="Z25" i="15"/>
  <c r="Y26" i="15" s="1"/>
  <c r="AL27" i="50"/>
  <c r="BK27" i="53"/>
  <c r="BI27" i="53" s="1"/>
  <c r="BH28" i="53" s="1"/>
  <c r="BD25" i="15"/>
  <c r="BC26" i="15" s="1"/>
  <c r="M25" i="15"/>
  <c r="AL27" i="52"/>
  <c r="BK27" i="51"/>
  <c r="BI27" i="51" s="1"/>
  <c r="BH28" i="51" s="1"/>
  <c r="AJ25" i="15"/>
  <c r="AI26" i="15" s="1"/>
  <c r="BE25" i="15"/>
  <c r="AK25" i="15"/>
  <c r="AL27" i="53"/>
  <c r="BT15" i="13"/>
  <c r="BU15" i="13" s="1"/>
  <c r="BK27" i="52"/>
  <c r="BI27" i="52" s="1"/>
  <c r="BH28" i="52" s="1"/>
  <c r="AT25" i="15"/>
  <c r="AS26" i="15" s="1"/>
  <c r="AL27" i="51"/>
  <c r="AA25" i="15"/>
  <c r="BL26" i="13"/>
  <c r="DM32" i="15"/>
  <c r="DI33" i="15"/>
  <c r="AJ35" i="65" s="1"/>
  <c r="BV16" i="56"/>
  <c r="BU16" i="56"/>
  <c r="AM17" i="53"/>
  <c r="AX17" i="53"/>
  <c r="O17" i="52"/>
  <c r="P17" i="52" s="1"/>
  <c r="BB17" i="51"/>
  <c r="AN17" i="51"/>
  <c r="AH17" i="50"/>
  <c r="AS17" i="50"/>
  <c r="P34" i="65" l="1"/>
  <c r="Q34" i="65" s="1"/>
  <c r="M35" i="65"/>
  <c r="N35" i="65" s="1"/>
  <c r="AM34" i="65"/>
  <c r="AN34" i="65"/>
  <c r="AO34" i="65" s="1"/>
  <c r="AI34" i="65"/>
  <c r="AH35" i="65" s="1"/>
  <c r="AQ26" i="67"/>
  <c r="AS26" i="67" s="1"/>
  <c r="AC26" i="67" s="1"/>
  <c r="G27" i="67" s="1"/>
  <c r="AL27" i="67"/>
  <c r="O27" i="67"/>
  <c r="AD27" i="67" s="1"/>
  <c r="AG27" i="67" s="1"/>
  <c r="M37" i="66"/>
  <c r="N37" i="66" s="1"/>
  <c r="AN36" i="66"/>
  <c r="AO36" i="66" s="1"/>
  <c r="CR35" i="15"/>
  <c r="CQ36" i="15" s="1"/>
  <c r="CO36" i="15" s="1"/>
  <c r="AK37" i="66"/>
  <c r="AL37" i="66" s="1"/>
  <c r="AQ27" i="65"/>
  <c r="AS27" i="65" s="1"/>
  <c r="AT27" i="65"/>
  <c r="AU27" i="65" s="1"/>
  <c r="AR28" i="66"/>
  <c r="G28" i="66"/>
  <c r="AR26" i="64"/>
  <c r="AC25" i="64"/>
  <c r="G26" i="64" s="1"/>
  <c r="M27" i="64"/>
  <c r="N27" i="64" s="1"/>
  <c r="O27" i="64" s="1"/>
  <c r="AD27" i="64" s="1"/>
  <c r="AG27" i="64" s="1"/>
  <c r="AN26" i="64"/>
  <c r="AK27" i="64"/>
  <c r="AI27" i="64" s="1"/>
  <c r="AH28" i="64" s="1"/>
  <c r="AK27" i="61"/>
  <c r="AN16" i="61"/>
  <c r="AM16" i="61"/>
  <c r="O27" i="61"/>
  <c r="DB25" i="15"/>
  <c r="DA26" i="15" s="1"/>
  <c r="DC25" i="15"/>
  <c r="BL27" i="53"/>
  <c r="BX25" i="15"/>
  <c r="BW26" i="15" s="1"/>
  <c r="BY25" i="15"/>
  <c r="BN25" i="15"/>
  <c r="BM26" i="15" s="1"/>
  <c r="BL27" i="51"/>
  <c r="BL27" i="50"/>
  <c r="BL27" i="52"/>
  <c r="AG26" i="15"/>
  <c r="BQ27" i="56"/>
  <c r="BO27" i="56" s="1"/>
  <c r="BN28" i="56" s="1"/>
  <c r="CH25" i="15"/>
  <c r="CG26" i="15" s="1"/>
  <c r="AR27" i="56"/>
  <c r="AQ26" i="15"/>
  <c r="BJ27" i="13"/>
  <c r="N25" i="15"/>
  <c r="W26" i="15"/>
  <c r="BA26" i="15"/>
  <c r="BR16" i="13"/>
  <c r="BC15" i="13"/>
  <c r="CN37" i="15"/>
  <c r="DH33" i="15"/>
  <c r="DJ33" i="15" s="1"/>
  <c r="BZ16" i="56"/>
  <c r="CA16" i="56" s="1"/>
  <c r="BW16" i="56"/>
  <c r="BB17" i="53"/>
  <c r="AN17" i="53"/>
  <c r="AO17" i="53" s="1"/>
  <c r="BD17" i="51"/>
  <c r="BG17" i="51" s="1"/>
  <c r="AO17" i="51"/>
  <c r="AU17" i="50"/>
  <c r="AK17" i="50"/>
  <c r="AI17" i="50"/>
  <c r="AR27" i="67" l="1"/>
  <c r="DL33" i="15"/>
  <c r="DK34" i="15" s="1"/>
  <c r="DI34" i="15" s="1"/>
  <c r="AJ36" i="65" s="1"/>
  <c r="M36" i="65" s="1"/>
  <c r="N36" i="65" s="1"/>
  <c r="AK35" i="65"/>
  <c r="AL35" i="65" s="1"/>
  <c r="O35" i="65"/>
  <c r="AD35" i="65" s="1"/>
  <c r="AG35" i="65" s="1"/>
  <c r="P27" i="67"/>
  <c r="Q27" i="67" s="1"/>
  <c r="AM27" i="67"/>
  <c r="AN27" i="67"/>
  <c r="AJ38" i="66"/>
  <c r="CP36" i="15"/>
  <c r="AI37" i="66"/>
  <c r="AH38" i="66" s="1"/>
  <c r="O37" i="66"/>
  <c r="AD37" i="66" s="1"/>
  <c r="AG37" i="66" s="1"/>
  <c r="AR28" i="65"/>
  <c r="AC27" i="65"/>
  <c r="AP28" i="66"/>
  <c r="AE26" i="67"/>
  <c r="AF26" i="67"/>
  <c r="AE26" i="66"/>
  <c r="AF26" i="66"/>
  <c r="AE26" i="65"/>
  <c r="AF26" i="65"/>
  <c r="AL27" i="64"/>
  <c r="AF26" i="64"/>
  <c r="AE26" i="64"/>
  <c r="AO26" i="64"/>
  <c r="AP26" i="64"/>
  <c r="AT26" i="64" s="1"/>
  <c r="AU26" i="64" s="1"/>
  <c r="AL27" i="61"/>
  <c r="AI27" i="61"/>
  <c r="AH28" i="61" s="1"/>
  <c r="P27" i="61"/>
  <c r="Q27" i="61" s="1"/>
  <c r="AD27" i="61"/>
  <c r="AG27" i="61" s="1"/>
  <c r="AO16" i="61"/>
  <c r="AP16" i="61"/>
  <c r="AT16" i="61" s="1"/>
  <c r="AU16" i="61" s="1"/>
  <c r="CY26" i="15"/>
  <c r="AJ28" i="67" s="1"/>
  <c r="M28" i="67" s="1"/>
  <c r="N28" i="67" s="1"/>
  <c r="BU26" i="15"/>
  <c r="BK26" i="15"/>
  <c r="BK27" i="13"/>
  <c r="BI27" i="13" s="1"/>
  <c r="BH28" i="13" s="1"/>
  <c r="P25" i="15"/>
  <c r="O26" i="15" s="1"/>
  <c r="Q25" i="15"/>
  <c r="AL27" i="13"/>
  <c r="BJ28" i="52"/>
  <c r="AR26" i="15"/>
  <c r="AU26" i="15" s="1"/>
  <c r="O16" i="13"/>
  <c r="P16" i="13" s="1"/>
  <c r="BR27" i="56"/>
  <c r="BJ28" i="51"/>
  <c r="AH26" i="15"/>
  <c r="AK26" i="15" s="1"/>
  <c r="BJ28" i="53"/>
  <c r="AL28" i="53" s="1"/>
  <c r="BB26" i="15"/>
  <c r="BE26" i="15" s="1"/>
  <c r="BJ28" i="50"/>
  <c r="X26" i="15"/>
  <c r="AA26" i="15" s="1"/>
  <c r="CE26" i="15"/>
  <c r="DM33" i="15"/>
  <c r="BY16" i="56"/>
  <c r="BI16" i="56" s="1"/>
  <c r="AP17" i="53"/>
  <c r="BD17" i="53"/>
  <c r="BG17" i="53" s="1"/>
  <c r="AH17" i="52"/>
  <c r="AS17" i="52"/>
  <c r="AP17" i="51"/>
  <c r="BN17" i="51"/>
  <c r="BM17" i="51"/>
  <c r="BF17" i="51"/>
  <c r="BE17" i="51"/>
  <c r="AM17" i="50"/>
  <c r="AX17" i="50"/>
  <c r="P35" i="65" l="1"/>
  <c r="Q35" i="65" s="1"/>
  <c r="AN35" i="65"/>
  <c r="AO35" i="65" s="1"/>
  <c r="AM35" i="65"/>
  <c r="O36" i="65"/>
  <c r="AD36" i="65" s="1"/>
  <c r="AG36" i="65" s="1"/>
  <c r="AI35" i="65"/>
  <c r="AH36" i="65" s="1"/>
  <c r="O28" i="67"/>
  <c r="AD28" i="67" s="1"/>
  <c r="AG28" i="67" s="1"/>
  <c r="AO27" i="67"/>
  <c r="AP27" i="67"/>
  <c r="AT27" i="67" s="1"/>
  <c r="AU27" i="67" s="1"/>
  <c r="P37" i="66"/>
  <c r="Q37" i="66" s="1"/>
  <c r="AM37" i="66"/>
  <c r="AN37" i="66"/>
  <c r="AO37" i="66" s="1"/>
  <c r="CR36" i="15"/>
  <c r="CQ37" i="15" s="1"/>
  <c r="CO37" i="15" s="1"/>
  <c r="AK38" i="66"/>
  <c r="AL38" i="66" s="1"/>
  <c r="CS36" i="15"/>
  <c r="M38" i="66"/>
  <c r="N38" i="66" s="1"/>
  <c r="AP28" i="65"/>
  <c r="AT28" i="66"/>
  <c r="AU28" i="66" s="1"/>
  <c r="AQ28" i="66"/>
  <c r="AS28" i="66" s="1"/>
  <c r="AC28" i="66" s="1"/>
  <c r="G27" i="65"/>
  <c r="AQ26" i="64"/>
  <c r="AS26" i="64" s="1"/>
  <c r="AM27" i="64"/>
  <c r="P27" i="64"/>
  <c r="Q27" i="64" s="1"/>
  <c r="AJ28" i="64"/>
  <c r="AJ28" i="61"/>
  <c r="AQ16" i="61"/>
  <c r="AS16" i="61" s="1"/>
  <c r="CZ26" i="15"/>
  <c r="AK28" i="67" s="1"/>
  <c r="BL27" i="13"/>
  <c r="BV26" i="15"/>
  <c r="BL26" i="15"/>
  <c r="AL28" i="50"/>
  <c r="AL28" i="52"/>
  <c r="BK28" i="51"/>
  <c r="BI28" i="51" s="1"/>
  <c r="BH29" i="51" s="1"/>
  <c r="AJ26" i="15"/>
  <c r="AI27" i="15" s="1"/>
  <c r="AL28" i="51"/>
  <c r="BP28" i="56"/>
  <c r="CF26" i="15"/>
  <c r="CI26" i="15" s="1"/>
  <c r="BK28" i="50"/>
  <c r="BI28" i="50" s="1"/>
  <c r="BH29" i="50" s="1"/>
  <c r="Z26" i="15"/>
  <c r="Y27" i="15" s="1"/>
  <c r="BK28" i="53"/>
  <c r="BD26" i="15"/>
  <c r="BC27" i="15" s="1"/>
  <c r="BK28" i="52"/>
  <c r="BI28" i="52" s="1"/>
  <c r="BH29" i="52" s="1"/>
  <c r="AT26" i="15"/>
  <c r="AS27" i="15" s="1"/>
  <c r="M26" i="15"/>
  <c r="CN38" i="15"/>
  <c r="DH34" i="15"/>
  <c r="DJ34" i="15" s="1"/>
  <c r="BX17" i="56"/>
  <c r="BN17" i="53"/>
  <c r="BF17" i="53"/>
  <c r="BE17" i="53"/>
  <c r="BM17" i="53"/>
  <c r="AU17" i="52"/>
  <c r="AK17" i="52"/>
  <c r="AI17" i="52"/>
  <c r="BP17" i="51"/>
  <c r="BQ17" i="51" s="1"/>
  <c r="BS17" i="51" s="1"/>
  <c r="BO17" i="51"/>
  <c r="BB17" i="50"/>
  <c r="AN17" i="50"/>
  <c r="P36" i="65" l="1"/>
  <c r="Q36" i="65" s="1"/>
  <c r="DL34" i="15"/>
  <c r="DK35" i="15" s="1"/>
  <c r="AK36" i="65"/>
  <c r="AL36" i="65" s="1"/>
  <c r="AN36" i="65" s="1"/>
  <c r="AO36" i="65" s="1"/>
  <c r="AQ27" i="67"/>
  <c r="AS27" i="67" s="1"/>
  <c r="AC27" i="67" s="1"/>
  <c r="G28" i="67" s="1"/>
  <c r="P28" i="67"/>
  <c r="Q28" i="67" s="1"/>
  <c r="AL28" i="67"/>
  <c r="AM28" i="67" s="1"/>
  <c r="AI28" i="67"/>
  <c r="AH29" i="67" s="1"/>
  <c r="AJ39" i="66"/>
  <c r="CP37" i="15"/>
  <c r="CS37" i="15" s="1"/>
  <c r="AI38" i="66"/>
  <c r="AH39" i="66" s="1"/>
  <c r="O38" i="66"/>
  <c r="AD38" i="66" s="1"/>
  <c r="AG38" i="66" s="1"/>
  <c r="AT28" i="65"/>
  <c r="AU28" i="65" s="1"/>
  <c r="AQ28" i="65"/>
  <c r="AS28" i="65" s="1"/>
  <c r="AR29" i="66"/>
  <c r="G29" i="66"/>
  <c r="AF27" i="67"/>
  <c r="AE27" i="67"/>
  <c r="AR27" i="64"/>
  <c r="AC26" i="64"/>
  <c r="G27" i="64" s="1"/>
  <c r="M28" i="64"/>
  <c r="N28" i="64" s="1"/>
  <c r="O28" i="64" s="1"/>
  <c r="AD28" i="64" s="1"/>
  <c r="AG28" i="64" s="1"/>
  <c r="AN27" i="64"/>
  <c r="AO27" i="64" s="1"/>
  <c r="AK28" i="64"/>
  <c r="AI28" i="64" s="1"/>
  <c r="AH29" i="64" s="1"/>
  <c r="AK28" i="61"/>
  <c r="AI28" i="61" s="1"/>
  <c r="AH29" i="61" s="1"/>
  <c r="M28" i="61"/>
  <c r="N28" i="61" s="1"/>
  <c r="O28" i="61" s="1"/>
  <c r="AR17" i="61"/>
  <c r="AC16" i="61"/>
  <c r="G17" i="61" s="1"/>
  <c r="BY26" i="15"/>
  <c r="DB26" i="15"/>
  <c r="DA27" i="15" s="1"/>
  <c r="DC26" i="15"/>
  <c r="BX26" i="15"/>
  <c r="BW27" i="15" s="1"/>
  <c r="BN26" i="15"/>
  <c r="BM27" i="15" s="1"/>
  <c r="BO26" i="15"/>
  <c r="AS16" i="13"/>
  <c r="AH16" i="13"/>
  <c r="AG27" i="15"/>
  <c r="BA27" i="15"/>
  <c r="BL28" i="53"/>
  <c r="BI28" i="53"/>
  <c r="BH29" i="53" s="1"/>
  <c r="BQ28" i="56"/>
  <c r="BO28" i="56" s="1"/>
  <c r="BN29" i="56" s="1"/>
  <c r="CH26" i="15"/>
  <c r="CG27" i="15" s="1"/>
  <c r="W27" i="15"/>
  <c r="AR28" i="56"/>
  <c r="BL28" i="51"/>
  <c r="BL28" i="52"/>
  <c r="N26" i="15"/>
  <c r="BJ28" i="13"/>
  <c r="AQ27" i="15"/>
  <c r="BL28" i="50"/>
  <c r="DM34" i="15"/>
  <c r="DI35" i="15"/>
  <c r="AJ37" i="65" s="1"/>
  <c r="U17" i="56"/>
  <c r="V17" i="56" s="1"/>
  <c r="BP17" i="53"/>
  <c r="BQ17" i="53" s="1"/>
  <c r="BS17" i="53" s="1"/>
  <c r="BO17" i="53"/>
  <c r="AM17" i="52"/>
  <c r="AX17" i="52"/>
  <c r="BR18" i="51"/>
  <c r="BC17" i="51"/>
  <c r="O18" i="51" s="1"/>
  <c r="P18" i="51" s="1"/>
  <c r="BT17" i="51"/>
  <c r="BD17" i="50"/>
  <c r="BG17" i="50" s="1"/>
  <c r="AO17" i="50"/>
  <c r="AN28" i="67" l="1"/>
  <c r="AO28" i="67" s="1"/>
  <c r="AM36" i="65"/>
  <c r="M37" i="65"/>
  <c r="N37" i="65" s="1"/>
  <c r="AI36" i="65"/>
  <c r="AH37" i="65" s="1"/>
  <c r="AR28" i="67"/>
  <c r="P38" i="66"/>
  <c r="Q38" i="66" s="1"/>
  <c r="AN38" i="66"/>
  <c r="AO38" i="66" s="1"/>
  <c r="AM38" i="66"/>
  <c r="CR37" i="15"/>
  <c r="CQ38" i="15" s="1"/>
  <c r="CO38" i="15" s="1"/>
  <c r="AK39" i="66"/>
  <c r="AI39" i="66" s="1"/>
  <c r="AH40" i="66" s="1"/>
  <c r="M39" i="66"/>
  <c r="N39" i="66" s="1"/>
  <c r="AR29" i="65"/>
  <c r="AC28" i="65"/>
  <c r="AP29" i="66"/>
  <c r="AF27" i="66"/>
  <c r="AE27" i="66"/>
  <c r="AE27" i="65"/>
  <c r="AF27" i="65"/>
  <c r="AL28" i="64"/>
  <c r="G28" i="65"/>
  <c r="AE27" i="64"/>
  <c r="AF27" i="64"/>
  <c r="AP27" i="64"/>
  <c r="AT27" i="64" s="1"/>
  <c r="AU27" i="64" s="1"/>
  <c r="AL28" i="61"/>
  <c r="P28" i="61"/>
  <c r="Q28" i="61" s="1"/>
  <c r="AD28" i="61"/>
  <c r="AG28" i="61" s="1"/>
  <c r="AF17" i="61"/>
  <c r="AE17" i="61"/>
  <c r="CY27" i="15"/>
  <c r="AJ29" i="67" s="1"/>
  <c r="BU27" i="15"/>
  <c r="BK27" i="15"/>
  <c r="BK28" i="13"/>
  <c r="BI28" i="13" s="1"/>
  <c r="BH29" i="13" s="1"/>
  <c r="P26" i="15"/>
  <c r="O27" i="15" s="1"/>
  <c r="BJ29" i="50"/>
  <c r="X27" i="15"/>
  <c r="AA27" i="15" s="1"/>
  <c r="BJ29" i="53"/>
  <c r="BB27" i="15"/>
  <c r="CE27" i="15"/>
  <c r="BJ29" i="51"/>
  <c r="AH27" i="15"/>
  <c r="BR28" i="56"/>
  <c r="AK16" i="13"/>
  <c r="AI16" i="13"/>
  <c r="BJ29" i="52"/>
  <c r="AR27" i="15"/>
  <c r="AU27" i="15" s="1"/>
  <c r="AL28" i="13"/>
  <c r="AU16" i="13"/>
  <c r="Q26" i="15"/>
  <c r="CN39" i="15"/>
  <c r="DH35" i="15"/>
  <c r="DJ35" i="15" s="1"/>
  <c r="BT17" i="53"/>
  <c r="BR18" i="53"/>
  <c r="BC17" i="53"/>
  <c r="O18" i="53" s="1"/>
  <c r="P18" i="53" s="1"/>
  <c r="BB17" i="52"/>
  <c r="AN17" i="52"/>
  <c r="AO17" i="52" s="1"/>
  <c r="BU17" i="51"/>
  <c r="AH18" i="51"/>
  <c r="AS18" i="51"/>
  <c r="AU18" i="51" s="1"/>
  <c r="AX18" i="51" s="1"/>
  <c r="BB18" i="51" s="1"/>
  <c r="BN17" i="50"/>
  <c r="BM17" i="50"/>
  <c r="BF17" i="50"/>
  <c r="BE17" i="50"/>
  <c r="AP17" i="50"/>
  <c r="AL39" i="66" l="1"/>
  <c r="AP28" i="67"/>
  <c r="AT28" i="67" s="1"/>
  <c r="AU28" i="67" s="1"/>
  <c r="O37" i="65"/>
  <c r="AD37" i="65" s="1"/>
  <c r="AG37" i="65" s="1"/>
  <c r="DL35" i="15"/>
  <c r="DK36" i="15" s="1"/>
  <c r="DI36" i="15" s="1"/>
  <c r="AJ38" i="65" s="1"/>
  <c r="AK37" i="65"/>
  <c r="AL37" i="65" s="1"/>
  <c r="M29" i="67"/>
  <c r="N29" i="67" s="1"/>
  <c r="O39" i="66"/>
  <c r="AD39" i="66" s="1"/>
  <c r="AG39" i="66" s="1"/>
  <c r="AJ40" i="66"/>
  <c r="CP38" i="15"/>
  <c r="CS38" i="15" s="1"/>
  <c r="AP29" i="65"/>
  <c r="AT29" i="66"/>
  <c r="AU29" i="66" s="1"/>
  <c r="AQ29" i="66"/>
  <c r="AS29" i="66" s="1"/>
  <c r="AC29" i="66" s="1"/>
  <c r="AQ27" i="64"/>
  <c r="AS27" i="64" s="1"/>
  <c r="AM28" i="64"/>
  <c r="P28" i="64"/>
  <c r="Q28" i="64" s="1"/>
  <c r="AJ29" i="64"/>
  <c r="AJ29" i="61"/>
  <c r="CZ27" i="15"/>
  <c r="AK29" i="67" s="1"/>
  <c r="AI29" i="67" s="1"/>
  <c r="AH30" i="67" s="1"/>
  <c r="BL28" i="13"/>
  <c r="BV27" i="15"/>
  <c r="BL27" i="15"/>
  <c r="AL29" i="53"/>
  <c r="BK29" i="52"/>
  <c r="BI29" i="52" s="1"/>
  <c r="BH30" i="52" s="1"/>
  <c r="AT27" i="15"/>
  <c r="AS28" i="15" s="1"/>
  <c r="BK29" i="51"/>
  <c r="BI29" i="51" s="1"/>
  <c r="BH30" i="51" s="1"/>
  <c r="AJ27" i="15"/>
  <c r="AI28" i="15" s="1"/>
  <c r="AL29" i="52"/>
  <c r="AK27" i="15"/>
  <c r="BK29" i="50"/>
  <c r="BI29" i="50" s="1"/>
  <c r="BH30" i="50" s="1"/>
  <c r="Z27" i="15"/>
  <c r="Y28" i="15" s="1"/>
  <c r="AL29" i="51"/>
  <c r="AL29" i="50"/>
  <c r="AX16" i="13"/>
  <c r="BB16" i="13" s="1"/>
  <c r="BP29" i="56"/>
  <c r="CF27" i="15"/>
  <c r="CI27" i="15" s="1"/>
  <c r="AM16" i="13"/>
  <c r="BK29" i="53"/>
  <c r="BI29" i="53" s="1"/>
  <c r="BH30" i="53" s="1"/>
  <c r="BD27" i="15"/>
  <c r="BC28" i="15" s="1"/>
  <c r="M27" i="15"/>
  <c r="BE27" i="15"/>
  <c r="DM35" i="15"/>
  <c r="AY17" i="56"/>
  <c r="AN17" i="56"/>
  <c r="BU17" i="53"/>
  <c r="AH18" i="53"/>
  <c r="AS18" i="53"/>
  <c r="AU18" i="53" s="1"/>
  <c r="AX18" i="53" s="1"/>
  <c r="BB18" i="53" s="1"/>
  <c r="AP17" i="52"/>
  <c r="BD17" i="52"/>
  <c r="BG17" i="52" s="1"/>
  <c r="AK18" i="51"/>
  <c r="AM18" i="51" s="1"/>
  <c r="AI18" i="51"/>
  <c r="BP17" i="50"/>
  <c r="BQ17" i="50" s="1"/>
  <c r="BS17" i="50" s="1"/>
  <c r="BO17" i="50"/>
  <c r="AQ28" i="67" l="1"/>
  <c r="AS28" i="67" s="1"/>
  <c r="AC28" i="67" s="1"/>
  <c r="G29" i="67" s="1"/>
  <c r="P37" i="65"/>
  <c r="Q37" i="65" s="1"/>
  <c r="M38" i="65"/>
  <c r="N38" i="65" s="1"/>
  <c r="AN37" i="65"/>
  <c r="AO37" i="65" s="1"/>
  <c r="AM37" i="65"/>
  <c r="AI37" i="65"/>
  <c r="AH38" i="65" s="1"/>
  <c r="AL29" i="67"/>
  <c r="O29" i="67"/>
  <c r="AD29" i="67" s="1"/>
  <c r="AG29" i="67" s="1"/>
  <c r="P39" i="66"/>
  <c r="Q39" i="66" s="1"/>
  <c r="CR38" i="15"/>
  <c r="CQ39" i="15" s="1"/>
  <c r="CO39" i="15" s="1"/>
  <c r="AK40" i="66"/>
  <c r="AI40" i="66" s="1"/>
  <c r="AH41" i="66" s="1"/>
  <c r="M40" i="66"/>
  <c r="N40" i="66" s="1"/>
  <c r="AN39" i="66"/>
  <c r="AO39" i="66" s="1"/>
  <c r="AM39" i="66"/>
  <c r="AQ29" i="65"/>
  <c r="AS29" i="65" s="1"/>
  <c r="AT29" i="65"/>
  <c r="AU29" i="65" s="1"/>
  <c r="AR30" i="66"/>
  <c r="G30" i="66"/>
  <c r="AR28" i="64"/>
  <c r="AC27" i="64"/>
  <c r="G28" i="64" s="1"/>
  <c r="M29" i="64"/>
  <c r="N29" i="64" s="1"/>
  <c r="O29" i="64" s="1"/>
  <c r="AD29" i="64" s="1"/>
  <c r="AG29" i="64" s="1"/>
  <c r="AN28" i="64"/>
  <c r="AO28" i="64" s="1"/>
  <c r="M29" i="61"/>
  <c r="N29" i="61" s="1"/>
  <c r="O29" i="61" s="1"/>
  <c r="AD29" i="61" s="1"/>
  <c r="AG29" i="61" s="1"/>
  <c r="AK29" i="64"/>
  <c r="AI29" i="64" s="1"/>
  <c r="AH30" i="64" s="1"/>
  <c r="AK29" i="61"/>
  <c r="AI29" i="61" s="1"/>
  <c r="AH30" i="61" s="1"/>
  <c r="DB27" i="15"/>
  <c r="DA28" i="15" s="1"/>
  <c r="DC27" i="15"/>
  <c r="BL29" i="51"/>
  <c r="BL29" i="52"/>
  <c r="BX27" i="15"/>
  <c r="BW28" i="15" s="1"/>
  <c r="BY27" i="15"/>
  <c r="BN27" i="15"/>
  <c r="BM28" i="15" s="1"/>
  <c r="BO27" i="15"/>
  <c r="BJ29" i="13"/>
  <c r="N27" i="15"/>
  <c r="BQ29" i="56"/>
  <c r="BO29" i="56" s="1"/>
  <c r="BN30" i="56" s="1"/>
  <c r="CH27" i="15"/>
  <c r="CG28" i="15" s="1"/>
  <c r="BA28" i="15"/>
  <c r="AR29" i="56"/>
  <c r="AG28" i="15"/>
  <c r="W28" i="15"/>
  <c r="AQ28" i="15"/>
  <c r="AN16" i="13"/>
  <c r="AO16" i="13" s="1"/>
  <c r="BL29" i="53"/>
  <c r="BL29" i="50"/>
  <c r="CN40" i="15"/>
  <c r="DH36" i="15"/>
  <c r="DJ36" i="15" s="1"/>
  <c r="AQ17" i="56"/>
  <c r="AO17" i="56"/>
  <c r="BA17" i="56"/>
  <c r="AK18" i="53"/>
  <c r="AM18" i="53" s="1"/>
  <c r="AI18" i="53"/>
  <c r="BN17" i="52"/>
  <c r="BE17" i="52"/>
  <c r="BM17" i="52"/>
  <c r="BF17" i="52"/>
  <c r="AN18" i="51"/>
  <c r="BD18" i="51" s="1"/>
  <c r="BG18" i="51" s="1"/>
  <c r="BR18" i="50"/>
  <c r="BC17" i="50"/>
  <c r="O18" i="50" s="1"/>
  <c r="P18" i="50" s="1"/>
  <c r="BT17" i="50"/>
  <c r="BU17" i="50" s="1"/>
  <c r="AR29" i="67" l="1"/>
  <c r="DL36" i="15"/>
  <c r="DK37" i="15" s="1"/>
  <c r="DI37" i="15" s="1"/>
  <c r="AJ39" i="65" s="1"/>
  <c r="AK38" i="65"/>
  <c r="AL38" i="65" s="1"/>
  <c r="O38" i="65"/>
  <c r="AD38" i="65" s="1"/>
  <c r="AG38" i="65" s="1"/>
  <c r="P29" i="67"/>
  <c r="Q29" i="67" s="1"/>
  <c r="AN29" i="67"/>
  <c r="AM29" i="67"/>
  <c r="AL40" i="66"/>
  <c r="O40" i="66"/>
  <c r="AD40" i="66" s="1"/>
  <c r="AG40" i="66" s="1"/>
  <c r="AJ41" i="66"/>
  <c r="CP39" i="15"/>
  <c r="AR30" i="65"/>
  <c r="AC29" i="65"/>
  <c r="AP30" i="66"/>
  <c r="AE28" i="67"/>
  <c r="AF28" i="67"/>
  <c r="AE28" i="66"/>
  <c r="AF28" i="66"/>
  <c r="AF28" i="65"/>
  <c r="AE28" i="65"/>
  <c r="AL29" i="64"/>
  <c r="AE28" i="64"/>
  <c r="AF28" i="64"/>
  <c r="AP28" i="64"/>
  <c r="AT28" i="64" s="1"/>
  <c r="AU28" i="64" s="1"/>
  <c r="P29" i="61"/>
  <c r="Q29" i="61" s="1"/>
  <c r="AL29" i="61"/>
  <c r="AN17" i="61"/>
  <c r="AM17" i="61"/>
  <c r="CY28" i="15"/>
  <c r="AJ30" i="67" s="1"/>
  <c r="BU28" i="15"/>
  <c r="BK28" i="15"/>
  <c r="BR29" i="56"/>
  <c r="AP16" i="13"/>
  <c r="BJ30" i="53"/>
  <c r="BB28" i="15"/>
  <c r="BE28" i="15" s="1"/>
  <c r="BD16" i="13"/>
  <c r="BG16" i="13" s="1"/>
  <c r="BJ30" i="50"/>
  <c r="X28" i="15"/>
  <c r="CE28" i="15"/>
  <c r="BJ30" i="52"/>
  <c r="AR28" i="15"/>
  <c r="BK29" i="13"/>
  <c r="BI29" i="13" s="1"/>
  <c r="BH30" i="13" s="1"/>
  <c r="P27" i="15"/>
  <c r="O28" i="15" s="1"/>
  <c r="BJ30" i="51"/>
  <c r="AH28" i="15"/>
  <c r="AK28" i="15" s="1"/>
  <c r="Q27" i="15"/>
  <c r="AO18" i="51"/>
  <c r="AP18" i="51" s="1"/>
  <c r="AL29" i="13"/>
  <c r="DM36" i="15"/>
  <c r="BD17" i="56"/>
  <c r="AS17" i="56"/>
  <c r="AN18" i="53"/>
  <c r="BD18" i="53" s="1"/>
  <c r="BG18" i="53" s="1"/>
  <c r="BP17" i="52"/>
  <c r="BO17" i="52"/>
  <c r="BN18" i="51"/>
  <c r="BE18" i="51"/>
  <c r="BM18" i="51"/>
  <c r="BF18" i="51"/>
  <c r="AS18" i="50"/>
  <c r="AU18" i="50" s="1"/>
  <c r="AX18" i="50" s="1"/>
  <c r="BB18" i="50" s="1"/>
  <c r="AH18" i="50"/>
  <c r="P38" i="65" l="1"/>
  <c r="Q38" i="65" s="1"/>
  <c r="AN38" i="65"/>
  <c r="AO38" i="65" s="1"/>
  <c r="AM38" i="65"/>
  <c r="M39" i="65"/>
  <c r="N39" i="65" s="1"/>
  <c r="AI38" i="65"/>
  <c r="AH39" i="65" s="1"/>
  <c r="AO29" i="67"/>
  <c r="AP29" i="67"/>
  <c r="AT29" i="67" s="1"/>
  <c r="AU29" i="67" s="1"/>
  <c r="M30" i="67"/>
  <c r="N30" i="67" s="1"/>
  <c r="P40" i="66"/>
  <c r="Q40" i="66" s="1"/>
  <c r="CR39" i="15"/>
  <c r="CQ40" i="15" s="1"/>
  <c r="CO40" i="15" s="1"/>
  <c r="AK41" i="66"/>
  <c r="AI41" i="66" s="1"/>
  <c r="AH42" i="66" s="1"/>
  <c r="CS39" i="15"/>
  <c r="M41" i="66"/>
  <c r="N41" i="66" s="1"/>
  <c r="AM40" i="66"/>
  <c r="AN40" i="66"/>
  <c r="AO40" i="66" s="1"/>
  <c r="AP30" i="65"/>
  <c r="AT30" i="66"/>
  <c r="AU30" i="66" s="1"/>
  <c r="AQ30" i="66"/>
  <c r="AS30" i="66" s="1"/>
  <c r="AC30" i="66" s="1"/>
  <c r="AE29" i="67"/>
  <c r="AF29" i="67"/>
  <c r="G29" i="65"/>
  <c r="AQ28" i="64"/>
  <c r="AS28" i="64" s="1"/>
  <c r="AM29" i="64"/>
  <c r="P29" i="64"/>
  <c r="Q29" i="64" s="1"/>
  <c r="AJ30" i="64"/>
  <c r="AJ30" i="61"/>
  <c r="AO17" i="61"/>
  <c r="AP17" i="61"/>
  <c r="AT17" i="61" s="1"/>
  <c r="AU17" i="61" s="1"/>
  <c r="CZ28" i="15"/>
  <c r="BV28" i="15"/>
  <c r="BL28" i="15"/>
  <c r="BL29" i="13"/>
  <c r="AL30" i="52"/>
  <c r="BK30" i="51"/>
  <c r="BI30" i="51" s="1"/>
  <c r="BH31" i="51" s="1"/>
  <c r="AJ28" i="15"/>
  <c r="AI29" i="15" s="1"/>
  <c r="BE16" i="13"/>
  <c r="BN16" i="13"/>
  <c r="BF16" i="13"/>
  <c r="BM16" i="13"/>
  <c r="AL30" i="51"/>
  <c r="BP30" i="56"/>
  <c r="CF28" i="15"/>
  <c r="M28" i="15"/>
  <c r="BK30" i="50"/>
  <c r="BI30" i="50" s="1"/>
  <c r="BH31" i="50" s="1"/>
  <c r="Z28" i="15"/>
  <c r="Y29" i="15" s="1"/>
  <c r="BK30" i="53"/>
  <c r="BI30" i="53" s="1"/>
  <c r="BH31" i="53" s="1"/>
  <c r="BD28" i="15"/>
  <c r="BC29" i="15" s="1"/>
  <c r="AA28" i="15"/>
  <c r="AL30" i="53"/>
  <c r="BK30" i="52"/>
  <c r="BI30" i="52" s="1"/>
  <c r="BH31" i="52" s="1"/>
  <c r="AT28" i="15"/>
  <c r="AS29" i="15" s="1"/>
  <c r="AL30" i="50"/>
  <c r="AU28" i="15"/>
  <c r="CN41" i="15"/>
  <c r="DH37" i="15"/>
  <c r="DJ37" i="15" s="1"/>
  <c r="AT17" i="56"/>
  <c r="BJ17" i="56" s="1"/>
  <c r="BH17" i="56"/>
  <c r="AO18" i="53"/>
  <c r="AP18" i="53" s="1"/>
  <c r="BF18" i="53"/>
  <c r="BE18" i="53"/>
  <c r="BM18" i="53"/>
  <c r="BN18" i="53"/>
  <c r="BT17" i="52"/>
  <c r="BU17" i="52" s="1"/>
  <c r="BQ17" i="52"/>
  <c r="BS17" i="52" s="1"/>
  <c r="BP18" i="51"/>
  <c r="BQ18" i="51" s="1"/>
  <c r="BS18" i="51" s="1"/>
  <c r="BO18" i="51"/>
  <c r="AK18" i="50"/>
  <c r="AM18" i="50" s="1"/>
  <c r="AI18" i="50"/>
  <c r="O39" i="65" l="1"/>
  <c r="AD39" i="65" s="1"/>
  <c r="AG39" i="65" s="1"/>
  <c r="DL37" i="15"/>
  <c r="DK38" i="15" s="1"/>
  <c r="DI38" i="15" s="1"/>
  <c r="AJ40" i="65" s="1"/>
  <c r="M40" i="65" s="1"/>
  <c r="N40" i="65" s="1"/>
  <c r="AK39" i="65"/>
  <c r="AL39" i="65" s="1"/>
  <c r="AQ29" i="67"/>
  <c r="AS29" i="67" s="1"/>
  <c r="AR30" i="67" s="1"/>
  <c r="DC28" i="15"/>
  <c r="AK30" i="67"/>
  <c r="O30" i="67"/>
  <c r="AD30" i="67" s="1"/>
  <c r="AG30" i="67" s="1"/>
  <c r="AL41" i="66"/>
  <c r="O41" i="66"/>
  <c r="AD41" i="66" s="1"/>
  <c r="AG41" i="66" s="1"/>
  <c r="AJ42" i="66"/>
  <c r="CP40" i="15"/>
  <c r="CS40" i="15" s="1"/>
  <c r="AT30" i="65"/>
  <c r="AU30" i="65" s="1"/>
  <c r="AQ30" i="65"/>
  <c r="AS30" i="65" s="1"/>
  <c r="AR31" i="66"/>
  <c r="G31" i="66"/>
  <c r="AF29" i="65"/>
  <c r="AE29" i="65"/>
  <c r="AR29" i="64"/>
  <c r="AC28" i="64"/>
  <c r="G29" i="64" s="1"/>
  <c r="AE29" i="64" s="1"/>
  <c r="M30" i="64"/>
  <c r="N30" i="64" s="1"/>
  <c r="O30" i="64" s="1"/>
  <c r="AD30" i="64" s="1"/>
  <c r="AG30" i="64" s="1"/>
  <c r="AN29" i="64"/>
  <c r="AO29" i="64" s="1"/>
  <c r="M30" i="61"/>
  <c r="N30" i="61" s="1"/>
  <c r="O30" i="61" s="1"/>
  <c r="AK30" i="64"/>
  <c r="AI30" i="64" s="1"/>
  <c r="AH31" i="64" s="1"/>
  <c r="AK30" i="61"/>
  <c r="AI30" i="61" s="1"/>
  <c r="AH31" i="61" s="1"/>
  <c r="AQ17" i="61"/>
  <c r="AS17" i="61" s="1"/>
  <c r="DB28" i="15"/>
  <c r="DA29" i="15" s="1"/>
  <c r="BL30" i="53"/>
  <c r="BL30" i="51"/>
  <c r="BX28" i="15"/>
  <c r="BW29" i="15" s="1"/>
  <c r="BY28" i="15"/>
  <c r="BN28" i="15"/>
  <c r="BM29" i="15" s="1"/>
  <c r="BO28" i="15"/>
  <c r="BQ30" i="56"/>
  <c r="BO30" i="56" s="1"/>
  <c r="BN31" i="56" s="1"/>
  <c r="CH28" i="15"/>
  <c r="CG29" i="15" s="1"/>
  <c r="AQ29" i="15"/>
  <c r="W29" i="15"/>
  <c r="AR30" i="56"/>
  <c r="AG29" i="15"/>
  <c r="N28" i="15"/>
  <c r="Q28" i="15" s="1"/>
  <c r="BJ30" i="13"/>
  <c r="BL30" i="52"/>
  <c r="BL30" i="50"/>
  <c r="BA29" i="15"/>
  <c r="CI28" i="15"/>
  <c r="BP16" i="13"/>
  <c r="BO16" i="13"/>
  <c r="DM37" i="15"/>
  <c r="AU17" i="56"/>
  <c r="AV17" i="56" s="1"/>
  <c r="BM17" i="56"/>
  <c r="BP18" i="53"/>
  <c r="BQ18" i="53" s="1"/>
  <c r="BS18" i="53" s="1"/>
  <c r="BO18" i="53"/>
  <c r="BR18" i="52"/>
  <c r="BC17" i="52"/>
  <c r="O18" i="52" s="1"/>
  <c r="P18" i="52" s="1"/>
  <c r="BR19" i="51"/>
  <c r="BC18" i="51"/>
  <c r="O19" i="51" s="1"/>
  <c r="P19" i="51" s="1"/>
  <c r="BT18" i="51"/>
  <c r="BU18" i="51" s="1"/>
  <c r="AN18" i="50"/>
  <c r="BD18" i="50" s="1"/>
  <c r="BG18" i="50" s="1"/>
  <c r="AC29" i="67" l="1"/>
  <c r="G30" i="67" s="1"/>
  <c r="P39" i="65"/>
  <c r="Q39" i="65" s="1"/>
  <c r="O40" i="65"/>
  <c r="AD40" i="65" s="1"/>
  <c r="AG40" i="65" s="1"/>
  <c r="AN39" i="65"/>
  <c r="AO39" i="65" s="1"/>
  <c r="AM39" i="65"/>
  <c r="AI39" i="65"/>
  <c r="AH40" i="65" s="1"/>
  <c r="P30" i="67"/>
  <c r="Q30" i="67" s="1"/>
  <c r="AI30" i="67"/>
  <c r="AH31" i="67" s="1"/>
  <c r="AL30" i="67"/>
  <c r="AN30" i="67" s="1"/>
  <c r="P41" i="66"/>
  <c r="Q41" i="66" s="1"/>
  <c r="CR40" i="15"/>
  <c r="CQ41" i="15" s="1"/>
  <c r="CO41" i="15" s="1"/>
  <c r="AK42" i="66"/>
  <c r="AI42" i="66" s="1"/>
  <c r="AH43" i="66" s="1"/>
  <c r="M42" i="66"/>
  <c r="N42" i="66" s="1"/>
  <c r="AN41" i="66"/>
  <c r="AO41" i="66" s="1"/>
  <c r="AM41" i="66"/>
  <c r="AR31" i="65"/>
  <c r="AC30" i="65"/>
  <c r="AP31" i="66"/>
  <c r="AF29" i="66"/>
  <c r="AE29" i="66"/>
  <c r="G30" i="65"/>
  <c r="AL30" i="64"/>
  <c r="AF29" i="64"/>
  <c r="AP29" i="64"/>
  <c r="AT29" i="64" s="1"/>
  <c r="AU29" i="64" s="1"/>
  <c r="AL30" i="61"/>
  <c r="P30" i="61"/>
  <c r="Q30" i="61" s="1"/>
  <c r="AD30" i="61"/>
  <c r="AG30" i="61" s="1"/>
  <c r="AR18" i="61"/>
  <c r="AC17" i="61"/>
  <c r="G18" i="61" s="1"/>
  <c r="AF18" i="61" s="1"/>
  <c r="CY29" i="15"/>
  <c r="AJ31" i="67" s="1"/>
  <c r="BU29" i="15"/>
  <c r="BK29" i="15"/>
  <c r="BT16" i="13"/>
  <c r="BU16" i="13" s="1"/>
  <c r="AL30" i="13"/>
  <c r="BJ31" i="50"/>
  <c r="X29" i="15"/>
  <c r="AA29" i="15" s="1"/>
  <c r="BQ16" i="13"/>
  <c r="BS16" i="13" s="1"/>
  <c r="BK30" i="13"/>
  <c r="BI30" i="13" s="1"/>
  <c r="BH31" i="13" s="1"/>
  <c r="P28" i="15"/>
  <c r="O29" i="15" s="1"/>
  <c r="BJ31" i="51"/>
  <c r="AH29" i="15"/>
  <c r="BJ31" i="52"/>
  <c r="AR29" i="15"/>
  <c r="CE29" i="15"/>
  <c r="BJ31" i="53"/>
  <c r="BB29" i="15"/>
  <c r="BR30" i="56"/>
  <c r="CN42" i="15"/>
  <c r="DH38" i="15"/>
  <c r="DJ38" i="15" s="1"/>
  <c r="BT17" i="56"/>
  <c r="BS17" i="56"/>
  <c r="BL17" i="56"/>
  <c r="BK17" i="56"/>
  <c r="BR19" i="53"/>
  <c r="BC18" i="53"/>
  <c r="O19" i="53" s="1"/>
  <c r="P19" i="53" s="1"/>
  <c r="BT18" i="53"/>
  <c r="AS18" i="52"/>
  <c r="AU18" i="52" s="1"/>
  <c r="AX18" i="52" s="1"/>
  <c r="BB18" i="52" s="1"/>
  <c r="AH18" i="52"/>
  <c r="AS19" i="51"/>
  <c r="AU19" i="51" s="1"/>
  <c r="AX19" i="51" s="1"/>
  <c r="BB19" i="51" s="1"/>
  <c r="AH19" i="51"/>
  <c r="AO18" i="50"/>
  <c r="AP18" i="50" s="1"/>
  <c r="BN18" i="50"/>
  <c r="BM18" i="50"/>
  <c r="BF18" i="50"/>
  <c r="BE18" i="50"/>
  <c r="P40" i="65" l="1"/>
  <c r="Q40" i="65" s="1"/>
  <c r="DL38" i="15"/>
  <c r="DK39" i="15" s="1"/>
  <c r="AK40" i="65"/>
  <c r="AL40" i="65" s="1"/>
  <c r="AN40" i="65" s="1"/>
  <c r="AO40" i="65" s="1"/>
  <c r="AO30" i="67"/>
  <c r="AP30" i="67"/>
  <c r="AT30" i="67" s="1"/>
  <c r="AU30" i="67" s="1"/>
  <c r="M31" i="67"/>
  <c r="N31" i="67" s="1"/>
  <c r="AM30" i="67"/>
  <c r="AL42" i="66"/>
  <c r="O42" i="66"/>
  <c r="AD42" i="66" s="1"/>
  <c r="AG42" i="66" s="1"/>
  <c r="AJ43" i="66"/>
  <c r="CP41" i="15"/>
  <c r="CS41" i="15" s="1"/>
  <c r="AP31" i="65"/>
  <c r="AQ31" i="66"/>
  <c r="AS31" i="66" s="1"/>
  <c r="AC31" i="66" s="1"/>
  <c r="AT31" i="66"/>
  <c r="AU31" i="66" s="1"/>
  <c r="AF30" i="65"/>
  <c r="AE30" i="65"/>
  <c r="AQ29" i="64"/>
  <c r="AS29" i="64" s="1"/>
  <c r="AM30" i="64"/>
  <c r="P30" i="64"/>
  <c r="Q30" i="64" s="1"/>
  <c r="AJ31" i="64"/>
  <c r="AJ31" i="61"/>
  <c r="M31" i="61" s="1"/>
  <c r="N31" i="61" s="1"/>
  <c r="AE18" i="61"/>
  <c r="CZ29" i="15"/>
  <c r="AK31" i="67" s="1"/>
  <c r="AI31" i="67" s="1"/>
  <c r="AH32" i="67" s="1"/>
  <c r="BV29" i="15"/>
  <c r="BL29" i="15"/>
  <c r="BO29" i="15" s="1"/>
  <c r="BL30" i="13"/>
  <c r="BK31" i="53"/>
  <c r="BI31" i="53" s="1"/>
  <c r="BH32" i="53" s="1"/>
  <c r="BD29" i="15"/>
  <c r="BC30" i="15" s="1"/>
  <c r="AL31" i="52"/>
  <c r="BE29" i="15"/>
  <c r="BK31" i="51"/>
  <c r="BI31" i="51" s="1"/>
  <c r="BH32" i="51" s="1"/>
  <c r="AJ29" i="15"/>
  <c r="AI30" i="15" s="1"/>
  <c r="AL31" i="53"/>
  <c r="AK29" i="15"/>
  <c r="AL31" i="50"/>
  <c r="AL31" i="51"/>
  <c r="M29" i="15"/>
  <c r="BP31" i="56"/>
  <c r="CF29" i="15"/>
  <c r="CI29" i="15" s="1"/>
  <c r="BK31" i="52"/>
  <c r="BI31" i="52" s="1"/>
  <c r="BH32" i="52" s="1"/>
  <c r="AT29" i="15"/>
  <c r="AS30" i="15" s="1"/>
  <c r="BR17" i="13"/>
  <c r="BC16" i="13"/>
  <c r="O17" i="13" s="1"/>
  <c r="P17" i="13" s="1"/>
  <c r="AU29" i="15"/>
  <c r="BK31" i="50"/>
  <c r="BI31" i="50" s="1"/>
  <c r="BH32" i="50" s="1"/>
  <c r="Z29" i="15"/>
  <c r="Y30" i="15" s="1"/>
  <c r="DM38" i="15"/>
  <c r="DI39" i="15"/>
  <c r="AJ41" i="65" s="1"/>
  <c r="BV17" i="56"/>
  <c r="BW17" i="56" s="1"/>
  <c r="BY17" i="56" s="1"/>
  <c r="BI17" i="56" s="1"/>
  <c r="BU17" i="56"/>
  <c r="BU18" i="53"/>
  <c r="AS19" i="53"/>
  <c r="AU19" i="53" s="1"/>
  <c r="AX19" i="53" s="1"/>
  <c r="BB19" i="53" s="1"/>
  <c r="AH19" i="53"/>
  <c r="AK18" i="52"/>
  <c r="AM18" i="52" s="1"/>
  <c r="AI18" i="52"/>
  <c r="AK19" i="51"/>
  <c r="AM19" i="51" s="1"/>
  <c r="AI19" i="51"/>
  <c r="BP18" i="50"/>
  <c r="BQ18" i="50" s="1"/>
  <c r="BS18" i="50" s="1"/>
  <c r="BO18" i="50"/>
  <c r="AQ30" i="67" l="1"/>
  <c r="AS30" i="67" s="1"/>
  <c r="AC30" i="67" s="1"/>
  <c r="G31" i="67" s="1"/>
  <c r="M41" i="65"/>
  <c r="N41" i="65" s="1"/>
  <c r="AM40" i="65"/>
  <c r="AI40" i="65"/>
  <c r="AH41" i="65" s="1"/>
  <c r="AL31" i="67"/>
  <c r="O31" i="67"/>
  <c r="AD31" i="67" s="1"/>
  <c r="AG31" i="67" s="1"/>
  <c r="P42" i="66"/>
  <c r="Q42" i="66" s="1"/>
  <c r="CR41" i="15"/>
  <c r="CQ42" i="15" s="1"/>
  <c r="CO42" i="15" s="1"/>
  <c r="AK43" i="66"/>
  <c r="AI43" i="66" s="1"/>
  <c r="AH44" i="66" s="1"/>
  <c r="M43" i="66"/>
  <c r="N43" i="66" s="1"/>
  <c r="AM42" i="66"/>
  <c r="AN42" i="66"/>
  <c r="AO42" i="66" s="1"/>
  <c r="AQ31" i="65"/>
  <c r="AS31" i="65" s="1"/>
  <c r="AT31" i="65"/>
  <c r="AU31" i="65" s="1"/>
  <c r="AR32" i="66"/>
  <c r="G32" i="66"/>
  <c r="AR30" i="64"/>
  <c r="AC29" i="64"/>
  <c r="G30" i="64" s="1"/>
  <c r="M31" i="64"/>
  <c r="N31" i="64" s="1"/>
  <c r="O31" i="64" s="1"/>
  <c r="AD31" i="64" s="1"/>
  <c r="AG31" i="64" s="1"/>
  <c r="AN30" i="64"/>
  <c r="AK31" i="64"/>
  <c r="AI31" i="64" s="1"/>
  <c r="AH32" i="64" s="1"/>
  <c r="AK31" i="61"/>
  <c r="O31" i="61"/>
  <c r="DB29" i="15"/>
  <c r="DA30" i="15" s="1"/>
  <c r="DC29" i="15"/>
  <c r="BL31" i="53"/>
  <c r="BX29" i="15"/>
  <c r="BW30" i="15" s="1"/>
  <c r="BY29" i="15"/>
  <c r="BN29" i="15"/>
  <c r="BM30" i="15" s="1"/>
  <c r="BL31" i="51"/>
  <c r="AQ30" i="15"/>
  <c r="AG30" i="15"/>
  <c r="BL31" i="50"/>
  <c r="BQ31" i="56"/>
  <c r="BO31" i="56" s="1"/>
  <c r="BN32" i="56" s="1"/>
  <c r="CH29" i="15"/>
  <c r="CG30" i="15" s="1"/>
  <c r="BL31" i="52"/>
  <c r="AR31" i="56"/>
  <c r="AH17" i="13"/>
  <c r="AS17" i="13"/>
  <c r="AU17" i="13" s="1"/>
  <c r="AX17" i="13" s="1"/>
  <c r="BB17" i="13" s="1"/>
  <c r="BA30" i="15"/>
  <c r="W30" i="15"/>
  <c r="BJ31" i="13"/>
  <c r="N29" i="15"/>
  <c r="CN43" i="15"/>
  <c r="DH39" i="15"/>
  <c r="DJ39" i="15" s="1"/>
  <c r="BX18" i="56"/>
  <c r="U18" i="56"/>
  <c r="V18" i="56" s="1"/>
  <c r="BZ17" i="56"/>
  <c r="CA17" i="56" s="1"/>
  <c r="AK19" i="53"/>
  <c r="AM19" i="53" s="1"/>
  <c r="AI19" i="53"/>
  <c r="AN18" i="52"/>
  <c r="BD18" i="52" s="1"/>
  <c r="BG18" i="52" s="1"/>
  <c r="AN19" i="51"/>
  <c r="BD19" i="51" s="1"/>
  <c r="BG19" i="51" s="1"/>
  <c r="BR19" i="50"/>
  <c r="BC18" i="50"/>
  <c r="O19" i="50" s="1"/>
  <c r="P19" i="50" s="1"/>
  <c r="BT18" i="50"/>
  <c r="BU18" i="50" s="1"/>
  <c r="AR31" i="67" l="1"/>
  <c r="DL39" i="15"/>
  <c r="DK40" i="15" s="1"/>
  <c r="DI40" i="15" s="1"/>
  <c r="AJ42" i="65" s="1"/>
  <c r="AK41" i="65"/>
  <c r="AL41" i="65" s="1"/>
  <c r="O41" i="65"/>
  <c r="AD41" i="65" s="1"/>
  <c r="AG41" i="65" s="1"/>
  <c r="P31" i="67"/>
  <c r="Q31" i="67" s="1"/>
  <c r="AM31" i="67"/>
  <c r="AN31" i="67"/>
  <c r="AL43" i="66"/>
  <c r="O43" i="66"/>
  <c r="AD43" i="66" s="1"/>
  <c r="AG43" i="66" s="1"/>
  <c r="AJ44" i="66"/>
  <c r="M44" i="66" s="1"/>
  <c r="N44" i="66" s="1"/>
  <c r="CP42" i="15"/>
  <c r="CS42" i="15" s="1"/>
  <c r="AR32" i="65"/>
  <c r="AC31" i="65"/>
  <c r="AP32" i="66"/>
  <c r="AF30" i="67"/>
  <c r="AE30" i="67"/>
  <c r="AF30" i="66"/>
  <c r="AE30" i="66"/>
  <c r="AL31" i="64"/>
  <c r="AF30" i="64"/>
  <c r="AE30" i="64"/>
  <c r="AO30" i="64"/>
  <c r="AP30" i="64"/>
  <c r="AT30" i="64" s="1"/>
  <c r="AU30" i="64" s="1"/>
  <c r="AL31" i="61"/>
  <c r="AI31" i="61"/>
  <c r="AH32" i="61" s="1"/>
  <c r="P31" i="61"/>
  <c r="Q31" i="61" s="1"/>
  <c r="AD31" i="61"/>
  <c r="AG31" i="61" s="1"/>
  <c r="AN18" i="61"/>
  <c r="AM18" i="61"/>
  <c r="CY30" i="15"/>
  <c r="AJ32" i="67" s="1"/>
  <c r="BU30" i="15"/>
  <c r="BK30" i="15"/>
  <c r="BR31" i="56"/>
  <c r="BJ32" i="51"/>
  <c r="AH30" i="15"/>
  <c r="BJ32" i="50"/>
  <c r="X30" i="15"/>
  <c r="CE30" i="15"/>
  <c r="AO18" i="52"/>
  <c r="AP18" i="52" s="1"/>
  <c r="BJ32" i="53"/>
  <c r="AL32" i="53" s="1"/>
  <c r="BB30" i="15"/>
  <c r="BE30" i="15" s="1"/>
  <c r="BK31" i="13"/>
  <c r="BI31" i="13" s="1"/>
  <c r="BH32" i="13" s="1"/>
  <c r="P29" i="15"/>
  <c r="O30" i="15" s="1"/>
  <c r="BJ32" i="52"/>
  <c r="AR30" i="15"/>
  <c r="AO19" i="51"/>
  <c r="AP19" i="51" s="1"/>
  <c r="AL31" i="13"/>
  <c r="AK17" i="13"/>
  <c r="AM17" i="13" s="1"/>
  <c r="AI17" i="13"/>
  <c r="Q29" i="15"/>
  <c r="DM39" i="15"/>
  <c r="AN18" i="56"/>
  <c r="AY18" i="56"/>
  <c r="BA18" i="56" s="1"/>
  <c r="BD18" i="56" s="1"/>
  <c r="BH18" i="56" s="1"/>
  <c r="AN19" i="53"/>
  <c r="BD19" i="53" s="1"/>
  <c r="BG19" i="53" s="1"/>
  <c r="BN18" i="52"/>
  <c r="BE18" i="52"/>
  <c r="BM18" i="52"/>
  <c r="BF18" i="52"/>
  <c r="BN19" i="51"/>
  <c r="BE19" i="51"/>
  <c r="BM19" i="51"/>
  <c r="BF19" i="51"/>
  <c r="AS19" i="50"/>
  <c r="AU19" i="50" s="1"/>
  <c r="AX19" i="50" s="1"/>
  <c r="BB19" i="50" s="1"/>
  <c r="AH19" i="50"/>
  <c r="M42" i="65" l="1"/>
  <c r="N42" i="65" s="1"/>
  <c r="P41" i="65"/>
  <c r="Q41" i="65" s="1"/>
  <c r="AM41" i="65"/>
  <c r="AN41" i="65"/>
  <c r="AO41" i="65" s="1"/>
  <c r="AI41" i="65"/>
  <c r="AH42" i="65" s="1"/>
  <c r="M32" i="67"/>
  <c r="N32" i="67" s="1"/>
  <c r="AO31" i="67"/>
  <c r="AP31" i="67"/>
  <c r="AT31" i="67" s="1"/>
  <c r="AU31" i="67" s="1"/>
  <c r="P43" i="66"/>
  <c r="Q43" i="66" s="1"/>
  <c r="CR42" i="15"/>
  <c r="CQ43" i="15" s="1"/>
  <c r="CO43" i="15" s="1"/>
  <c r="AK44" i="66"/>
  <c r="O44" i="66"/>
  <c r="AD44" i="66" s="1"/>
  <c r="AG44" i="66" s="1"/>
  <c r="AN43" i="66"/>
  <c r="AO43" i="66" s="1"/>
  <c r="AM43" i="66"/>
  <c r="AP32" i="65"/>
  <c r="AQ32" i="66"/>
  <c r="AS32" i="66" s="1"/>
  <c r="AC32" i="66" s="1"/>
  <c r="AT32" i="66"/>
  <c r="AU32" i="66" s="1"/>
  <c r="AE31" i="67"/>
  <c r="AF31" i="67"/>
  <c r="G31" i="65"/>
  <c r="AQ30" i="64"/>
  <c r="AS30" i="64" s="1"/>
  <c r="AM31" i="64"/>
  <c r="P31" i="64"/>
  <c r="Q31" i="64" s="1"/>
  <c r="AJ32" i="64"/>
  <c r="AJ32" i="61"/>
  <c r="M32" i="61" s="1"/>
  <c r="N32" i="61" s="1"/>
  <c r="AO18" i="61"/>
  <c r="AP18" i="61"/>
  <c r="AT18" i="61" s="1"/>
  <c r="AU18" i="61" s="1"/>
  <c r="CZ30" i="15"/>
  <c r="AK32" i="67" s="1"/>
  <c r="AI32" i="67" s="1"/>
  <c r="AH33" i="67" s="1"/>
  <c r="AO19" i="53"/>
  <c r="AP19" i="53" s="1"/>
  <c r="BV30" i="15"/>
  <c r="BL30" i="15"/>
  <c r="BO30" i="15" s="1"/>
  <c r="BL31" i="13"/>
  <c r="BK32" i="50"/>
  <c r="BI32" i="50" s="1"/>
  <c r="BH33" i="50" s="1"/>
  <c r="Z30" i="15"/>
  <c r="Y31" i="15" s="1"/>
  <c r="AA30" i="15"/>
  <c r="BK32" i="53"/>
  <c r="BD30" i="15"/>
  <c r="BC31" i="15" s="1"/>
  <c r="AL32" i="50"/>
  <c r="BK32" i="52"/>
  <c r="BI32" i="52" s="1"/>
  <c r="BH33" i="52" s="1"/>
  <c r="AT30" i="15"/>
  <c r="AS31" i="15" s="1"/>
  <c r="AU30" i="15"/>
  <c r="AL32" i="52"/>
  <c r="BK32" i="51"/>
  <c r="BI32" i="51" s="1"/>
  <c r="BH33" i="51" s="1"/>
  <c r="AJ30" i="15"/>
  <c r="AI31" i="15" s="1"/>
  <c r="BP32" i="56"/>
  <c r="CF30" i="15"/>
  <c r="CI30" i="15" s="1"/>
  <c r="AK30" i="15"/>
  <c r="AN17" i="13"/>
  <c r="BD17" i="13" s="1"/>
  <c r="BG17" i="13" s="1"/>
  <c r="M30" i="15"/>
  <c r="AL32" i="51"/>
  <c r="CN44" i="15"/>
  <c r="DH40" i="15"/>
  <c r="DJ40" i="15" s="1"/>
  <c r="AQ18" i="56"/>
  <c r="AS18" i="56" s="1"/>
  <c r="AO18" i="56"/>
  <c r="BN19" i="53"/>
  <c r="BF19" i="53"/>
  <c r="BE19" i="53"/>
  <c r="BM19" i="53"/>
  <c r="BP18" i="52"/>
  <c r="BQ18" i="52" s="1"/>
  <c r="BS18" i="52" s="1"/>
  <c r="BO18" i="52"/>
  <c r="BP19" i="51"/>
  <c r="BQ19" i="51" s="1"/>
  <c r="BS19" i="51" s="1"/>
  <c r="BO19" i="51"/>
  <c r="AK19" i="50"/>
  <c r="AM19" i="50" s="1"/>
  <c r="AI19" i="50"/>
  <c r="DL40" i="15" l="1"/>
  <c r="DK41" i="15" s="1"/>
  <c r="DI41" i="15" s="1"/>
  <c r="AJ43" i="65" s="1"/>
  <c r="AK42" i="65"/>
  <c r="AL42" i="65" s="1"/>
  <c r="O42" i="65"/>
  <c r="AD42" i="65" s="1"/>
  <c r="AG42" i="65" s="1"/>
  <c r="AQ31" i="67"/>
  <c r="AS31" i="67" s="1"/>
  <c r="AR32" i="67" s="1"/>
  <c r="AL32" i="67"/>
  <c r="O32" i="67"/>
  <c r="AD32" i="67" s="1"/>
  <c r="AG32" i="67" s="1"/>
  <c r="P44" i="66"/>
  <c r="Q44" i="66" s="1"/>
  <c r="AL44" i="66"/>
  <c r="AM44" i="66" s="1"/>
  <c r="AI44" i="66"/>
  <c r="CP43" i="15"/>
  <c r="CR43" i="15" s="1"/>
  <c r="CQ44" i="15" s="1"/>
  <c r="CO44" i="15" s="1"/>
  <c r="CO7" i="15" s="1"/>
  <c r="AT32" i="65"/>
  <c r="AU32" i="65" s="1"/>
  <c r="AQ32" i="65"/>
  <c r="AS32" i="65" s="1"/>
  <c r="AR33" i="66"/>
  <c r="G33" i="66"/>
  <c r="AF31" i="66"/>
  <c r="AE31" i="66"/>
  <c r="AE31" i="65"/>
  <c r="AF31" i="65"/>
  <c r="AR31" i="64"/>
  <c r="AC30" i="64"/>
  <c r="G31" i="64" s="1"/>
  <c r="M32" i="64"/>
  <c r="N32" i="64" s="1"/>
  <c r="O32" i="64" s="1"/>
  <c r="AD32" i="64" s="1"/>
  <c r="AG32" i="64" s="1"/>
  <c r="AN31" i="64"/>
  <c r="AK32" i="64"/>
  <c r="AI32" i="64" s="1"/>
  <c r="AH33" i="64" s="1"/>
  <c r="AK32" i="61"/>
  <c r="AQ18" i="61"/>
  <c r="AS18" i="61" s="1"/>
  <c r="O32" i="61"/>
  <c r="DB30" i="15"/>
  <c r="DA31" i="15" s="1"/>
  <c r="DC30" i="15"/>
  <c r="BL32" i="51"/>
  <c r="BX30" i="15"/>
  <c r="BW31" i="15" s="1"/>
  <c r="BY30" i="15"/>
  <c r="BN30" i="15"/>
  <c r="BM31" i="15" s="1"/>
  <c r="AO17" i="13"/>
  <c r="AP17" i="13" s="1"/>
  <c r="BL32" i="52"/>
  <c r="BA31" i="15"/>
  <c r="BQ32" i="56"/>
  <c r="BO32" i="56" s="1"/>
  <c r="BN33" i="56" s="1"/>
  <c r="CH30" i="15"/>
  <c r="CG31" i="15" s="1"/>
  <c r="BL32" i="53"/>
  <c r="BI32" i="53"/>
  <c r="BH33" i="53" s="1"/>
  <c r="AR32" i="56"/>
  <c r="AG31" i="15"/>
  <c r="W31" i="15"/>
  <c r="BJ32" i="13"/>
  <c r="N30" i="15"/>
  <c r="AQ31" i="15"/>
  <c r="BN17" i="13"/>
  <c r="BE17" i="13"/>
  <c r="BF17" i="13"/>
  <c r="BM17" i="13"/>
  <c r="BL32" i="50"/>
  <c r="CN7" i="15"/>
  <c r="DM40" i="15"/>
  <c r="AT18" i="56"/>
  <c r="BJ18" i="56" s="1"/>
  <c r="BM18" i="56" s="1"/>
  <c r="BP19" i="53"/>
  <c r="BQ19" i="53" s="1"/>
  <c r="BS19" i="53" s="1"/>
  <c r="BO19" i="53"/>
  <c r="BR19" i="52"/>
  <c r="BC18" i="52"/>
  <c r="O19" i="52" s="1"/>
  <c r="P19" i="52" s="1"/>
  <c r="BT18" i="52"/>
  <c r="BU18" i="52" s="1"/>
  <c r="BR20" i="51"/>
  <c r="BC19" i="51"/>
  <c r="O20" i="51" s="1"/>
  <c r="P20" i="51" s="1"/>
  <c r="BT19" i="51"/>
  <c r="BU19" i="51" s="1"/>
  <c r="AN19" i="50"/>
  <c r="BD19" i="50" s="1"/>
  <c r="BG19" i="50" s="1"/>
  <c r="AC31" i="67" l="1"/>
  <c r="G32" i="67" s="1"/>
  <c r="P42" i="65"/>
  <c r="Q42" i="65" s="1"/>
  <c r="AM42" i="65"/>
  <c r="AN42" i="65"/>
  <c r="AO42" i="65" s="1"/>
  <c r="M43" i="65"/>
  <c r="N43" i="65" s="1"/>
  <c r="AI42" i="65"/>
  <c r="AH43" i="65" s="1"/>
  <c r="P32" i="67"/>
  <c r="Q32" i="67" s="1"/>
  <c r="AN32" i="67"/>
  <c r="AM32" i="67"/>
  <c r="CS43" i="15"/>
  <c r="AN44" i="66"/>
  <c r="AO44" i="66" s="1"/>
  <c r="CP44" i="15"/>
  <c r="CS44" i="15" s="1"/>
  <c r="AR33" i="65"/>
  <c r="AC32" i="65"/>
  <c r="AP33" i="66"/>
  <c r="AE32" i="66"/>
  <c r="AF32" i="66"/>
  <c r="AL32" i="64"/>
  <c r="G32" i="65"/>
  <c r="AP31" i="64"/>
  <c r="AT31" i="64" s="1"/>
  <c r="AU31" i="64" s="1"/>
  <c r="AE31" i="64"/>
  <c r="AF31" i="64"/>
  <c r="AO31" i="64"/>
  <c r="AL32" i="61"/>
  <c r="AI32" i="61"/>
  <c r="AH33" i="61" s="1"/>
  <c r="P32" i="61"/>
  <c r="Q32" i="61" s="1"/>
  <c r="AD32" i="61"/>
  <c r="AG32" i="61" s="1"/>
  <c r="AR19" i="61"/>
  <c r="AC18" i="61"/>
  <c r="G19" i="61" s="1"/>
  <c r="CY31" i="15"/>
  <c r="AJ33" i="67" s="1"/>
  <c r="BU31" i="15"/>
  <c r="BK31" i="15"/>
  <c r="BR32" i="56"/>
  <c r="BK32" i="13"/>
  <c r="BI32" i="13" s="1"/>
  <c r="BH33" i="13" s="1"/>
  <c r="P30" i="15"/>
  <c r="O31" i="15" s="1"/>
  <c r="BO17" i="13"/>
  <c r="BP17" i="13"/>
  <c r="BQ17" i="13" s="1"/>
  <c r="BS17" i="13" s="1"/>
  <c r="Q30" i="15"/>
  <c r="AL32" i="13"/>
  <c r="BJ33" i="50"/>
  <c r="X31" i="15"/>
  <c r="AA31" i="15" s="1"/>
  <c r="CE31" i="15"/>
  <c r="BJ33" i="52"/>
  <c r="AR31" i="15"/>
  <c r="AU31" i="15" s="1"/>
  <c r="BJ33" i="51"/>
  <c r="AH31" i="15"/>
  <c r="BJ33" i="53"/>
  <c r="BB31" i="15"/>
  <c r="BE31" i="15" s="1"/>
  <c r="DH41" i="15"/>
  <c r="DJ41" i="15" s="1"/>
  <c r="AU18" i="56"/>
  <c r="AV18" i="56" s="1"/>
  <c r="BS18" i="56"/>
  <c r="BL18" i="56"/>
  <c r="BK18" i="56"/>
  <c r="BT18" i="56"/>
  <c r="BR20" i="53"/>
  <c r="BC19" i="53"/>
  <c r="O20" i="53" s="1"/>
  <c r="P20" i="53" s="1"/>
  <c r="BT19" i="53"/>
  <c r="AH19" i="52"/>
  <c r="AS19" i="52"/>
  <c r="AU19" i="52" s="1"/>
  <c r="AX19" i="52" s="1"/>
  <c r="BB19" i="52" s="1"/>
  <c r="AS20" i="51"/>
  <c r="AU20" i="51" s="1"/>
  <c r="AX20" i="51" s="1"/>
  <c r="BB20" i="51" s="1"/>
  <c r="AH20" i="51"/>
  <c r="AO19" i="50"/>
  <c r="AP19" i="50" s="1"/>
  <c r="BN19" i="50"/>
  <c r="BM19" i="50"/>
  <c r="BF19" i="50"/>
  <c r="BE19" i="50"/>
  <c r="CP7" i="15" l="1"/>
  <c r="CR44" i="15"/>
  <c r="DL41" i="15"/>
  <c r="DK42" i="15" s="1"/>
  <c r="AK43" i="65"/>
  <c r="AL43" i="65" s="1"/>
  <c r="O43" i="65"/>
  <c r="AD43" i="65" s="1"/>
  <c r="AG43" i="65" s="1"/>
  <c r="M33" i="67"/>
  <c r="N33" i="67" s="1"/>
  <c r="AO32" i="67"/>
  <c r="AP32" i="67"/>
  <c r="AT32" i="67" s="1"/>
  <c r="AU32" i="67" s="1"/>
  <c r="CS7" i="15"/>
  <c r="AP33" i="65"/>
  <c r="AQ33" i="66"/>
  <c r="AS33" i="66" s="1"/>
  <c r="AC33" i="66" s="1"/>
  <c r="AT33" i="66"/>
  <c r="AU33" i="66" s="1"/>
  <c r="AQ31" i="64"/>
  <c r="AS31" i="64" s="1"/>
  <c r="AR32" i="64" s="1"/>
  <c r="AM32" i="64"/>
  <c r="P32" i="64"/>
  <c r="Q32" i="64" s="1"/>
  <c r="AJ33" i="64"/>
  <c r="AJ33" i="61"/>
  <c r="AE19" i="61"/>
  <c r="AF19" i="61"/>
  <c r="CZ31" i="15"/>
  <c r="AK33" i="67" s="1"/>
  <c r="AI33" i="67" s="1"/>
  <c r="AH34" i="67" s="1"/>
  <c r="BV31" i="15"/>
  <c r="BL31" i="15"/>
  <c r="BL32" i="13"/>
  <c r="BK33" i="51"/>
  <c r="BI33" i="51" s="1"/>
  <c r="BH34" i="51" s="1"/>
  <c r="AJ31" i="15"/>
  <c r="AI32" i="15" s="1"/>
  <c r="AK31" i="15"/>
  <c r="BP33" i="56"/>
  <c r="CF31" i="15"/>
  <c r="AL33" i="51"/>
  <c r="BK33" i="50"/>
  <c r="BI33" i="50" s="1"/>
  <c r="BH34" i="50" s="1"/>
  <c r="Z31" i="15"/>
  <c r="Y32" i="15" s="1"/>
  <c r="BR18" i="13"/>
  <c r="BC17" i="13"/>
  <c r="O18" i="13" s="1"/>
  <c r="P18" i="13" s="1"/>
  <c r="AL33" i="50"/>
  <c r="BT17" i="13"/>
  <c r="BU17" i="13" s="1"/>
  <c r="BK33" i="52"/>
  <c r="BI33" i="52" s="1"/>
  <c r="BH34" i="52" s="1"/>
  <c r="AT31" i="15"/>
  <c r="AS32" i="15" s="1"/>
  <c r="BK33" i="53"/>
  <c r="BI33" i="53" s="1"/>
  <c r="BH34" i="53" s="1"/>
  <c r="BD31" i="15"/>
  <c r="BC32" i="15" s="1"/>
  <c r="AL33" i="52"/>
  <c r="M31" i="15"/>
  <c r="AL33" i="53"/>
  <c r="DM41" i="15"/>
  <c r="DI42" i="15"/>
  <c r="AJ44" i="65" s="1"/>
  <c r="M44" i="65" s="1"/>
  <c r="N44" i="65" s="1"/>
  <c r="BV18" i="56"/>
  <c r="BW18" i="56" s="1"/>
  <c r="BY18" i="56" s="1"/>
  <c r="BI18" i="56" s="1"/>
  <c r="BU18" i="56"/>
  <c r="AH20" i="53"/>
  <c r="AS20" i="53"/>
  <c r="AU20" i="53" s="1"/>
  <c r="AX20" i="53" s="1"/>
  <c r="BB20" i="53" s="1"/>
  <c r="BU19" i="53"/>
  <c r="AK19" i="52"/>
  <c r="AM19" i="52" s="1"/>
  <c r="AI19" i="52"/>
  <c r="AK20" i="51"/>
  <c r="AM20" i="51" s="1"/>
  <c r="AI20" i="51"/>
  <c r="BP19" i="50"/>
  <c r="BQ19" i="50" s="1"/>
  <c r="BS19" i="50" s="1"/>
  <c r="BO19" i="50"/>
  <c r="P43" i="65" l="1"/>
  <c r="Q43" i="65" s="1"/>
  <c r="AN43" i="65"/>
  <c r="AO43" i="65" s="1"/>
  <c r="AM43" i="65"/>
  <c r="O44" i="65"/>
  <c r="AD44" i="65" s="1"/>
  <c r="AG44" i="65" s="1"/>
  <c r="AI43" i="65"/>
  <c r="AH44" i="65" s="1"/>
  <c r="AQ32" i="67"/>
  <c r="AS32" i="67" s="1"/>
  <c r="AC32" i="67" s="1"/>
  <c r="G33" i="67" s="1"/>
  <c r="O33" i="67"/>
  <c r="AD33" i="67" s="1"/>
  <c r="AG33" i="67" s="1"/>
  <c r="AL33" i="67"/>
  <c r="AT33" i="65"/>
  <c r="AU33" i="65" s="1"/>
  <c r="AQ33" i="65"/>
  <c r="AS33" i="65" s="1"/>
  <c r="AR34" i="66"/>
  <c r="G34" i="66"/>
  <c r="AF32" i="67"/>
  <c r="AE32" i="67"/>
  <c r="AE32" i="65"/>
  <c r="AF32" i="65"/>
  <c r="AC31" i="64"/>
  <c r="G32" i="64" s="1"/>
  <c r="M33" i="64"/>
  <c r="N33" i="64" s="1"/>
  <c r="O33" i="64" s="1"/>
  <c r="AD33" i="64" s="1"/>
  <c r="AG33" i="64" s="1"/>
  <c r="AN32" i="64"/>
  <c r="AO32" i="64" s="1"/>
  <c r="M33" i="61"/>
  <c r="N33" i="61" s="1"/>
  <c r="O33" i="61" s="1"/>
  <c r="AK33" i="64"/>
  <c r="AI33" i="64" s="1"/>
  <c r="AH34" i="64" s="1"/>
  <c r="AK33" i="61"/>
  <c r="AI33" i="61" s="1"/>
  <c r="AH34" i="61" s="1"/>
  <c r="DB31" i="15"/>
  <c r="DA32" i="15" s="1"/>
  <c r="DC31" i="15"/>
  <c r="BL33" i="51"/>
  <c r="BL33" i="50"/>
  <c r="BX31" i="15"/>
  <c r="BW32" i="15" s="1"/>
  <c r="BY31" i="15"/>
  <c r="BN31" i="15"/>
  <c r="BM32" i="15" s="1"/>
  <c r="BO31" i="15"/>
  <c r="BL33" i="52"/>
  <c r="BL33" i="53"/>
  <c r="BA32" i="15"/>
  <c r="AS18" i="13"/>
  <c r="AU18" i="13" s="1"/>
  <c r="AX18" i="13" s="1"/>
  <c r="BB18" i="13" s="1"/>
  <c r="AH18" i="13"/>
  <c r="BQ33" i="56"/>
  <c r="BO33" i="56" s="1"/>
  <c r="BN34" i="56" s="1"/>
  <c r="CH31" i="15"/>
  <c r="CG32" i="15" s="1"/>
  <c r="BJ33" i="13"/>
  <c r="N31" i="15"/>
  <c r="Q31" i="15" s="1"/>
  <c r="CI31" i="15"/>
  <c r="AQ32" i="15"/>
  <c r="W32" i="15"/>
  <c r="AR33" i="56"/>
  <c r="AG32" i="15"/>
  <c r="DH42" i="15"/>
  <c r="DJ42" i="15" s="1"/>
  <c r="BX19" i="56"/>
  <c r="U19" i="56"/>
  <c r="V19" i="56" s="1"/>
  <c r="BZ18" i="56"/>
  <c r="CA18" i="56" s="1"/>
  <c r="AK20" i="53"/>
  <c r="AM20" i="53" s="1"/>
  <c r="AI20" i="53"/>
  <c r="AN19" i="52"/>
  <c r="BD19" i="52" s="1"/>
  <c r="BG19" i="52" s="1"/>
  <c r="AN20" i="51"/>
  <c r="BD20" i="51" s="1"/>
  <c r="BG20" i="51" s="1"/>
  <c r="BR20" i="50"/>
  <c r="BC19" i="50"/>
  <c r="O20" i="50" s="1"/>
  <c r="P20" i="50" s="1"/>
  <c r="BT19" i="50"/>
  <c r="BU19" i="50" s="1"/>
  <c r="AR33" i="67" l="1"/>
  <c r="P44" i="65"/>
  <c r="Q44" i="65" s="1"/>
  <c r="DL42" i="15"/>
  <c r="DK43" i="15" s="1"/>
  <c r="AK44" i="65"/>
  <c r="AL44" i="65" s="1"/>
  <c r="AM44" i="65" s="1"/>
  <c r="P33" i="67"/>
  <c r="Q33" i="67" s="1"/>
  <c r="AM33" i="67"/>
  <c r="AN33" i="67"/>
  <c r="AR34" i="65"/>
  <c r="AC33" i="65"/>
  <c r="AP34" i="66"/>
  <c r="AL33" i="64"/>
  <c r="G33" i="65"/>
  <c r="AE32" i="64"/>
  <c r="AF32" i="64"/>
  <c r="AP32" i="64"/>
  <c r="AT32" i="64" s="1"/>
  <c r="AU32" i="64" s="1"/>
  <c r="AL33" i="61"/>
  <c r="P33" i="61"/>
  <c r="Q33" i="61" s="1"/>
  <c r="AD33" i="61"/>
  <c r="AG33" i="61" s="1"/>
  <c r="CY32" i="15"/>
  <c r="AJ34" i="67" s="1"/>
  <c r="BU32" i="15"/>
  <c r="BK32" i="15"/>
  <c r="BJ34" i="51"/>
  <c r="AH32" i="15"/>
  <c r="AK32" i="15" s="1"/>
  <c r="BJ34" i="50"/>
  <c r="X32" i="15"/>
  <c r="CE32" i="15"/>
  <c r="BJ34" i="52"/>
  <c r="AR32" i="15"/>
  <c r="AU32" i="15" s="1"/>
  <c r="AI18" i="13"/>
  <c r="AK18" i="13"/>
  <c r="AM18" i="13" s="1"/>
  <c r="AO20" i="51"/>
  <c r="AP20" i="51" s="1"/>
  <c r="BR33" i="56"/>
  <c r="BK33" i="13"/>
  <c r="BI33" i="13" s="1"/>
  <c r="BH34" i="13" s="1"/>
  <c r="P31" i="15"/>
  <c r="O32" i="15" s="1"/>
  <c r="AL33" i="13"/>
  <c r="BJ34" i="53"/>
  <c r="BB32" i="15"/>
  <c r="DM42" i="15"/>
  <c r="DI43" i="15"/>
  <c r="AN19" i="56"/>
  <c r="AY19" i="56"/>
  <c r="BA19" i="56" s="1"/>
  <c r="BD19" i="56" s="1"/>
  <c r="BH19" i="56" s="1"/>
  <c r="AN20" i="53"/>
  <c r="BD20" i="53" s="1"/>
  <c r="BG20" i="53" s="1"/>
  <c r="AO19" i="52"/>
  <c r="AP19" i="52" s="1"/>
  <c r="BN19" i="52"/>
  <c r="BM19" i="52"/>
  <c r="BF19" i="52"/>
  <c r="BE19" i="52"/>
  <c r="BN20" i="51"/>
  <c r="BM20" i="51"/>
  <c r="BE20" i="51"/>
  <c r="BF20" i="51"/>
  <c r="AH20" i="50"/>
  <c r="AS20" i="50"/>
  <c r="AU20" i="50" s="1"/>
  <c r="AX20" i="50" s="1"/>
  <c r="BB20" i="50" s="1"/>
  <c r="AN44" i="65" l="1"/>
  <c r="AO44" i="65" s="1"/>
  <c r="AI44" i="65"/>
  <c r="AO33" i="67"/>
  <c r="AP33" i="67"/>
  <c r="AT33" i="67" s="1"/>
  <c r="AU33" i="67" s="1"/>
  <c r="M34" i="67"/>
  <c r="N34" i="67" s="1"/>
  <c r="AP34" i="65"/>
  <c r="AT34" i="66"/>
  <c r="AU34" i="66" s="1"/>
  <c r="AQ34" i="66"/>
  <c r="AS34" i="66" s="1"/>
  <c r="AC34" i="66" s="1"/>
  <c r="AF33" i="67"/>
  <c r="AE33" i="67"/>
  <c r="AQ32" i="64"/>
  <c r="AS32" i="64" s="1"/>
  <c r="AM33" i="64"/>
  <c r="P33" i="64"/>
  <c r="Q33" i="64" s="1"/>
  <c r="AJ34" i="64"/>
  <c r="AJ34" i="61"/>
  <c r="AM19" i="61"/>
  <c r="AN19" i="61"/>
  <c r="CZ32" i="15"/>
  <c r="AO20" i="53"/>
  <c r="AP20" i="53" s="1"/>
  <c r="BV32" i="15"/>
  <c r="BL32" i="15"/>
  <c r="BO32" i="15" s="1"/>
  <c r="BL33" i="13"/>
  <c r="AL34" i="53"/>
  <c r="AN18" i="13"/>
  <c r="BD18" i="13" s="1"/>
  <c r="BG18" i="13" s="1"/>
  <c r="BK34" i="50"/>
  <c r="BI34" i="50" s="1"/>
  <c r="BH35" i="50" s="1"/>
  <c r="Z32" i="15"/>
  <c r="Y33" i="15" s="1"/>
  <c r="AA32" i="15"/>
  <c r="M32" i="15"/>
  <c r="BK34" i="52"/>
  <c r="BI34" i="52" s="1"/>
  <c r="BH35" i="52" s="1"/>
  <c r="AT32" i="15"/>
  <c r="AS33" i="15" s="1"/>
  <c r="AL34" i="52"/>
  <c r="AL34" i="50"/>
  <c r="BK34" i="53"/>
  <c r="BI34" i="53" s="1"/>
  <c r="BH35" i="53" s="1"/>
  <c r="BD32" i="15"/>
  <c r="BC33" i="15" s="1"/>
  <c r="BP34" i="56"/>
  <c r="CF32" i="15"/>
  <c r="BK34" i="51"/>
  <c r="BI34" i="51" s="1"/>
  <c r="BH35" i="51" s="1"/>
  <c r="AJ32" i="15"/>
  <c r="AI33" i="15" s="1"/>
  <c r="BE32" i="15"/>
  <c r="AL34" i="51"/>
  <c r="DH43" i="15"/>
  <c r="DJ43" i="15" s="1"/>
  <c r="DL43" i="15" s="1"/>
  <c r="DK44" i="15" s="1"/>
  <c r="AQ19" i="56"/>
  <c r="AS19" i="56" s="1"/>
  <c r="AO19" i="56"/>
  <c r="BN20" i="53"/>
  <c r="BF20" i="53"/>
  <c r="BE20" i="53"/>
  <c r="BM20" i="53"/>
  <c r="BP19" i="52"/>
  <c r="BQ19" i="52" s="1"/>
  <c r="BS19" i="52" s="1"/>
  <c r="BO19" i="52"/>
  <c r="BP20" i="51"/>
  <c r="BQ20" i="51" s="1"/>
  <c r="BS20" i="51" s="1"/>
  <c r="BO20" i="51"/>
  <c r="AK20" i="50"/>
  <c r="AM20" i="50" s="1"/>
  <c r="AI20" i="50"/>
  <c r="AQ33" i="67" l="1"/>
  <c r="AS33" i="67" s="1"/>
  <c r="AR34" i="67" s="1"/>
  <c r="DC32" i="15"/>
  <c r="AK34" i="67"/>
  <c r="O34" i="67"/>
  <c r="AD34" i="67" s="1"/>
  <c r="AG34" i="67" s="1"/>
  <c r="AT34" i="65"/>
  <c r="AU34" i="65" s="1"/>
  <c r="AQ34" i="65"/>
  <c r="AS34" i="65" s="1"/>
  <c r="AR35" i="66"/>
  <c r="G35" i="66"/>
  <c r="AE33" i="66"/>
  <c r="AF33" i="66"/>
  <c r="AR33" i="64"/>
  <c r="AC32" i="64"/>
  <c r="G33" i="64" s="1"/>
  <c r="M34" i="64"/>
  <c r="N34" i="64" s="1"/>
  <c r="O34" i="64" s="1"/>
  <c r="AD34" i="64" s="1"/>
  <c r="AG34" i="64" s="1"/>
  <c r="AN33" i="64"/>
  <c r="AO33" i="64" s="1"/>
  <c r="AK34" i="64"/>
  <c r="AI34" i="64" s="1"/>
  <c r="AH35" i="64" s="1"/>
  <c r="AK34" i="61"/>
  <c r="AI34" i="61" s="1"/>
  <c r="AH35" i="61" s="1"/>
  <c r="M34" i="61"/>
  <c r="N34" i="61" s="1"/>
  <c r="O34" i="61" s="1"/>
  <c r="AO19" i="61"/>
  <c r="AP19" i="61"/>
  <c r="AT19" i="61" s="1"/>
  <c r="AU19" i="61" s="1"/>
  <c r="BY32" i="15"/>
  <c r="DB32" i="15"/>
  <c r="DA33" i="15" s="1"/>
  <c r="BL34" i="51"/>
  <c r="BX32" i="15"/>
  <c r="BW33" i="15" s="1"/>
  <c r="BN32" i="15"/>
  <c r="BM33" i="15" s="1"/>
  <c r="AO18" i="13"/>
  <c r="AP18" i="13" s="1"/>
  <c r="BQ34" i="56"/>
  <c r="BO34" i="56" s="1"/>
  <c r="BN35" i="56" s="1"/>
  <c r="CH32" i="15"/>
  <c r="CG33" i="15" s="1"/>
  <c r="W33" i="15"/>
  <c r="AR34" i="56"/>
  <c r="AQ33" i="15"/>
  <c r="BA33" i="15"/>
  <c r="BL34" i="50"/>
  <c r="N32" i="15"/>
  <c r="Q32" i="15" s="1"/>
  <c r="BJ34" i="13"/>
  <c r="AG33" i="15"/>
  <c r="BF18" i="13"/>
  <c r="BM18" i="13"/>
  <c r="BN18" i="13"/>
  <c r="BE18" i="13"/>
  <c r="BL34" i="52"/>
  <c r="BL34" i="53"/>
  <c r="CI32" i="15"/>
  <c r="DI44" i="15"/>
  <c r="DM43" i="15"/>
  <c r="AT19" i="56"/>
  <c r="BJ19" i="56" s="1"/>
  <c r="BM19" i="56" s="1"/>
  <c r="BP20" i="53"/>
  <c r="BQ20" i="53" s="1"/>
  <c r="BS20" i="53" s="1"/>
  <c r="BO20" i="53"/>
  <c r="BR20" i="52"/>
  <c r="BC19" i="52"/>
  <c r="O20" i="52" s="1"/>
  <c r="P20" i="52" s="1"/>
  <c r="BT19" i="52"/>
  <c r="BU19" i="52" s="1"/>
  <c r="BR21" i="51"/>
  <c r="BC20" i="51"/>
  <c r="O21" i="51" s="1"/>
  <c r="P21" i="51" s="1"/>
  <c r="BT20" i="51"/>
  <c r="BU20" i="51" s="1"/>
  <c r="AN20" i="50"/>
  <c r="BD20" i="50" s="1"/>
  <c r="BG20" i="50" s="1"/>
  <c r="AC33" i="67" l="1"/>
  <c r="G34" i="67" s="1"/>
  <c r="P34" i="67"/>
  <c r="Q34" i="67" s="1"/>
  <c r="AI34" i="67"/>
  <c r="AH35" i="67" s="1"/>
  <c r="AL34" i="67"/>
  <c r="AM34" i="67" s="1"/>
  <c r="AR35" i="65"/>
  <c r="AC34" i="65"/>
  <c r="AP35" i="66"/>
  <c r="AE33" i="65"/>
  <c r="AF33" i="65"/>
  <c r="G34" i="65"/>
  <c r="AL34" i="64"/>
  <c r="AE33" i="64"/>
  <c r="AF33" i="64"/>
  <c r="AP33" i="64"/>
  <c r="AT33" i="64" s="1"/>
  <c r="AU33" i="64" s="1"/>
  <c r="AL34" i="61"/>
  <c r="P34" i="61"/>
  <c r="Q34" i="61" s="1"/>
  <c r="AD34" i="61"/>
  <c r="AG34" i="61" s="1"/>
  <c r="AQ19" i="61"/>
  <c r="AS19" i="61" s="1"/>
  <c r="CY33" i="15"/>
  <c r="AJ35" i="67" s="1"/>
  <c r="BU33" i="15"/>
  <c r="BK33" i="15"/>
  <c r="BR34" i="56"/>
  <c r="BJ35" i="52"/>
  <c r="AR33" i="15"/>
  <c r="BJ35" i="51"/>
  <c r="AH33" i="15"/>
  <c r="AK33" i="15" s="1"/>
  <c r="AL34" i="13"/>
  <c r="BJ35" i="50"/>
  <c r="X33" i="15"/>
  <c r="BO18" i="13"/>
  <c r="BP18" i="13"/>
  <c r="BQ18" i="13" s="1"/>
  <c r="BS18" i="13" s="1"/>
  <c r="BK34" i="13"/>
  <c r="BI34" i="13" s="1"/>
  <c r="BH35" i="13" s="1"/>
  <c r="P32" i="15"/>
  <c r="O33" i="15" s="1"/>
  <c r="BJ35" i="53"/>
  <c r="BB33" i="15"/>
  <c r="CE33" i="15"/>
  <c r="DH44" i="15"/>
  <c r="DI7" i="15"/>
  <c r="AU19" i="56"/>
  <c r="AV19" i="56" s="1"/>
  <c r="BT19" i="56"/>
  <c r="BS19" i="56"/>
  <c r="BL19" i="56"/>
  <c r="BK19" i="56"/>
  <c r="BR21" i="53"/>
  <c r="BC20" i="53"/>
  <c r="O21" i="53" s="1"/>
  <c r="P21" i="53" s="1"/>
  <c r="BT20" i="53"/>
  <c r="AH20" i="52"/>
  <c r="AS20" i="52"/>
  <c r="AU20" i="52" s="1"/>
  <c r="AX20" i="52" s="1"/>
  <c r="BB20" i="52" s="1"/>
  <c r="AH21" i="51"/>
  <c r="AS21" i="51"/>
  <c r="AU21" i="51" s="1"/>
  <c r="AX21" i="51" s="1"/>
  <c r="BB21" i="51" s="1"/>
  <c r="AO20" i="50"/>
  <c r="AP20" i="50" s="1"/>
  <c r="BN20" i="50"/>
  <c r="BM20" i="50"/>
  <c r="BF20" i="50"/>
  <c r="BE20" i="50"/>
  <c r="M35" i="67" l="1"/>
  <c r="N35" i="67" s="1"/>
  <c r="AN34" i="67"/>
  <c r="AP35" i="65"/>
  <c r="AT35" i="66"/>
  <c r="AU35" i="66" s="1"/>
  <c r="AQ35" i="66"/>
  <c r="AS35" i="66" s="1"/>
  <c r="AC35" i="66" s="1"/>
  <c r="AE34" i="67"/>
  <c r="AF34" i="67"/>
  <c r="AE34" i="65"/>
  <c r="AF34" i="65"/>
  <c r="AQ33" i="64"/>
  <c r="AS33" i="64" s="1"/>
  <c r="AM34" i="64"/>
  <c r="P34" i="64"/>
  <c r="Q34" i="64" s="1"/>
  <c r="AJ35" i="64"/>
  <c r="AJ35" i="61"/>
  <c r="M35" i="61" s="1"/>
  <c r="N35" i="61" s="1"/>
  <c r="AR20" i="61"/>
  <c r="AC19" i="61"/>
  <c r="G20" i="61" s="1"/>
  <c r="CZ33" i="15"/>
  <c r="AK35" i="67" s="1"/>
  <c r="AL35" i="67" s="1"/>
  <c r="BV33" i="15"/>
  <c r="BL33" i="15"/>
  <c r="BO33" i="15" s="1"/>
  <c r="BK35" i="53"/>
  <c r="BI35" i="53" s="1"/>
  <c r="BH36" i="53" s="1"/>
  <c r="BD33" i="15"/>
  <c r="BC34" i="15" s="1"/>
  <c r="BK35" i="50"/>
  <c r="BI35" i="50" s="1"/>
  <c r="BH36" i="50" s="1"/>
  <c r="Z33" i="15"/>
  <c r="Y34" i="15" s="1"/>
  <c r="BE33" i="15"/>
  <c r="AA33" i="15"/>
  <c r="BK35" i="51"/>
  <c r="BI35" i="51" s="1"/>
  <c r="BH36" i="51" s="1"/>
  <c r="AJ33" i="15"/>
  <c r="AI34" i="15" s="1"/>
  <c r="AL35" i="53"/>
  <c r="AL35" i="50"/>
  <c r="AL35" i="51"/>
  <c r="M33" i="15"/>
  <c r="BK35" i="52"/>
  <c r="BI35" i="52" s="1"/>
  <c r="BH36" i="52" s="1"/>
  <c r="AT33" i="15"/>
  <c r="AS34" i="15" s="1"/>
  <c r="AU33" i="15"/>
  <c r="BR19" i="13"/>
  <c r="BC18" i="13"/>
  <c r="O19" i="13" s="1"/>
  <c r="P19" i="13" s="1"/>
  <c r="BL34" i="13"/>
  <c r="AL35" i="52"/>
  <c r="BP35" i="56"/>
  <c r="CF33" i="15"/>
  <c r="CI33" i="15" s="1"/>
  <c r="BT18" i="13"/>
  <c r="BU18" i="13" s="1"/>
  <c r="DJ44" i="15"/>
  <c r="DH7" i="15"/>
  <c r="BU19" i="56"/>
  <c r="BV19" i="56"/>
  <c r="AH21" i="53"/>
  <c r="AS21" i="53"/>
  <c r="AU21" i="53" s="1"/>
  <c r="AX21" i="53" s="1"/>
  <c r="BB21" i="53" s="1"/>
  <c r="BU20" i="53"/>
  <c r="AK20" i="52"/>
  <c r="AM20" i="52" s="1"/>
  <c r="AI20" i="52"/>
  <c r="AK21" i="51"/>
  <c r="AM21" i="51" s="1"/>
  <c r="AI21" i="51"/>
  <c r="BP20" i="50"/>
  <c r="BQ20" i="50" s="1"/>
  <c r="BS20" i="50" s="1"/>
  <c r="BO20" i="50"/>
  <c r="AO34" i="67" l="1"/>
  <c r="AP34" i="67"/>
  <c r="AT34" i="67" s="1"/>
  <c r="AU34" i="67" s="1"/>
  <c r="AI35" i="67"/>
  <c r="AH36" i="67" s="1"/>
  <c r="O35" i="67"/>
  <c r="AD35" i="67" s="1"/>
  <c r="AG35" i="67" s="1"/>
  <c r="AT35" i="65"/>
  <c r="AU35" i="65" s="1"/>
  <c r="AQ35" i="65"/>
  <c r="AS35" i="65" s="1"/>
  <c r="AR36" i="66"/>
  <c r="G36" i="66"/>
  <c r="AF34" i="66"/>
  <c r="AE34" i="66"/>
  <c r="AR34" i="64"/>
  <c r="AC33" i="64"/>
  <c r="G34" i="64" s="1"/>
  <c r="M35" i="64"/>
  <c r="N35" i="64" s="1"/>
  <c r="O35" i="64" s="1"/>
  <c r="AD35" i="64" s="1"/>
  <c r="AG35" i="64" s="1"/>
  <c r="AN34" i="64"/>
  <c r="AO34" i="64" s="1"/>
  <c r="AK35" i="64"/>
  <c r="AI35" i="64" s="1"/>
  <c r="AH36" i="64" s="1"/>
  <c r="AK35" i="61"/>
  <c r="AF20" i="61"/>
  <c r="AE20" i="61"/>
  <c r="O35" i="61"/>
  <c r="DB33" i="15"/>
  <c r="DA34" i="15" s="1"/>
  <c r="DC33" i="15"/>
  <c r="BL35" i="53"/>
  <c r="BL35" i="51"/>
  <c r="BL35" i="50"/>
  <c r="BX33" i="15"/>
  <c r="BW34" i="15" s="1"/>
  <c r="BY33" i="15"/>
  <c r="BN33" i="15"/>
  <c r="BM34" i="15" s="1"/>
  <c r="BL35" i="52"/>
  <c r="AR35" i="56"/>
  <c r="AQ34" i="15"/>
  <c r="W34" i="15"/>
  <c r="AH19" i="13"/>
  <c r="AS19" i="13"/>
  <c r="AU19" i="13" s="1"/>
  <c r="AX19" i="13" s="1"/>
  <c r="BB19" i="13" s="1"/>
  <c r="N33" i="15"/>
  <c r="Q33" i="15" s="1"/>
  <c r="BJ35" i="13"/>
  <c r="AG34" i="15"/>
  <c r="BA34" i="15"/>
  <c r="BQ35" i="56"/>
  <c r="BO35" i="56" s="1"/>
  <c r="BN36" i="56" s="1"/>
  <c r="CH33" i="15"/>
  <c r="CG34" i="15" s="1"/>
  <c r="DJ7" i="15"/>
  <c r="DL44" i="15"/>
  <c r="DM44" i="15"/>
  <c r="DM7" i="15" s="1"/>
  <c r="BZ19" i="56"/>
  <c r="CA19" i="56" s="1"/>
  <c r="BW19" i="56"/>
  <c r="BY19" i="56" s="1"/>
  <c r="BI19" i="56" s="1"/>
  <c r="AK21" i="53"/>
  <c r="AM21" i="53" s="1"/>
  <c r="AI21" i="53"/>
  <c r="AN20" i="52"/>
  <c r="BD20" i="52" s="1"/>
  <c r="BG20" i="52" s="1"/>
  <c r="AN21" i="51"/>
  <c r="BD21" i="51" s="1"/>
  <c r="BG21" i="51" s="1"/>
  <c r="BR21" i="50"/>
  <c r="BC20" i="50"/>
  <c r="O21" i="50" s="1"/>
  <c r="P21" i="50" s="1"/>
  <c r="BT20" i="50"/>
  <c r="BU20" i="50" s="1"/>
  <c r="AQ34" i="67" l="1"/>
  <c r="AS34" i="67" s="1"/>
  <c r="AR35" i="67" s="1"/>
  <c r="P35" i="67"/>
  <c r="Q35" i="67" s="1"/>
  <c r="AM35" i="67"/>
  <c r="AN35" i="67"/>
  <c r="AR36" i="65"/>
  <c r="AC35" i="65"/>
  <c r="AP36" i="66"/>
  <c r="AL35" i="64"/>
  <c r="AE34" i="64"/>
  <c r="AF34" i="64"/>
  <c r="AP34" i="64"/>
  <c r="AT34" i="64" s="1"/>
  <c r="AU34" i="64" s="1"/>
  <c r="AL35" i="61"/>
  <c r="AI35" i="61"/>
  <c r="AH36" i="61" s="1"/>
  <c r="P35" i="61"/>
  <c r="Q35" i="61" s="1"/>
  <c r="AD35" i="61"/>
  <c r="AG35" i="61" s="1"/>
  <c r="CY34" i="15"/>
  <c r="AJ36" i="67" s="1"/>
  <c r="M36" i="67" s="1"/>
  <c r="N36" i="67" s="1"/>
  <c r="BU34" i="15"/>
  <c r="BK34" i="15"/>
  <c r="AL35" i="13"/>
  <c r="CE34" i="15"/>
  <c r="BK35" i="13"/>
  <c r="BI35" i="13" s="1"/>
  <c r="BH36" i="13" s="1"/>
  <c r="P33" i="15"/>
  <c r="O34" i="15" s="1"/>
  <c r="BJ36" i="50"/>
  <c r="X34" i="15"/>
  <c r="AA34" i="15" s="1"/>
  <c r="AO20" i="52"/>
  <c r="AP20" i="52" s="1"/>
  <c r="BJ36" i="53"/>
  <c r="AL36" i="53" s="1"/>
  <c r="BB34" i="15"/>
  <c r="BJ36" i="52"/>
  <c r="AR34" i="15"/>
  <c r="BJ36" i="51"/>
  <c r="AH34" i="15"/>
  <c r="AK34" i="15" s="1"/>
  <c r="BR35" i="56"/>
  <c r="AK19" i="13"/>
  <c r="AM19" i="13" s="1"/>
  <c r="AI19" i="13"/>
  <c r="BX20" i="56"/>
  <c r="U20" i="56"/>
  <c r="V20" i="56" s="1"/>
  <c r="AN21" i="53"/>
  <c r="BD21" i="53" s="1"/>
  <c r="BG21" i="53" s="1"/>
  <c r="BN20" i="52"/>
  <c r="BE20" i="52"/>
  <c r="BM20" i="52"/>
  <c r="BF20" i="52"/>
  <c r="BN21" i="51"/>
  <c r="BM21" i="51"/>
  <c r="BF21" i="51"/>
  <c r="BE21" i="51"/>
  <c r="AO21" i="51"/>
  <c r="AP21" i="51" s="1"/>
  <c r="AH21" i="50"/>
  <c r="AS21" i="50"/>
  <c r="AU21" i="50" s="1"/>
  <c r="AX21" i="50" s="1"/>
  <c r="BB21" i="50" s="1"/>
  <c r="AC34" i="67" l="1"/>
  <c r="G35" i="67" s="1"/>
  <c r="AO35" i="67"/>
  <c r="AP35" i="67"/>
  <c r="AT35" i="67" s="1"/>
  <c r="AU35" i="67" s="1"/>
  <c r="O36" i="67"/>
  <c r="AD36" i="67" s="1"/>
  <c r="AG36" i="67" s="1"/>
  <c r="AP36" i="65"/>
  <c r="AQ36" i="66"/>
  <c r="AS36" i="66" s="1"/>
  <c r="AC36" i="66" s="1"/>
  <c r="AT36" i="66"/>
  <c r="AU36" i="66" s="1"/>
  <c r="G35" i="65"/>
  <c r="AQ34" i="64"/>
  <c r="AS34" i="64" s="1"/>
  <c r="AM35" i="64"/>
  <c r="P35" i="64"/>
  <c r="Q35" i="64" s="1"/>
  <c r="AJ36" i="64"/>
  <c r="AJ36" i="61"/>
  <c r="CZ34" i="15"/>
  <c r="AK36" i="67" s="1"/>
  <c r="BV34" i="15"/>
  <c r="BL34" i="15"/>
  <c r="BK36" i="53"/>
  <c r="BD34" i="15"/>
  <c r="BC35" i="15" s="1"/>
  <c r="BE34" i="15"/>
  <c r="M34" i="15"/>
  <c r="BK36" i="51"/>
  <c r="BI36" i="51" s="1"/>
  <c r="BH37" i="51" s="1"/>
  <c r="AJ34" i="15"/>
  <c r="AI35" i="15" s="1"/>
  <c r="AL36" i="51"/>
  <c r="BP36" i="56"/>
  <c r="CF34" i="15"/>
  <c r="BK36" i="52"/>
  <c r="BI36" i="52" s="1"/>
  <c r="BH37" i="52" s="1"/>
  <c r="AT34" i="15"/>
  <c r="AS35" i="15" s="1"/>
  <c r="BK36" i="50"/>
  <c r="BI36" i="50" s="1"/>
  <c r="BH37" i="50" s="1"/>
  <c r="Z34" i="15"/>
  <c r="Y35" i="15" s="1"/>
  <c r="AU34" i="15"/>
  <c r="AL36" i="50"/>
  <c r="BL35" i="13"/>
  <c r="AN19" i="13"/>
  <c r="BD19" i="13" s="1"/>
  <c r="BG19" i="13" s="1"/>
  <c r="AL36" i="52"/>
  <c r="AN20" i="56"/>
  <c r="AY20" i="56"/>
  <c r="BA20" i="56" s="1"/>
  <c r="BD20" i="56" s="1"/>
  <c r="BH20" i="56" s="1"/>
  <c r="AO21" i="53"/>
  <c r="AP21" i="53" s="1"/>
  <c r="BN21" i="53"/>
  <c r="BF21" i="53"/>
  <c r="BE21" i="53"/>
  <c r="BM21" i="53"/>
  <c r="BP20" i="52"/>
  <c r="BO20" i="52"/>
  <c r="BP21" i="51"/>
  <c r="BO21" i="51"/>
  <c r="AK21" i="50"/>
  <c r="AM21" i="50" s="1"/>
  <c r="AI21" i="50"/>
  <c r="P36" i="67" l="1"/>
  <c r="Q36" i="67" s="1"/>
  <c r="AQ35" i="67"/>
  <c r="AS35" i="67" s="1"/>
  <c r="AR36" i="67" s="1"/>
  <c r="AL36" i="67"/>
  <c r="AN36" i="67" s="1"/>
  <c r="AI36" i="67"/>
  <c r="AH37" i="67" s="1"/>
  <c r="AT36" i="65"/>
  <c r="AU36" i="65" s="1"/>
  <c r="AQ36" i="65"/>
  <c r="AS36" i="65" s="1"/>
  <c r="AR37" i="66"/>
  <c r="G37" i="66"/>
  <c r="AE35" i="66"/>
  <c r="AF35" i="66"/>
  <c r="AR35" i="64"/>
  <c r="AC34" i="64"/>
  <c r="G35" i="64" s="1"/>
  <c r="M36" i="64"/>
  <c r="N36" i="64" s="1"/>
  <c r="O36" i="64" s="1"/>
  <c r="AD36" i="64" s="1"/>
  <c r="AG36" i="64" s="1"/>
  <c r="AN35" i="64"/>
  <c r="AO35" i="64" s="1"/>
  <c r="M36" i="61"/>
  <c r="N36" i="61" s="1"/>
  <c r="O36" i="61" s="1"/>
  <c r="AK36" i="64"/>
  <c r="AI36" i="64" s="1"/>
  <c r="AH37" i="64" s="1"/>
  <c r="AK36" i="61"/>
  <c r="AI36" i="61" s="1"/>
  <c r="AH37" i="61" s="1"/>
  <c r="AM20" i="61"/>
  <c r="AN20" i="61"/>
  <c r="BY34" i="15"/>
  <c r="DB34" i="15"/>
  <c r="DA35" i="15" s="1"/>
  <c r="DC34" i="15"/>
  <c r="BX34" i="15"/>
  <c r="BW35" i="15" s="1"/>
  <c r="BN34" i="15"/>
  <c r="BM35" i="15" s="1"/>
  <c r="BO34" i="15"/>
  <c r="BL36" i="50"/>
  <c r="BQ36" i="56"/>
  <c r="BO36" i="56" s="1"/>
  <c r="BN37" i="56" s="1"/>
  <c r="CH34" i="15"/>
  <c r="CG35" i="15" s="1"/>
  <c r="CI34" i="15"/>
  <c r="N34" i="15"/>
  <c r="Q34" i="15" s="1"/>
  <c r="BJ36" i="13"/>
  <c r="BL36" i="52"/>
  <c r="W35" i="15"/>
  <c r="AR36" i="56"/>
  <c r="BL36" i="51"/>
  <c r="BF19" i="13"/>
  <c r="BM19" i="13"/>
  <c r="BE19" i="13"/>
  <c r="BN19" i="13"/>
  <c r="AO19" i="13"/>
  <c r="AP19" i="13" s="1"/>
  <c r="BA35" i="15"/>
  <c r="AQ35" i="15"/>
  <c r="AG35" i="15"/>
  <c r="BL36" i="53"/>
  <c r="BI36" i="53"/>
  <c r="BH37" i="53" s="1"/>
  <c r="AQ20" i="56"/>
  <c r="AS20" i="56" s="1"/>
  <c r="AO20" i="56"/>
  <c r="BP21" i="53"/>
  <c r="BO21" i="53"/>
  <c r="BT20" i="52"/>
  <c r="BU20" i="52" s="1"/>
  <c r="BQ20" i="52"/>
  <c r="BS20" i="52" s="1"/>
  <c r="BT21" i="51"/>
  <c r="BU21" i="51" s="1"/>
  <c r="BQ21" i="51"/>
  <c r="BS21" i="51" s="1"/>
  <c r="AN21" i="50"/>
  <c r="BD21" i="50" s="1"/>
  <c r="BG21" i="50" s="1"/>
  <c r="AC35" i="67" l="1"/>
  <c r="G36" i="67" s="1"/>
  <c r="AO36" i="67"/>
  <c r="AP36" i="67"/>
  <c r="AT36" i="67" s="1"/>
  <c r="AU36" i="67" s="1"/>
  <c r="AM36" i="67"/>
  <c r="AR37" i="65"/>
  <c r="AC36" i="65"/>
  <c r="AP37" i="66"/>
  <c r="AE35" i="67"/>
  <c r="AF35" i="67"/>
  <c r="AE35" i="65"/>
  <c r="AF35" i="65"/>
  <c r="G36" i="65"/>
  <c r="AL36" i="64"/>
  <c r="AE35" i="64"/>
  <c r="AF35" i="64"/>
  <c r="AP35" i="64"/>
  <c r="AT35" i="64" s="1"/>
  <c r="AU35" i="64" s="1"/>
  <c r="AL36" i="61"/>
  <c r="P36" i="61"/>
  <c r="Q36" i="61" s="1"/>
  <c r="AD36" i="61"/>
  <c r="AG36" i="61" s="1"/>
  <c r="AO20" i="61"/>
  <c r="AP20" i="61"/>
  <c r="AT20" i="61" s="1"/>
  <c r="AU20" i="61" s="1"/>
  <c r="CY35" i="15"/>
  <c r="AJ37" i="67" s="1"/>
  <c r="BU35" i="15"/>
  <c r="BK35" i="15"/>
  <c r="BR36" i="56"/>
  <c r="BJ37" i="53"/>
  <c r="BB35" i="15"/>
  <c r="AL36" i="13"/>
  <c r="BK36" i="13"/>
  <c r="BI36" i="13" s="1"/>
  <c r="BH37" i="13" s="1"/>
  <c r="P34" i="15"/>
  <c r="O35" i="15" s="1"/>
  <c r="BJ37" i="51"/>
  <c r="AH35" i="15"/>
  <c r="AK35" i="15" s="1"/>
  <c r="CE35" i="15"/>
  <c r="BP19" i="13"/>
  <c r="BQ19" i="13" s="1"/>
  <c r="BS19" i="13" s="1"/>
  <c r="BO19" i="13"/>
  <c r="BJ37" i="52"/>
  <c r="AR35" i="15"/>
  <c r="AU35" i="15" s="1"/>
  <c r="BJ37" i="50"/>
  <c r="X35" i="15"/>
  <c r="AA35" i="15" s="1"/>
  <c r="AT20" i="56"/>
  <c r="BJ20" i="56" s="1"/>
  <c r="BM20" i="56" s="1"/>
  <c r="BT21" i="53"/>
  <c r="BQ21" i="53"/>
  <c r="BS21" i="53" s="1"/>
  <c r="BR21" i="52"/>
  <c r="BC20" i="52"/>
  <c r="O21" i="52" s="1"/>
  <c r="P21" i="52" s="1"/>
  <c r="BR22" i="51"/>
  <c r="BC21" i="51"/>
  <c r="O22" i="51" s="1"/>
  <c r="P22" i="51" s="1"/>
  <c r="AO21" i="50"/>
  <c r="AP21" i="50" s="1"/>
  <c r="BN21" i="50"/>
  <c r="BF21" i="50"/>
  <c r="BE21" i="50"/>
  <c r="BM21" i="50"/>
  <c r="AQ36" i="67" l="1"/>
  <c r="AS36" i="67" s="1"/>
  <c r="AR37" i="67" s="1"/>
  <c r="M37" i="67"/>
  <c r="N37" i="67" s="1"/>
  <c r="AP37" i="65"/>
  <c r="AT37" i="66"/>
  <c r="AU37" i="66" s="1"/>
  <c r="AQ37" i="66"/>
  <c r="AS37" i="66" s="1"/>
  <c r="AC37" i="66" s="1"/>
  <c r="AQ35" i="64"/>
  <c r="AS35" i="64" s="1"/>
  <c r="AC35" i="64" s="1"/>
  <c r="AM36" i="64"/>
  <c r="P36" i="64"/>
  <c r="Q36" i="64" s="1"/>
  <c r="AJ37" i="64"/>
  <c r="AJ37" i="61"/>
  <c r="AQ20" i="61"/>
  <c r="AS20" i="61" s="1"/>
  <c r="CZ35" i="15"/>
  <c r="AK37" i="67" s="1"/>
  <c r="AI37" i="67" s="1"/>
  <c r="AH38" i="67" s="1"/>
  <c r="BV35" i="15"/>
  <c r="BL35" i="15"/>
  <c r="M35" i="15"/>
  <c r="BT19" i="13"/>
  <c r="BU19" i="13" s="1"/>
  <c r="AL37" i="50"/>
  <c r="BP37" i="56"/>
  <c r="CF35" i="15"/>
  <c r="CI35" i="15" s="1"/>
  <c r="BR20" i="13"/>
  <c r="BC19" i="13"/>
  <c r="O20" i="13" s="1"/>
  <c r="P20" i="13" s="1"/>
  <c r="BL36" i="13"/>
  <c r="BK37" i="52"/>
  <c r="BI37" i="52" s="1"/>
  <c r="BH38" i="52" s="1"/>
  <c r="AT35" i="15"/>
  <c r="AS36" i="15" s="1"/>
  <c r="BK37" i="53"/>
  <c r="BI37" i="53" s="1"/>
  <c r="BH38" i="53" s="1"/>
  <c r="BD35" i="15"/>
  <c r="BC36" i="15" s="1"/>
  <c r="AL37" i="52"/>
  <c r="BK37" i="51"/>
  <c r="BI37" i="51" s="1"/>
  <c r="BH38" i="51" s="1"/>
  <c r="AJ35" i="15"/>
  <c r="AI36" i="15" s="1"/>
  <c r="BE35" i="15"/>
  <c r="BK37" i="50"/>
  <c r="BI37" i="50" s="1"/>
  <c r="BH38" i="50" s="1"/>
  <c r="Z35" i="15"/>
  <c r="Y36" i="15" s="1"/>
  <c r="AL37" i="51"/>
  <c r="AL37" i="53"/>
  <c r="AU20" i="56"/>
  <c r="AV20" i="56" s="1"/>
  <c r="BT20" i="56"/>
  <c r="BS20" i="56"/>
  <c r="BK20" i="56"/>
  <c r="BL20" i="56"/>
  <c r="BU21" i="53"/>
  <c r="BR22" i="53"/>
  <c r="BC21" i="53"/>
  <c r="O22" i="53" s="1"/>
  <c r="P22" i="53" s="1"/>
  <c r="AS21" i="52"/>
  <c r="AU21" i="52" s="1"/>
  <c r="AX21" i="52" s="1"/>
  <c r="BB21" i="52" s="1"/>
  <c r="AH21" i="52"/>
  <c r="AH22" i="51"/>
  <c r="AS22" i="51"/>
  <c r="AU22" i="51" s="1"/>
  <c r="AX22" i="51" s="1"/>
  <c r="BB22" i="51" s="1"/>
  <c r="BP21" i="50"/>
  <c r="BQ21" i="50" s="1"/>
  <c r="BS21" i="50" s="1"/>
  <c r="BO21" i="50"/>
  <c r="AC36" i="67" l="1"/>
  <c r="G37" i="67" s="1"/>
  <c r="AL37" i="67"/>
  <c r="O37" i="67"/>
  <c r="AD37" i="67" s="1"/>
  <c r="AG37" i="67" s="1"/>
  <c r="AT37" i="65"/>
  <c r="AU37" i="65" s="1"/>
  <c r="AQ37" i="65"/>
  <c r="AS37" i="65" s="1"/>
  <c r="AR38" i="66"/>
  <c r="G38" i="66"/>
  <c r="AE36" i="66"/>
  <c r="AF36" i="66"/>
  <c r="M37" i="64"/>
  <c r="N37" i="64" s="1"/>
  <c r="O37" i="64" s="1"/>
  <c r="AD37" i="64" s="1"/>
  <c r="AG37" i="64" s="1"/>
  <c r="AN36" i="64"/>
  <c r="AO36" i="64" s="1"/>
  <c r="AR36" i="64"/>
  <c r="G36" i="64"/>
  <c r="M37" i="61"/>
  <c r="N37" i="61" s="1"/>
  <c r="O37" i="61" s="1"/>
  <c r="AD37" i="61" s="1"/>
  <c r="AG37" i="61" s="1"/>
  <c r="AK37" i="64"/>
  <c r="AI37" i="64" s="1"/>
  <c r="AH38" i="64" s="1"/>
  <c r="AK37" i="61"/>
  <c r="AI37" i="61" s="1"/>
  <c r="AH38" i="61" s="1"/>
  <c r="AR21" i="61"/>
  <c r="AC20" i="61"/>
  <c r="G21" i="61" s="1"/>
  <c r="AF21" i="61" s="1"/>
  <c r="DB35" i="15"/>
  <c r="DA36" i="15" s="1"/>
  <c r="DC35" i="15"/>
  <c r="BX35" i="15"/>
  <c r="BW36" i="15" s="1"/>
  <c r="BY35" i="15"/>
  <c r="BN35" i="15"/>
  <c r="BM36" i="15" s="1"/>
  <c r="BO35" i="15"/>
  <c r="BL37" i="53"/>
  <c r="BL37" i="50"/>
  <c r="BL37" i="51"/>
  <c r="BL37" i="52"/>
  <c r="AH20" i="13"/>
  <c r="AS20" i="13"/>
  <c r="AU20" i="13" s="1"/>
  <c r="AX20" i="13" s="1"/>
  <c r="BB20" i="13" s="1"/>
  <c r="W36" i="15"/>
  <c r="BA36" i="15"/>
  <c r="BQ37" i="56"/>
  <c r="BO37" i="56" s="1"/>
  <c r="BN38" i="56" s="1"/>
  <c r="CH35" i="15"/>
  <c r="CG36" i="15" s="1"/>
  <c r="AR37" i="56"/>
  <c r="AQ36" i="15"/>
  <c r="AG36" i="15"/>
  <c r="BJ37" i="13"/>
  <c r="N35" i="15"/>
  <c r="BV20" i="56"/>
  <c r="BU20" i="56"/>
  <c r="AS22" i="53"/>
  <c r="AU22" i="53" s="1"/>
  <c r="AX22" i="53" s="1"/>
  <c r="BB22" i="53" s="1"/>
  <c r="AH22" i="53"/>
  <c r="AK21" i="52"/>
  <c r="AM21" i="52" s="1"/>
  <c r="AI21" i="52"/>
  <c r="AK22" i="51"/>
  <c r="AM22" i="51" s="1"/>
  <c r="AI22" i="51"/>
  <c r="BR22" i="50"/>
  <c r="BC21" i="50"/>
  <c r="O22" i="50" s="1"/>
  <c r="P22" i="50" s="1"/>
  <c r="BT21" i="50"/>
  <c r="BU21" i="50" s="1"/>
  <c r="P37" i="67" l="1"/>
  <c r="Q37" i="67" s="1"/>
  <c r="AM37" i="67"/>
  <c r="AN37" i="67"/>
  <c r="AR38" i="65"/>
  <c r="AC37" i="65"/>
  <c r="AP38" i="66"/>
  <c r="AF36" i="67"/>
  <c r="AE36" i="67"/>
  <c r="AF36" i="65"/>
  <c r="AE36" i="65"/>
  <c r="AL37" i="64"/>
  <c r="AF36" i="64"/>
  <c r="AE36" i="64"/>
  <c r="AP36" i="64"/>
  <c r="AT36" i="64" s="1"/>
  <c r="AU36" i="64" s="1"/>
  <c r="P37" i="61"/>
  <c r="Q37" i="61" s="1"/>
  <c r="AL37" i="61"/>
  <c r="AE21" i="61"/>
  <c r="CY36" i="15"/>
  <c r="AJ38" i="67" s="1"/>
  <c r="BU36" i="15"/>
  <c r="BK36" i="15"/>
  <c r="BR37" i="56"/>
  <c r="AL37" i="13"/>
  <c r="BJ38" i="53"/>
  <c r="BB36" i="15"/>
  <c r="BE36" i="15" s="1"/>
  <c r="BJ38" i="51"/>
  <c r="AH36" i="15"/>
  <c r="BJ38" i="50"/>
  <c r="X36" i="15"/>
  <c r="CE36" i="15"/>
  <c r="BK37" i="13"/>
  <c r="BI37" i="13" s="1"/>
  <c r="BH38" i="13" s="1"/>
  <c r="P35" i="15"/>
  <c r="O36" i="15" s="1"/>
  <c r="BJ38" i="52"/>
  <c r="AR36" i="15"/>
  <c r="AK20" i="13"/>
  <c r="AM20" i="13" s="1"/>
  <c r="AI20" i="13"/>
  <c r="Q35" i="15"/>
  <c r="BZ20" i="56"/>
  <c r="CA20" i="56" s="1"/>
  <c r="BW20" i="56"/>
  <c r="BY20" i="56" s="1"/>
  <c r="BI20" i="56" s="1"/>
  <c r="AK22" i="53"/>
  <c r="AM22" i="53" s="1"/>
  <c r="AI22" i="53"/>
  <c r="AN21" i="52"/>
  <c r="BD21" i="52" s="1"/>
  <c r="BG21" i="52" s="1"/>
  <c r="AN22" i="51"/>
  <c r="BD22" i="51" s="1"/>
  <c r="BG22" i="51" s="1"/>
  <c r="AS22" i="50"/>
  <c r="AU22" i="50" s="1"/>
  <c r="AX22" i="50" s="1"/>
  <c r="BB22" i="50" s="1"/>
  <c r="AH22" i="50"/>
  <c r="M38" i="67" l="1"/>
  <c r="N38" i="67" s="1"/>
  <c r="AO37" i="67"/>
  <c r="AP37" i="67"/>
  <c r="AT37" i="67" s="1"/>
  <c r="AU37" i="67" s="1"/>
  <c r="AP38" i="65"/>
  <c r="AQ38" i="66"/>
  <c r="AS38" i="66" s="1"/>
  <c r="AC38" i="66" s="1"/>
  <c r="AT38" i="66"/>
  <c r="AU38" i="66" s="1"/>
  <c r="G37" i="65"/>
  <c r="AQ36" i="64"/>
  <c r="AS36" i="64" s="1"/>
  <c r="AM37" i="64"/>
  <c r="P37" i="64"/>
  <c r="Q37" i="64" s="1"/>
  <c r="AJ38" i="64"/>
  <c r="AJ38" i="61"/>
  <c r="CZ36" i="15"/>
  <c r="BV36" i="15"/>
  <c r="BL36" i="15"/>
  <c r="BO36" i="15" s="1"/>
  <c r="BK38" i="51"/>
  <c r="BI38" i="51" s="1"/>
  <c r="BH39" i="51" s="1"/>
  <c r="AJ36" i="15"/>
  <c r="AI37" i="15" s="1"/>
  <c r="AN20" i="13"/>
  <c r="BD20" i="13" s="1"/>
  <c r="BG20" i="13" s="1"/>
  <c r="AK36" i="15"/>
  <c r="BP38" i="56"/>
  <c r="CF36" i="15"/>
  <c r="CI36" i="15" s="1"/>
  <c r="AL38" i="51"/>
  <c r="BK38" i="52"/>
  <c r="BI38" i="52" s="1"/>
  <c r="BH39" i="52" s="1"/>
  <c r="AT36" i="15"/>
  <c r="AS37" i="15" s="1"/>
  <c r="BK38" i="50"/>
  <c r="BI38" i="50" s="1"/>
  <c r="BH39" i="50" s="1"/>
  <c r="Z36" i="15"/>
  <c r="Y37" i="15" s="1"/>
  <c r="AU36" i="15"/>
  <c r="AA36" i="15"/>
  <c r="BK38" i="53"/>
  <c r="BI38" i="53" s="1"/>
  <c r="BH39" i="53" s="1"/>
  <c r="BD36" i="15"/>
  <c r="BC37" i="15" s="1"/>
  <c r="AO22" i="51"/>
  <c r="AP22" i="51" s="1"/>
  <c r="AL38" i="52"/>
  <c r="AL38" i="50"/>
  <c r="AL38" i="53"/>
  <c r="M36" i="15"/>
  <c r="BL37" i="13"/>
  <c r="BX21" i="56"/>
  <c r="U21" i="56"/>
  <c r="V21" i="56" s="1"/>
  <c r="AN22" i="53"/>
  <c r="BD22" i="53" s="1"/>
  <c r="BG22" i="53" s="1"/>
  <c r="AO21" i="52"/>
  <c r="AP21" i="52" s="1"/>
  <c r="BN21" i="52"/>
  <c r="BM21" i="52"/>
  <c r="BF21" i="52"/>
  <c r="BE21" i="52"/>
  <c r="BN22" i="51"/>
  <c r="BM22" i="51"/>
  <c r="BF22" i="51"/>
  <c r="BE22" i="51"/>
  <c r="AK22" i="50"/>
  <c r="AM22" i="50" s="1"/>
  <c r="AI22" i="50"/>
  <c r="AQ37" i="67" l="1"/>
  <c r="AS37" i="67" s="1"/>
  <c r="AR38" i="67" s="1"/>
  <c r="DC36" i="15"/>
  <c r="AK38" i="67"/>
  <c r="O38" i="67"/>
  <c r="AD38" i="67" s="1"/>
  <c r="AG38" i="67" s="1"/>
  <c r="AQ38" i="65"/>
  <c r="AS38" i="65" s="1"/>
  <c r="AT38" i="65"/>
  <c r="AU38" i="65" s="1"/>
  <c r="AR39" i="66"/>
  <c r="G39" i="66"/>
  <c r="AF37" i="67"/>
  <c r="AE37" i="67"/>
  <c r="AF37" i="66"/>
  <c r="AE37" i="66"/>
  <c r="AE37" i="65"/>
  <c r="AF37" i="65"/>
  <c r="AR37" i="64"/>
  <c r="AC36" i="64"/>
  <c r="G37" i="64" s="1"/>
  <c r="M38" i="64"/>
  <c r="N38" i="64" s="1"/>
  <c r="O38" i="64" s="1"/>
  <c r="AD38" i="64" s="1"/>
  <c r="AG38" i="64" s="1"/>
  <c r="AN37" i="64"/>
  <c r="M38" i="61"/>
  <c r="N38" i="61" s="1"/>
  <c r="O38" i="61" s="1"/>
  <c r="AK38" i="64"/>
  <c r="AI38" i="64" s="1"/>
  <c r="AH39" i="64" s="1"/>
  <c r="AK38" i="61"/>
  <c r="AI38" i="61" s="1"/>
  <c r="AH39" i="61" s="1"/>
  <c r="AM21" i="61"/>
  <c r="AN21" i="61"/>
  <c r="DB36" i="15"/>
  <c r="DA37" i="15" s="1"/>
  <c r="BL38" i="53"/>
  <c r="BL38" i="52"/>
  <c r="BL38" i="51"/>
  <c r="BX36" i="15"/>
  <c r="BW37" i="15" s="1"/>
  <c r="BY36" i="15"/>
  <c r="BN36" i="15"/>
  <c r="BM37" i="15" s="1"/>
  <c r="W37" i="15"/>
  <c r="BQ38" i="56"/>
  <c r="BO38" i="56" s="1"/>
  <c r="BN39" i="56" s="1"/>
  <c r="CH36" i="15"/>
  <c r="CG37" i="15" s="1"/>
  <c r="AR38" i="56"/>
  <c r="BJ38" i="13"/>
  <c r="N36" i="15"/>
  <c r="Q36" i="15" s="1"/>
  <c r="BA37" i="15"/>
  <c r="AQ37" i="15"/>
  <c r="BN20" i="13"/>
  <c r="BF20" i="13"/>
  <c r="BM20" i="13"/>
  <c r="BE20" i="13"/>
  <c r="AO20" i="13"/>
  <c r="AP20" i="13" s="1"/>
  <c r="AO22" i="53"/>
  <c r="AP22" i="53" s="1"/>
  <c r="AG37" i="15"/>
  <c r="BL38" i="50"/>
  <c r="AY21" i="56"/>
  <c r="BA21" i="56" s="1"/>
  <c r="BD21" i="56" s="1"/>
  <c r="BH21" i="56" s="1"/>
  <c r="AN21" i="56"/>
  <c r="BN22" i="53"/>
  <c r="BF22" i="53"/>
  <c r="BE22" i="53"/>
  <c r="BM22" i="53"/>
  <c r="BP21" i="52"/>
  <c r="BQ21" i="52" s="1"/>
  <c r="BS21" i="52" s="1"/>
  <c r="BO21" i="52"/>
  <c r="BP22" i="51"/>
  <c r="BO22" i="51"/>
  <c r="AN22" i="50"/>
  <c r="BD22" i="50" s="1"/>
  <c r="BG22" i="50" s="1"/>
  <c r="P38" i="67" l="1"/>
  <c r="Q38" i="67" s="1"/>
  <c r="AC37" i="67"/>
  <c r="G38" i="67" s="1"/>
  <c r="AI38" i="67"/>
  <c r="AH39" i="67" s="1"/>
  <c r="AL38" i="67"/>
  <c r="AM38" i="67" s="1"/>
  <c r="AR39" i="65"/>
  <c r="AC38" i="65"/>
  <c r="AP39" i="66"/>
  <c r="G38" i="65"/>
  <c r="AL38" i="64"/>
  <c r="AE37" i="64"/>
  <c r="AF37" i="64"/>
  <c r="AO37" i="64"/>
  <c r="AP37" i="64"/>
  <c r="AT37" i="64" s="1"/>
  <c r="AU37" i="64" s="1"/>
  <c r="AL38" i="61"/>
  <c r="P38" i="61"/>
  <c r="Q38" i="61" s="1"/>
  <c r="AD38" i="61"/>
  <c r="AG38" i="61" s="1"/>
  <c r="AO21" i="61"/>
  <c r="AP21" i="61"/>
  <c r="AT21" i="61" s="1"/>
  <c r="AU21" i="61" s="1"/>
  <c r="CY37" i="15"/>
  <c r="AJ39" i="67" s="1"/>
  <c r="BU37" i="15"/>
  <c r="BK37" i="15"/>
  <c r="BR38" i="56"/>
  <c r="BJ39" i="52"/>
  <c r="AR37" i="15"/>
  <c r="BJ39" i="53"/>
  <c r="BB37" i="15"/>
  <c r="BE37" i="15" s="1"/>
  <c r="BK38" i="13"/>
  <c r="BI38" i="13" s="1"/>
  <c r="BH39" i="13" s="1"/>
  <c r="P36" i="15"/>
  <c r="O37" i="15" s="1"/>
  <c r="CE37" i="15"/>
  <c r="AL38" i="13"/>
  <c r="BJ39" i="51"/>
  <c r="AH37" i="15"/>
  <c r="BP20" i="13"/>
  <c r="BQ20" i="13" s="1"/>
  <c r="BS20" i="13" s="1"/>
  <c r="BO20" i="13"/>
  <c r="BJ39" i="50"/>
  <c r="X37" i="15"/>
  <c r="AA37" i="15" s="1"/>
  <c r="AQ21" i="56"/>
  <c r="AS21" i="56" s="1"/>
  <c r="AO21" i="56"/>
  <c r="BP22" i="53"/>
  <c r="BQ22" i="53" s="1"/>
  <c r="BS22" i="53" s="1"/>
  <c r="BO22" i="53"/>
  <c r="BR22" i="52"/>
  <c r="BC21" i="52"/>
  <c r="O22" i="52" s="1"/>
  <c r="P22" i="52" s="1"/>
  <c r="BT21" i="52"/>
  <c r="BU21" i="52" s="1"/>
  <c r="BT22" i="51"/>
  <c r="BU22" i="51" s="1"/>
  <c r="BQ22" i="51"/>
  <c r="BS22" i="51" s="1"/>
  <c r="AO22" i="50"/>
  <c r="AP22" i="50" s="1"/>
  <c r="BN22" i="50"/>
  <c r="BE22" i="50"/>
  <c r="BM22" i="50"/>
  <c r="BF22" i="50"/>
  <c r="M39" i="67" l="1"/>
  <c r="N39" i="67" s="1"/>
  <c r="AN38" i="67"/>
  <c r="AP39" i="65"/>
  <c r="AT39" i="66"/>
  <c r="AU39" i="66" s="1"/>
  <c r="AQ39" i="66"/>
  <c r="AS39" i="66" s="1"/>
  <c r="AC39" i="66" s="1"/>
  <c r="AF38" i="65"/>
  <c r="AE38" i="65"/>
  <c r="AQ37" i="64"/>
  <c r="AS37" i="64" s="1"/>
  <c r="AM38" i="64"/>
  <c r="P38" i="64"/>
  <c r="Q38" i="64" s="1"/>
  <c r="AJ39" i="64"/>
  <c r="AJ39" i="61"/>
  <c r="M39" i="61" s="1"/>
  <c r="N39" i="61" s="1"/>
  <c r="AQ21" i="61"/>
  <c r="AS21" i="61" s="1"/>
  <c r="CZ37" i="15"/>
  <c r="BV37" i="15"/>
  <c r="BL37" i="15"/>
  <c r="BO37" i="15" s="1"/>
  <c r="BR21" i="13"/>
  <c r="BC20" i="13"/>
  <c r="O21" i="13" s="1"/>
  <c r="P21" i="13" s="1"/>
  <c r="AL39" i="51"/>
  <c r="M37" i="15"/>
  <c r="BL38" i="13"/>
  <c r="BK39" i="53"/>
  <c r="BI39" i="53" s="1"/>
  <c r="BH40" i="53" s="1"/>
  <c r="BD37" i="15"/>
  <c r="BC38" i="15" s="1"/>
  <c r="AL39" i="53"/>
  <c r="BK39" i="52"/>
  <c r="BI39" i="52" s="1"/>
  <c r="BH40" i="52" s="1"/>
  <c r="AT37" i="15"/>
  <c r="AS38" i="15" s="1"/>
  <c r="BT20" i="13"/>
  <c r="BU20" i="13" s="1"/>
  <c r="BK39" i="50"/>
  <c r="BI39" i="50" s="1"/>
  <c r="BH40" i="50" s="1"/>
  <c r="Z37" i="15"/>
  <c r="Y38" i="15" s="1"/>
  <c r="BK39" i="51"/>
  <c r="BI39" i="51" s="1"/>
  <c r="BH40" i="51" s="1"/>
  <c r="AJ37" i="15"/>
  <c r="AI38" i="15" s="1"/>
  <c r="AU37" i="15"/>
  <c r="AL39" i="50"/>
  <c r="AK37" i="15"/>
  <c r="BP39" i="56"/>
  <c r="CF37" i="15"/>
  <c r="CI37" i="15" s="1"/>
  <c r="AL39" i="52"/>
  <c r="AT21" i="56"/>
  <c r="BJ21" i="56" s="1"/>
  <c r="BM21" i="56" s="1"/>
  <c r="BR23" i="53"/>
  <c r="BC22" i="53"/>
  <c r="O23" i="53" s="1"/>
  <c r="P23" i="53" s="1"/>
  <c r="BT22" i="53"/>
  <c r="AH22" i="52"/>
  <c r="AS22" i="52"/>
  <c r="AU22" i="52" s="1"/>
  <c r="AX22" i="52" s="1"/>
  <c r="BB22" i="52" s="1"/>
  <c r="BR23" i="51"/>
  <c r="BC22" i="51"/>
  <c r="O23" i="51" s="1"/>
  <c r="P23" i="51" s="1"/>
  <c r="BP22" i="50"/>
  <c r="BQ22" i="50" s="1"/>
  <c r="BS22" i="50" s="1"/>
  <c r="BO22" i="50"/>
  <c r="AO38" i="67" l="1"/>
  <c r="AP38" i="67"/>
  <c r="AT38" i="67" s="1"/>
  <c r="AU38" i="67" s="1"/>
  <c r="DC37" i="15"/>
  <c r="AK39" i="67"/>
  <c r="O39" i="67"/>
  <c r="AD39" i="67" s="1"/>
  <c r="AG39" i="67" s="1"/>
  <c r="AQ39" i="65"/>
  <c r="AS39" i="65" s="1"/>
  <c r="AT39" i="65"/>
  <c r="AU39" i="65" s="1"/>
  <c r="AR40" i="66"/>
  <c r="G40" i="66"/>
  <c r="AF38" i="66"/>
  <c r="AE38" i="66"/>
  <c r="AR38" i="64"/>
  <c r="AC37" i="64"/>
  <c r="G38" i="64" s="1"/>
  <c r="M39" i="64"/>
  <c r="N39" i="64" s="1"/>
  <c r="O39" i="64" s="1"/>
  <c r="AD39" i="64" s="1"/>
  <c r="AG39" i="64" s="1"/>
  <c r="AN38" i="64"/>
  <c r="AO38" i="64" s="1"/>
  <c r="AK39" i="64"/>
  <c r="AI39" i="64" s="1"/>
  <c r="AH40" i="64" s="1"/>
  <c r="AK39" i="61"/>
  <c r="AR22" i="61"/>
  <c r="AC21" i="61"/>
  <c r="G22" i="61" s="1"/>
  <c r="AF22" i="61" s="1"/>
  <c r="O39" i="61"/>
  <c r="DB37" i="15"/>
  <c r="DA38" i="15" s="1"/>
  <c r="BL39" i="52"/>
  <c r="BX37" i="15"/>
  <c r="BW38" i="15" s="1"/>
  <c r="BY37" i="15"/>
  <c r="BN37" i="15"/>
  <c r="BM38" i="15" s="1"/>
  <c r="BL39" i="50"/>
  <c r="BL39" i="53"/>
  <c r="BL39" i="51"/>
  <c r="W38" i="15"/>
  <c r="AR39" i="56"/>
  <c r="N37" i="15"/>
  <c r="Q37" i="15" s="1"/>
  <c r="BJ39" i="13"/>
  <c r="BA38" i="15"/>
  <c r="AG38" i="15"/>
  <c r="AQ38" i="15"/>
  <c r="AS21" i="13"/>
  <c r="AU21" i="13" s="1"/>
  <c r="AX21" i="13" s="1"/>
  <c r="BB21" i="13" s="1"/>
  <c r="AH21" i="13"/>
  <c r="BQ39" i="56"/>
  <c r="BO39" i="56" s="1"/>
  <c r="BN40" i="56" s="1"/>
  <c r="CH37" i="15"/>
  <c r="CG38" i="15" s="1"/>
  <c r="AU21" i="56"/>
  <c r="AV21" i="56" s="1"/>
  <c r="BT21" i="56"/>
  <c r="BS21" i="56"/>
  <c r="BL21" i="56"/>
  <c r="BK21" i="56"/>
  <c r="AH23" i="53"/>
  <c r="AS23" i="53"/>
  <c r="AU23" i="53" s="1"/>
  <c r="AX23" i="53" s="1"/>
  <c r="BB23" i="53" s="1"/>
  <c r="BU22" i="53"/>
  <c r="AK22" i="52"/>
  <c r="AM22" i="52" s="1"/>
  <c r="AI22" i="52"/>
  <c r="AS23" i="51"/>
  <c r="AU23" i="51" s="1"/>
  <c r="AX23" i="51" s="1"/>
  <c r="BB23" i="51" s="1"/>
  <c r="AH23" i="51"/>
  <c r="BR23" i="50"/>
  <c r="BC22" i="50"/>
  <c r="O23" i="50" s="1"/>
  <c r="P23" i="50" s="1"/>
  <c r="BT22" i="50"/>
  <c r="BU22" i="50" s="1"/>
  <c r="AQ38" i="67" l="1"/>
  <c r="AS38" i="67" s="1"/>
  <c r="AR39" i="67" s="1"/>
  <c r="P39" i="67"/>
  <c r="Q39" i="67" s="1"/>
  <c r="AL39" i="67"/>
  <c r="AM39" i="67" s="1"/>
  <c r="AI39" i="67"/>
  <c r="AH40" i="67" s="1"/>
  <c r="AC38" i="67"/>
  <c r="G39" i="67" s="1"/>
  <c r="AR40" i="65"/>
  <c r="AC39" i="65"/>
  <c r="AP40" i="66"/>
  <c r="AF38" i="67"/>
  <c r="AE38" i="67"/>
  <c r="AL39" i="64"/>
  <c r="AF38" i="64"/>
  <c r="AE38" i="64"/>
  <c r="AP38" i="64"/>
  <c r="AT38" i="64" s="1"/>
  <c r="AU38" i="64" s="1"/>
  <c r="AL39" i="61"/>
  <c r="AI39" i="61"/>
  <c r="AH40" i="61" s="1"/>
  <c r="P39" i="61"/>
  <c r="Q39" i="61" s="1"/>
  <c r="AD39" i="61"/>
  <c r="AG39" i="61" s="1"/>
  <c r="AE22" i="61"/>
  <c r="CY38" i="15"/>
  <c r="AJ40" i="67" s="1"/>
  <c r="BU38" i="15"/>
  <c r="BK38" i="15"/>
  <c r="AL39" i="13"/>
  <c r="CE38" i="15"/>
  <c r="BJ40" i="51"/>
  <c r="AH38" i="15"/>
  <c r="BK39" i="13"/>
  <c r="BI39" i="13" s="1"/>
  <c r="BH40" i="13" s="1"/>
  <c r="P37" i="15"/>
  <c r="O38" i="15" s="1"/>
  <c r="AK21" i="13"/>
  <c r="AM21" i="13" s="1"/>
  <c r="AI21" i="13"/>
  <c r="BR39" i="56"/>
  <c r="BJ40" i="53"/>
  <c r="AL40" i="53" s="1"/>
  <c r="BB38" i="15"/>
  <c r="BE38" i="15" s="1"/>
  <c r="BJ40" i="52"/>
  <c r="AR38" i="15"/>
  <c r="BJ40" i="50"/>
  <c r="X38" i="15"/>
  <c r="BV21" i="56"/>
  <c r="BU21" i="56"/>
  <c r="AK23" i="53"/>
  <c r="AM23" i="53" s="1"/>
  <c r="AI23" i="53"/>
  <c r="AN22" i="52"/>
  <c r="BD22" i="52" s="1"/>
  <c r="BG22" i="52" s="1"/>
  <c r="AK23" i="51"/>
  <c r="AM23" i="51" s="1"/>
  <c r="AI23" i="51"/>
  <c r="AS23" i="50"/>
  <c r="AU23" i="50" s="1"/>
  <c r="AX23" i="50" s="1"/>
  <c r="BB23" i="50" s="1"/>
  <c r="AH23" i="50"/>
  <c r="AN39" i="67" l="1"/>
  <c r="AO39" i="67" s="1"/>
  <c r="M40" i="67"/>
  <c r="N40" i="67" s="1"/>
  <c r="AP40" i="65"/>
  <c r="AT40" i="66"/>
  <c r="AU40" i="66" s="1"/>
  <c r="AQ40" i="66"/>
  <c r="AS40" i="66" s="1"/>
  <c r="AC40" i="66" s="1"/>
  <c r="AE39" i="66"/>
  <c r="AF39" i="66"/>
  <c r="G39" i="65"/>
  <c r="AQ38" i="64"/>
  <c r="AS38" i="64" s="1"/>
  <c r="AM39" i="64"/>
  <c r="P39" i="64"/>
  <c r="Q39" i="64" s="1"/>
  <c r="AJ40" i="64"/>
  <c r="AJ40" i="61"/>
  <c r="M40" i="61" s="1"/>
  <c r="N40" i="61" s="1"/>
  <c r="CZ38" i="15"/>
  <c r="AK40" i="67" s="1"/>
  <c r="AI40" i="67" s="1"/>
  <c r="AH41" i="67" s="1"/>
  <c r="BV38" i="15"/>
  <c r="BL38" i="15"/>
  <c r="BO38" i="15" s="1"/>
  <c r="BK40" i="50"/>
  <c r="BI40" i="50" s="1"/>
  <c r="BH41" i="50" s="1"/>
  <c r="Z38" i="15"/>
  <c r="Y39" i="15" s="1"/>
  <c r="AL40" i="50"/>
  <c r="BK40" i="51"/>
  <c r="BI40" i="51" s="1"/>
  <c r="BH41" i="51" s="1"/>
  <c r="AJ38" i="15"/>
  <c r="AI39" i="15" s="1"/>
  <c r="AK38" i="15"/>
  <c r="AL40" i="51"/>
  <c r="BK40" i="52"/>
  <c r="BI40" i="52" s="1"/>
  <c r="BH41" i="52" s="1"/>
  <c r="AT38" i="15"/>
  <c r="AS39" i="15" s="1"/>
  <c r="BP40" i="56"/>
  <c r="CF38" i="15"/>
  <c r="AO22" i="52"/>
  <c r="AP22" i="52" s="1"/>
  <c r="AU38" i="15"/>
  <c r="AN21" i="13"/>
  <c r="BD21" i="13" s="1"/>
  <c r="BG21" i="13" s="1"/>
  <c r="AL40" i="52"/>
  <c r="M38" i="15"/>
  <c r="AA38" i="15"/>
  <c r="BK40" i="53"/>
  <c r="BD38" i="15"/>
  <c r="BC39" i="15" s="1"/>
  <c r="BL39" i="13"/>
  <c r="BZ21" i="56"/>
  <c r="CA21" i="56" s="1"/>
  <c r="BW21" i="56"/>
  <c r="BY21" i="56" s="1"/>
  <c r="BI21" i="56" s="1"/>
  <c r="AN23" i="53"/>
  <c r="BD23" i="53" s="1"/>
  <c r="BG23" i="53" s="1"/>
  <c r="BN22" i="52"/>
  <c r="BM22" i="52"/>
  <c r="BF22" i="52"/>
  <c r="BE22" i="52"/>
  <c r="AN23" i="51"/>
  <c r="BD23" i="51" s="1"/>
  <c r="BG23" i="51" s="1"/>
  <c r="AK23" i="50"/>
  <c r="AM23" i="50" s="1"/>
  <c r="AI23" i="50"/>
  <c r="AP39" i="67" l="1"/>
  <c r="AT39" i="67" s="1"/>
  <c r="AU39" i="67" s="1"/>
  <c r="AL40" i="67"/>
  <c r="O40" i="67"/>
  <c r="AD40" i="67" s="1"/>
  <c r="AG40" i="67" s="1"/>
  <c r="AT40" i="65"/>
  <c r="AU40" i="65" s="1"/>
  <c r="AQ40" i="65"/>
  <c r="AS40" i="65" s="1"/>
  <c r="AR41" i="66"/>
  <c r="G41" i="66"/>
  <c r="AE39" i="67"/>
  <c r="AF39" i="67"/>
  <c r="AR39" i="64"/>
  <c r="AC38" i="64"/>
  <c r="G39" i="64" s="1"/>
  <c r="M40" i="64"/>
  <c r="N40" i="64" s="1"/>
  <c r="O40" i="64" s="1"/>
  <c r="AD40" i="64" s="1"/>
  <c r="AG40" i="64" s="1"/>
  <c r="AN39" i="64"/>
  <c r="AK40" i="64"/>
  <c r="AI40" i="64" s="1"/>
  <c r="AH41" i="64" s="1"/>
  <c r="AK40" i="61"/>
  <c r="AN22" i="61"/>
  <c r="AM22" i="61"/>
  <c r="O40" i="61"/>
  <c r="DB38" i="15"/>
  <c r="DA39" i="15" s="1"/>
  <c r="DC38" i="15"/>
  <c r="BL40" i="52"/>
  <c r="BL40" i="50"/>
  <c r="BX38" i="15"/>
  <c r="BW39" i="15" s="1"/>
  <c r="BY38" i="15"/>
  <c r="BN38" i="15"/>
  <c r="BM39" i="15" s="1"/>
  <c r="AO21" i="13"/>
  <c r="AP21" i="13" s="1"/>
  <c r="AO23" i="53"/>
  <c r="AP23" i="53" s="1"/>
  <c r="AR40" i="56"/>
  <c r="AG39" i="15"/>
  <c r="AQ39" i="15"/>
  <c r="BA39" i="15"/>
  <c r="BF21" i="13"/>
  <c r="BM21" i="13"/>
  <c r="BN21" i="13"/>
  <c r="BE21" i="13"/>
  <c r="BL40" i="51"/>
  <c r="BL40" i="53"/>
  <c r="BI40" i="53"/>
  <c r="BH41" i="53" s="1"/>
  <c r="W39" i="15"/>
  <c r="BJ40" i="13"/>
  <c r="N38" i="15"/>
  <c r="BQ40" i="56"/>
  <c r="BO40" i="56" s="1"/>
  <c r="BN41" i="56" s="1"/>
  <c r="CH38" i="15"/>
  <c r="CG39" i="15" s="1"/>
  <c r="AO23" i="51"/>
  <c r="AP23" i="51" s="1"/>
  <c r="CI38" i="15"/>
  <c r="BX22" i="56"/>
  <c r="U22" i="56"/>
  <c r="V22" i="56" s="1"/>
  <c r="BN23" i="53"/>
  <c r="BF23" i="53"/>
  <c r="BE23" i="53"/>
  <c r="BM23" i="53"/>
  <c r="BP22" i="52"/>
  <c r="BQ22" i="52" s="1"/>
  <c r="BS22" i="52" s="1"/>
  <c r="BO22" i="52"/>
  <c r="BN23" i="51"/>
  <c r="BM23" i="51"/>
  <c r="BF23" i="51"/>
  <c r="BE23" i="51"/>
  <c r="AN23" i="50"/>
  <c r="BD23" i="50" s="1"/>
  <c r="BG23" i="50" s="1"/>
  <c r="AQ39" i="67" l="1"/>
  <c r="AS39" i="67" s="1"/>
  <c r="P40" i="67"/>
  <c r="Q40" i="67" s="1"/>
  <c r="AM40" i="67"/>
  <c r="AN40" i="67"/>
  <c r="AR41" i="65"/>
  <c r="AC40" i="65"/>
  <c r="AP41" i="66"/>
  <c r="AE40" i="66"/>
  <c r="AF40" i="66"/>
  <c r="AE39" i="65"/>
  <c r="AF39" i="65"/>
  <c r="AL40" i="64"/>
  <c r="G40" i="65"/>
  <c r="AE39" i="64"/>
  <c r="AF39" i="64"/>
  <c r="AO39" i="64"/>
  <c r="AP39" i="64"/>
  <c r="AT39" i="64" s="1"/>
  <c r="AU39" i="64" s="1"/>
  <c r="AL40" i="61"/>
  <c r="AI40" i="61"/>
  <c r="AH41" i="61" s="1"/>
  <c r="P40" i="61"/>
  <c r="Q40" i="61" s="1"/>
  <c r="AD40" i="61"/>
  <c r="AG40" i="61" s="1"/>
  <c r="AO22" i="61"/>
  <c r="AP22" i="61"/>
  <c r="AT22" i="61" s="1"/>
  <c r="AU22" i="61" s="1"/>
  <c r="CY39" i="15"/>
  <c r="AJ41" i="67" s="1"/>
  <c r="BU39" i="15"/>
  <c r="BK39" i="15"/>
  <c r="BK40" i="13"/>
  <c r="BI40" i="13" s="1"/>
  <c r="BH41" i="13" s="1"/>
  <c r="P38" i="15"/>
  <c r="O39" i="15" s="1"/>
  <c r="Q38" i="15"/>
  <c r="AL40" i="13"/>
  <c r="BO21" i="13"/>
  <c r="BP21" i="13"/>
  <c r="BJ41" i="52"/>
  <c r="AR39" i="15"/>
  <c r="BJ41" i="51"/>
  <c r="AH39" i="15"/>
  <c r="CE39" i="15"/>
  <c r="BJ41" i="50"/>
  <c r="X39" i="15"/>
  <c r="BR40" i="56"/>
  <c r="BJ41" i="53"/>
  <c r="BB39" i="15"/>
  <c r="BE39" i="15" s="1"/>
  <c r="AY22" i="56"/>
  <c r="BA22" i="56" s="1"/>
  <c r="BD22" i="56" s="1"/>
  <c r="BH22" i="56" s="1"/>
  <c r="AN22" i="56"/>
  <c r="BP23" i="53"/>
  <c r="BQ23" i="53" s="1"/>
  <c r="BS23" i="53" s="1"/>
  <c r="BO23" i="53"/>
  <c r="BR23" i="52"/>
  <c r="BC22" i="52"/>
  <c r="O23" i="52" s="1"/>
  <c r="P23" i="52" s="1"/>
  <c r="BT22" i="52"/>
  <c r="BU22" i="52" s="1"/>
  <c r="BP23" i="51"/>
  <c r="BO23" i="51"/>
  <c r="AO23" i="50"/>
  <c r="AP23" i="50" s="1"/>
  <c r="BN23" i="50"/>
  <c r="BM23" i="50"/>
  <c r="BF23" i="50"/>
  <c r="BE23" i="50"/>
  <c r="AC39" i="67" l="1"/>
  <c r="G40" i="67" s="1"/>
  <c r="AR40" i="67"/>
  <c r="AP40" i="67" s="1"/>
  <c r="AT40" i="67" s="1"/>
  <c r="AU40" i="67" s="1"/>
  <c r="M41" i="67"/>
  <c r="N41" i="67" s="1"/>
  <c r="AO40" i="67"/>
  <c r="AP41" i="65"/>
  <c r="AQ41" i="66"/>
  <c r="AS41" i="66" s="1"/>
  <c r="AC41" i="66" s="1"/>
  <c r="AT41" i="66"/>
  <c r="AU41" i="66" s="1"/>
  <c r="AQ39" i="64"/>
  <c r="AS39" i="64" s="1"/>
  <c r="AM40" i="64"/>
  <c r="P40" i="64"/>
  <c r="Q40" i="64" s="1"/>
  <c r="AJ41" i="64"/>
  <c r="AJ41" i="61"/>
  <c r="AQ22" i="61"/>
  <c r="AS22" i="61" s="1"/>
  <c r="CZ39" i="15"/>
  <c r="AK41" i="67" s="1"/>
  <c r="AI41" i="67" s="1"/>
  <c r="AH42" i="67" s="1"/>
  <c r="BL40" i="13"/>
  <c r="BV39" i="15"/>
  <c r="BL39" i="15"/>
  <c r="BK41" i="51"/>
  <c r="BI41" i="51" s="1"/>
  <c r="BH42" i="51" s="1"/>
  <c r="AJ39" i="15"/>
  <c r="AI40" i="15" s="1"/>
  <c r="BT21" i="13"/>
  <c r="BU21" i="13" s="1"/>
  <c r="BK41" i="50"/>
  <c r="BI41" i="50" s="1"/>
  <c r="BH42" i="50" s="1"/>
  <c r="Z39" i="15"/>
  <c r="Y40" i="15" s="1"/>
  <c r="AK39" i="15"/>
  <c r="AA39" i="15"/>
  <c r="AL41" i="51"/>
  <c r="BK41" i="52"/>
  <c r="BI41" i="52" s="1"/>
  <c r="BH42" i="52" s="1"/>
  <c r="AT39" i="15"/>
  <c r="AS40" i="15" s="1"/>
  <c r="AL41" i="50"/>
  <c r="AL41" i="53"/>
  <c r="AU39" i="15"/>
  <c r="BP41" i="56"/>
  <c r="CF39" i="15"/>
  <c r="CI39" i="15" s="1"/>
  <c r="AL41" i="52"/>
  <c r="M39" i="15"/>
  <c r="BK41" i="53"/>
  <c r="BI41" i="53" s="1"/>
  <c r="BH42" i="53" s="1"/>
  <c r="BD39" i="15"/>
  <c r="BC40" i="15" s="1"/>
  <c r="BQ21" i="13"/>
  <c r="BS21" i="13" s="1"/>
  <c r="AO22" i="56"/>
  <c r="AQ22" i="56"/>
  <c r="AS22" i="56" s="1"/>
  <c r="BR24" i="53"/>
  <c r="BC23" i="53"/>
  <c r="O24" i="53" s="1"/>
  <c r="P24" i="53" s="1"/>
  <c r="BT23" i="53"/>
  <c r="AS23" i="52"/>
  <c r="AU23" i="52" s="1"/>
  <c r="AX23" i="52" s="1"/>
  <c r="BB23" i="52" s="1"/>
  <c r="AH23" i="52"/>
  <c r="BT23" i="51"/>
  <c r="BU23" i="51" s="1"/>
  <c r="BQ23" i="51"/>
  <c r="BS23" i="51" s="1"/>
  <c r="BP23" i="50"/>
  <c r="BQ23" i="50" s="1"/>
  <c r="BS23" i="50" s="1"/>
  <c r="BO23" i="50"/>
  <c r="AQ40" i="67" l="1"/>
  <c r="AS40" i="67" s="1"/>
  <c r="AL41" i="67"/>
  <c r="O41" i="67"/>
  <c r="AD41" i="67" s="1"/>
  <c r="AG41" i="67" s="1"/>
  <c r="AT41" i="65"/>
  <c r="AU41" i="65" s="1"/>
  <c r="AQ41" i="65"/>
  <c r="AS41" i="65" s="1"/>
  <c r="AR42" i="66"/>
  <c r="G42" i="66"/>
  <c r="AF40" i="65"/>
  <c r="AE40" i="65"/>
  <c r="AR40" i="64"/>
  <c r="AC39" i="64"/>
  <c r="G40" i="64" s="1"/>
  <c r="M41" i="64"/>
  <c r="N41" i="64" s="1"/>
  <c r="O41" i="64" s="1"/>
  <c r="AD41" i="64" s="1"/>
  <c r="AG41" i="64" s="1"/>
  <c r="AN40" i="64"/>
  <c r="AO40" i="64" s="1"/>
  <c r="M41" i="61"/>
  <c r="N41" i="61" s="1"/>
  <c r="O41" i="61" s="1"/>
  <c r="AK41" i="64"/>
  <c r="AI41" i="64" s="1"/>
  <c r="AH42" i="64" s="1"/>
  <c r="AK41" i="61"/>
  <c r="AI41" i="61" s="1"/>
  <c r="AH42" i="61" s="1"/>
  <c r="AR23" i="61"/>
  <c r="AC22" i="61"/>
  <c r="G23" i="61" s="1"/>
  <c r="BL41" i="51"/>
  <c r="DB39" i="15"/>
  <c r="DA40" i="15" s="1"/>
  <c r="DC39" i="15"/>
  <c r="BX39" i="15"/>
  <c r="BW40" i="15" s="1"/>
  <c r="BY39" i="15"/>
  <c r="BN39" i="15"/>
  <c r="BM40" i="15" s="1"/>
  <c r="BO39" i="15"/>
  <c r="BA40" i="15"/>
  <c r="AR41" i="56"/>
  <c r="AQ40" i="15"/>
  <c r="W40" i="15"/>
  <c r="N39" i="15"/>
  <c r="Q39" i="15" s="1"/>
  <c r="BJ41" i="13"/>
  <c r="BL41" i="52"/>
  <c r="BL41" i="53"/>
  <c r="BR22" i="13"/>
  <c r="BC21" i="13"/>
  <c r="O22" i="13" s="1"/>
  <c r="P22" i="13" s="1"/>
  <c r="BQ41" i="56"/>
  <c r="BO41" i="56" s="1"/>
  <c r="BN42" i="56" s="1"/>
  <c r="CH39" i="15"/>
  <c r="CG40" i="15" s="1"/>
  <c r="AG40" i="15"/>
  <c r="BL41" i="50"/>
  <c r="AT22" i="56"/>
  <c r="BJ22" i="56" s="1"/>
  <c r="BM22" i="56" s="1"/>
  <c r="BU23" i="53"/>
  <c r="AS24" i="53"/>
  <c r="AU24" i="53" s="1"/>
  <c r="AX24" i="53" s="1"/>
  <c r="BB24" i="53" s="1"/>
  <c r="AH24" i="53"/>
  <c r="AK23" i="52"/>
  <c r="AM23" i="52" s="1"/>
  <c r="AI23" i="52"/>
  <c r="BR24" i="51"/>
  <c r="BC23" i="51"/>
  <c r="O24" i="51" s="1"/>
  <c r="P24" i="51" s="1"/>
  <c r="BR24" i="50"/>
  <c r="BC23" i="50"/>
  <c r="O24" i="50" s="1"/>
  <c r="P24" i="50" s="1"/>
  <c r="BT23" i="50"/>
  <c r="BU23" i="50" s="1"/>
  <c r="P41" i="67" l="1"/>
  <c r="Q41" i="67" s="1"/>
  <c r="AM41" i="67"/>
  <c r="AN41" i="67"/>
  <c r="AC40" i="67"/>
  <c r="G41" i="67" s="1"/>
  <c r="AR41" i="67"/>
  <c r="AR42" i="65"/>
  <c r="AC41" i="65"/>
  <c r="AP42" i="66"/>
  <c r="AE40" i="67"/>
  <c r="AF40" i="67"/>
  <c r="AL41" i="64"/>
  <c r="G41" i="65"/>
  <c r="AF40" i="64"/>
  <c r="AE40" i="64"/>
  <c r="AP40" i="64"/>
  <c r="AT40" i="64" s="1"/>
  <c r="AU40" i="64" s="1"/>
  <c r="AL41" i="61"/>
  <c r="P41" i="61"/>
  <c r="Q41" i="61" s="1"/>
  <c r="AD41" i="61"/>
  <c r="AG41" i="61" s="1"/>
  <c r="AF23" i="61"/>
  <c r="AE23" i="61"/>
  <c r="CY40" i="15"/>
  <c r="AJ42" i="67" s="1"/>
  <c r="BU40" i="15"/>
  <c r="BK40" i="15"/>
  <c r="BJ42" i="51"/>
  <c r="AH40" i="15"/>
  <c r="AL41" i="13"/>
  <c r="BJ42" i="50"/>
  <c r="X40" i="15"/>
  <c r="CE40" i="15"/>
  <c r="BK41" i="13"/>
  <c r="BI41" i="13" s="1"/>
  <c r="BH42" i="13" s="1"/>
  <c r="P39" i="15"/>
  <c r="O40" i="15" s="1"/>
  <c r="BJ42" i="52"/>
  <c r="AR40" i="15"/>
  <c r="AU40" i="15" s="1"/>
  <c r="AH22" i="13"/>
  <c r="AS22" i="13"/>
  <c r="AU22" i="13" s="1"/>
  <c r="AX22" i="13" s="1"/>
  <c r="BB22" i="13" s="1"/>
  <c r="BR41" i="56"/>
  <c r="BJ42" i="53"/>
  <c r="BB40" i="15"/>
  <c r="BE40" i="15" s="1"/>
  <c r="AU22" i="56"/>
  <c r="AV22" i="56" s="1"/>
  <c r="BT22" i="56"/>
  <c r="BS22" i="56"/>
  <c r="BL22" i="56"/>
  <c r="BK22" i="56"/>
  <c r="AK24" i="53"/>
  <c r="AM24" i="53" s="1"/>
  <c r="AI24" i="53"/>
  <c r="AN23" i="52"/>
  <c r="BD23" i="52" s="1"/>
  <c r="BG23" i="52" s="1"/>
  <c r="AS24" i="51"/>
  <c r="AU24" i="51" s="1"/>
  <c r="AX24" i="51" s="1"/>
  <c r="BB24" i="51" s="1"/>
  <c r="AH24" i="51"/>
  <c r="AH24" i="50"/>
  <c r="AS24" i="50"/>
  <c r="AU24" i="50" s="1"/>
  <c r="AX24" i="50" s="1"/>
  <c r="BB24" i="50" s="1"/>
  <c r="M42" i="67" l="1"/>
  <c r="N42" i="67" s="1"/>
  <c r="AO41" i="67"/>
  <c r="AP41" i="67"/>
  <c r="AT41" i="67" s="1"/>
  <c r="AU41" i="67" s="1"/>
  <c r="AP42" i="65"/>
  <c r="AQ42" i="66"/>
  <c r="AS42" i="66" s="1"/>
  <c r="AC42" i="66" s="1"/>
  <c r="AT42" i="66"/>
  <c r="AU42" i="66" s="1"/>
  <c r="AF41" i="66"/>
  <c r="AE41" i="66"/>
  <c r="AQ40" i="64"/>
  <c r="AS40" i="64" s="1"/>
  <c r="AM41" i="64"/>
  <c r="P41" i="64"/>
  <c r="Q41" i="64" s="1"/>
  <c r="AJ42" i="64"/>
  <c r="AJ42" i="61"/>
  <c r="CZ40" i="15"/>
  <c r="BV40" i="15"/>
  <c r="BL40" i="15"/>
  <c r="BO40" i="15" s="1"/>
  <c r="AL42" i="52"/>
  <c r="AL42" i="50"/>
  <c r="AL42" i="53"/>
  <c r="M40" i="15"/>
  <c r="BL41" i="13"/>
  <c r="AI22" i="13"/>
  <c r="AK22" i="13"/>
  <c r="AM22" i="13" s="1"/>
  <c r="BP42" i="56"/>
  <c r="CF40" i="15"/>
  <c r="CI40" i="15" s="1"/>
  <c r="BK42" i="51"/>
  <c r="BI42" i="51" s="1"/>
  <c r="BH43" i="51" s="1"/>
  <c r="AJ40" i="15"/>
  <c r="AI41" i="15" s="1"/>
  <c r="BK42" i="50"/>
  <c r="BI42" i="50" s="1"/>
  <c r="BH43" i="50" s="1"/>
  <c r="Z40" i="15"/>
  <c r="Y41" i="15" s="1"/>
  <c r="AK40" i="15"/>
  <c r="BK42" i="53"/>
  <c r="BI42" i="53" s="1"/>
  <c r="BH43" i="53" s="1"/>
  <c r="BD40" i="15"/>
  <c r="BC41" i="15" s="1"/>
  <c r="BK42" i="52"/>
  <c r="BI42" i="52" s="1"/>
  <c r="BH43" i="52" s="1"/>
  <c r="AT40" i="15"/>
  <c r="AS41" i="15" s="1"/>
  <c r="AA40" i="15"/>
  <c r="AL42" i="51"/>
  <c r="BV22" i="56"/>
  <c r="BU22" i="56"/>
  <c r="AN24" i="53"/>
  <c r="BD24" i="53" s="1"/>
  <c r="BG24" i="53" s="1"/>
  <c r="AO23" i="52"/>
  <c r="AP23" i="52" s="1"/>
  <c r="BN23" i="52"/>
  <c r="BM23" i="52"/>
  <c r="BF23" i="52"/>
  <c r="BE23" i="52"/>
  <c r="AK24" i="51"/>
  <c r="AM24" i="51" s="1"/>
  <c r="AI24" i="51"/>
  <c r="AK24" i="50"/>
  <c r="AM24" i="50" s="1"/>
  <c r="AI24" i="50"/>
  <c r="AQ41" i="67" l="1"/>
  <c r="AS41" i="67" s="1"/>
  <c r="AR42" i="67" s="1"/>
  <c r="O42" i="67"/>
  <c r="AD42" i="67" s="1"/>
  <c r="AG42" i="67" s="1"/>
  <c r="DC40" i="15"/>
  <c r="AK42" i="67"/>
  <c r="AQ42" i="65"/>
  <c r="AS42" i="65" s="1"/>
  <c r="AT42" i="65"/>
  <c r="AU42" i="65" s="1"/>
  <c r="AR43" i="66"/>
  <c r="G43" i="66"/>
  <c r="AR41" i="64"/>
  <c r="AC40" i="64"/>
  <c r="G41" i="64" s="1"/>
  <c r="AF41" i="64" s="1"/>
  <c r="M42" i="64"/>
  <c r="N42" i="64" s="1"/>
  <c r="O42" i="64" s="1"/>
  <c r="AD42" i="64" s="1"/>
  <c r="AG42" i="64" s="1"/>
  <c r="AN41" i="64"/>
  <c r="AO41" i="64" s="1"/>
  <c r="M42" i="61"/>
  <c r="N42" i="61" s="1"/>
  <c r="O42" i="61" s="1"/>
  <c r="AK42" i="64"/>
  <c r="AI42" i="64" s="1"/>
  <c r="AH43" i="64" s="1"/>
  <c r="AK42" i="61"/>
  <c r="AI42" i="61" s="1"/>
  <c r="AH43" i="61" s="1"/>
  <c r="BY40" i="15"/>
  <c r="DB40" i="15"/>
  <c r="DA41" i="15" s="1"/>
  <c r="BX40" i="15"/>
  <c r="BW41" i="15" s="1"/>
  <c r="BN40" i="15"/>
  <c r="BM41" i="15" s="1"/>
  <c r="AO24" i="53"/>
  <c r="AP24" i="53" s="1"/>
  <c r="BL42" i="50"/>
  <c r="AQ41" i="15"/>
  <c r="BJ42" i="13"/>
  <c r="N40" i="15"/>
  <c r="AG41" i="15"/>
  <c r="BL42" i="53"/>
  <c r="BA41" i="15"/>
  <c r="BQ42" i="56"/>
  <c r="BO42" i="56" s="1"/>
  <c r="BN43" i="56" s="1"/>
  <c r="CH40" i="15"/>
  <c r="CG41" i="15" s="1"/>
  <c r="W41" i="15"/>
  <c r="AR42" i="56"/>
  <c r="BL42" i="52"/>
  <c r="BL42" i="51"/>
  <c r="AN22" i="13"/>
  <c r="BD22" i="13" s="1"/>
  <c r="BG22" i="13" s="1"/>
  <c r="BZ22" i="56"/>
  <c r="CA22" i="56" s="1"/>
  <c r="BW22" i="56"/>
  <c r="BY22" i="56" s="1"/>
  <c r="BI22" i="56" s="1"/>
  <c r="BN24" i="53"/>
  <c r="BF24" i="53"/>
  <c r="BE24" i="53"/>
  <c r="BM24" i="53"/>
  <c r="BP23" i="52"/>
  <c r="BQ23" i="52" s="1"/>
  <c r="BS23" i="52" s="1"/>
  <c r="BO23" i="52"/>
  <c r="AN24" i="51"/>
  <c r="BD24" i="51" s="1"/>
  <c r="BG24" i="51" s="1"/>
  <c r="AN24" i="50"/>
  <c r="BD24" i="50" s="1"/>
  <c r="BG24" i="50" s="1"/>
  <c r="AC41" i="67" l="1"/>
  <c r="G42" i="67" s="1"/>
  <c r="P42" i="67"/>
  <c r="Q42" i="67" s="1"/>
  <c r="AI42" i="67"/>
  <c r="AH43" i="67" s="1"/>
  <c r="AL42" i="67"/>
  <c r="AN42" i="67" s="1"/>
  <c r="AR43" i="65"/>
  <c r="AC42" i="65"/>
  <c r="AP43" i="66"/>
  <c r="AE41" i="67"/>
  <c r="AF41" i="67"/>
  <c r="AE41" i="65"/>
  <c r="AF41" i="65"/>
  <c r="G42" i="65"/>
  <c r="AL42" i="64"/>
  <c r="AE41" i="64"/>
  <c r="AP41" i="64"/>
  <c r="AT41" i="64" s="1"/>
  <c r="AU41" i="64" s="1"/>
  <c r="AL42" i="61"/>
  <c r="P42" i="61"/>
  <c r="Q42" i="61" s="1"/>
  <c r="AD42" i="61"/>
  <c r="AG42" i="61" s="1"/>
  <c r="AM23" i="61"/>
  <c r="AN23" i="61"/>
  <c r="CY41" i="15"/>
  <c r="AJ43" i="67" s="1"/>
  <c r="BU41" i="15"/>
  <c r="BK41" i="15"/>
  <c r="BR42" i="56"/>
  <c r="BK42" i="13"/>
  <c r="BI42" i="13" s="1"/>
  <c r="BH43" i="13" s="1"/>
  <c r="P40" i="15"/>
  <c r="O41" i="15" s="1"/>
  <c r="AL42" i="13"/>
  <c r="Q40" i="15"/>
  <c r="BJ43" i="53"/>
  <c r="BB41" i="15"/>
  <c r="BE22" i="13"/>
  <c r="BF22" i="13"/>
  <c r="BM22" i="13"/>
  <c r="BN22" i="13"/>
  <c r="BJ43" i="50"/>
  <c r="X41" i="15"/>
  <c r="AA41" i="15" s="1"/>
  <c r="BJ43" i="52"/>
  <c r="AR41" i="15"/>
  <c r="AU41" i="15" s="1"/>
  <c r="AO22" i="13"/>
  <c r="AP22" i="13" s="1"/>
  <c r="CE41" i="15"/>
  <c r="AO24" i="51"/>
  <c r="AP24" i="51" s="1"/>
  <c r="BJ43" i="51"/>
  <c r="AH41" i="15"/>
  <c r="AK41" i="15" s="1"/>
  <c r="BX23" i="56"/>
  <c r="U23" i="56"/>
  <c r="V23" i="56" s="1"/>
  <c r="BP24" i="53"/>
  <c r="BQ24" i="53" s="1"/>
  <c r="BS24" i="53" s="1"/>
  <c r="BO24" i="53"/>
  <c r="BR24" i="52"/>
  <c r="BC23" i="52"/>
  <c r="O24" i="52" s="1"/>
  <c r="P24" i="52" s="1"/>
  <c r="BT23" i="52"/>
  <c r="BU23" i="52" s="1"/>
  <c r="BN24" i="51"/>
  <c r="BM24" i="51"/>
  <c r="BF24" i="51"/>
  <c r="BE24" i="51"/>
  <c r="AO24" i="50"/>
  <c r="AP24" i="50" s="1"/>
  <c r="BN24" i="50"/>
  <c r="BM24" i="50"/>
  <c r="BF24" i="50"/>
  <c r="BE24" i="50"/>
  <c r="AO42" i="67" l="1"/>
  <c r="AP42" i="67"/>
  <c r="AT42" i="67" s="1"/>
  <c r="AU42" i="67" s="1"/>
  <c r="M43" i="67"/>
  <c r="N43" i="67" s="1"/>
  <c r="AM42" i="67"/>
  <c r="AP43" i="65"/>
  <c r="AQ43" i="66"/>
  <c r="AS43" i="66" s="1"/>
  <c r="AC43" i="66" s="1"/>
  <c r="AT43" i="66"/>
  <c r="AU43" i="66" s="1"/>
  <c r="AE42" i="67"/>
  <c r="AF42" i="67"/>
  <c r="AQ41" i="64"/>
  <c r="AS41" i="64" s="1"/>
  <c r="AM42" i="64"/>
  <c r="P42" i="64"/>
  <c r="Q42" i="64" s="1"/>
  <c r="AJ43" i="64"/>
  <c r="AJ43" i="61"/>
  <c r="M43" i="61" s="1"/>
  <c r="N43" i="61" s="1"/>
  <c r="AO23" i="61"/>
  <c r="AP23" i="61"/>
  <c r="AT23" i="61" s="1"/>
  <c r="AU23" i="61" s="1"/>
  <c r="CZ41" i="15"/>
  <c r="AK43" i="67" s="1"/>
  <c r="AL43" i="67" s="1"/>
  <c r="BL42" i="13"/>
  <c r="BV41" i="15"/>
  <c r="BL41" i="15"/>
  <c r="BO41" i="15" s="1"/>
  <c r="BK43" i="53"/>
  <c r="BI43" i="53" s="1"/>
  <c r="BH44" i="53" s="1"/>
  <c r="BD41" i="15"/>
  <c r="BC42" i="15" s="1"/>
  <c r="AL43" i="50"/>
  <c r="BE41" i="15"/>
  <c r="BP43" i="56"/>
  <c r="CF41" i="15"/>
  <c r="CI41" i="15" s="1"/>
  <c r="AL43" i="53"/>
  <c r="BK43" i="51"/>
  <c r="BI43" i="51" s="1"/>
  <c r="BH44" i="51" s="1"/>
  <c r="AJ41" i="15"/>
  <c r="AI42" i="15" s="1"/>
  <c r="BK43" i="52"/>
  <c r="BI43" i="52" s="1"/>
  <c r="BH44" i="52" s="1"/>
  <c r="AT41" i="15"/>
  <c r="AS42" i="15" s="1"/>
  <c r="BP22" i="13"/>
  <c r="BQ22" i="13" s="1"/>
  <c r="BS22" i="13" s="1"/>
  <c r="BO22" i="13"/>
  <c r="AL43" i="51"/>
  <c r="AL43" i="52"/>
  <c r="M41" i="15"/>
  <c r="BK43" i="50"/>
  <c r="BI43" i="50" s="1"/>
  <c r="BH44" i="50" s="1"/>
  <c r="Z41" i="15"/>
  <c r="Y42" i="15" s="1"/>
  <c r="AY23" i="56"/>
  <c r="BA23" i="56" s="1"/>
  <c r="BD23" i="56" s="1"/>
  <c r="BH23" i="56" s="1"/>
  <c r="AN23" i="56"/>
  <c r="BR25" i="53"/>
  <c r="BC24" i="53"/>
  <c r="O25" i="53" s="1"/>
  <c r="P25" i="53" s="1"/>
  <c r="BT24" i="53"/>
  <c r="AH24" i="52"/>
  <c r="AS24" i="52"/>
  <c r="AU24" i="52" s="1"/>
  <c r="AX24" i="52" s="1"/>
  <c r="BB24" i="52" s="1"/>
  <c r="BP24" i="51"/>
  <c r="BO24" i="51"/>
  <c r="BP24" i="50"/>
  <c r="BQ24" i="50" s="1"/>
  <c r="BS24" i="50" s="1"/>
  <c r="BO24" i="50"/>
  <c r="AQ42" i="67" l="1"/>
  <c r="AS42" i="67" s="1"/>
  <c r="AR43" i="67" s="1"/>
  <c r="AI43" i="67"/>
  <c r="AH44" i="67" s="1"/>
  <c r="O43" i="67"/>
  <c r="AD43" i="67" s="1"/>
  <c r="AG43" i="67" s="1"/>
  <c r="AQ43" i="65"/>
  <c r="AS43" i="65" s="1"/>
  <c r="AT43" i="65"/>
  <c r="AU43" i="65" s="1"/>
  <c r="AR44" i="66"/>
  <c r="G44" i="66"/>
  <c r="AF42" i="66"/>
  <c r="AE42" i="66"/>
  <c r="AR42" i="64"/>
  <c r="AC41" i="64"/>
  <c r="G42" i="64" s="1"/>
  <c r="M43" i="64"/>
  <c r="N43" i="64" s="1"/>
  <c r="O43" i="64" s="1"/>
  <c r="AD43" i="64" s="1"/>
  <c r="AG43" i="64" s="1"/>
  <c r="AN42" i="64"/>
  <c r="AO42" i="64" s="1"/>
  <c r="AK43" i="64"/>
  <c r="AI43" i="64" s="1"/>
  <c r="AH44" i="64" s="1"/>
  <c r="AK43" i="61"/>
  <c r="AQ23" i="61"/>
  <c r="AS23" i="61" s="1"/>
  <c r="O43" i="61"/>
  <c r="DB41" i="15"/>
  <c r="DA42" i="15" s="1"/>
  <c r="DC41" i="15"/>
  <c r="BL43" i="53"/>
  <c r="BX41" i="15"/>
  <c r="BW42" i="15" s="1"/>
  <c r="BY41" i="15"/>
  <c r="BN41" i="15"/>
  <c r="BM42" i="15" s="1"/>
  <c r="BL43" i="52"/>
  <c r="BL43" i="51"/>
  <c r="W42" i="15"/>
  <c r="AG42" i="15"/>
  <c r="BH9" i="51"/>
  <c r="BQ43" i="56"/>
  <c r="BO43" i="56" s="1"/>
  <c r="BN44" i="56" s="1"/>
  <c r="CH41" i="15"/>
  <c r="CG42" i="15" s="1"/>
  <c r="AR43" i="56"/>
  <c r="BH9" i="50"/>
  <c r="BR23" i="13"/>
  <c r="BC22" i="13"/>
  <c r="O23" i="13" s="1"/>
  <c r="P23" i="13" s="1"/>
  <c r="BL43" i="50"/>
  <c r="N41" i="15"/>
  <c r="Q41" i="15" s="1"/>
  <c r="BJ43" i="13"/>
  <c r="BT22" i="13"/>
  <c r="BU22" i="13" s="1"/>
  <c r="AQ42" i="15"/>
  <c r="BA42" i="15"/>
  <c r="BH9" i="52"/>
  <c r="BH9" i="53"/>
  <c r="AQ23" i="56"/>
  <c r="AS23" i="56" s="1"/>
  <c r="AO23" i="56"/>
  <c r="AH25" i="53"/>
  <c r="AS25" i="53"/>
  <c r="AU25" i="53" s="1"/>
  <c r="AX25" i="53" s="1"/>
  <c r="BB25" i="53" s="1"/>
  <c r="BU24" i="53"/>
  <c r="AK24" i="52"/>
  <c r="AM24" i="52" s="1"/>
  <c r="AI24" i="52"/>
  <c r="BT24" i="51"/>
  <c r="BU24" i="51" s="1"/>
  <c r="BQ24" i="51"/>
  <c r="BS24" i="51" s="1"/>
  <c r="BR25" i="50"/>
  <c r="BC24" i="50"/>
  <c r="O25" i="50" s="1"/>
  <c r="P25" i="50" s="1"/>
  <c r="BT24" i="50"/>
  <c r="BU24" i="50" s="1"/>
  <c r="AC42" i="67" l="1"/>
  <c r="G43" i="67" s="1"/>
  <c r="P43" i="67"/>
  <c r="Q43" i="67" s="1"/>
  <c r="AM43" i="67"/>
  <c r="AN43" i="67"/>
  <c r="AP44" i="66"/>
  <c r="AQ44" i="66" s="1"/>
  <c r="AS44" i="66" s="1"/>
  <c r="AC44" i="66" s="1"/>
  <c r="AR44" i="65"/>
  <c r="AC43" i="65"/>
  <c r="AF42" i="65"/>
  <c r="AE42" i="65"/>
  <c r="AH9" i="66"/>
  <c r="AL43" i="64"/>
  <c r="AH9" i="67"/>
  <c r="AH9" i="65"/>
  <c r="AE42" i="64"/>
  <c r="AF42" i="64"/>
  <c r="AP42" i="64"/>
  <c r="AT42" i="64" s="1"/>
  <c r="AU42" i="64" s="1"/>
  <c r="AL43" i="61"/>
  <c r="AI43" i="61"/>
  <c r="AH44" i="61" s="1"/>
  <c r="AH9" i="61" s="1"/>
  <c r="AH9" i="64"/>
  <c r="P43" i="61"/>
  <c r="Q43" i="61" s="1"/>
  <c r="AD43" i="61"/>
  <c r="AG43" i="61" s="1"/>
  <c r="AR24" i="61"/>
  <c r="AC23" i="61"/>
  <c r="G24" i="61" s="1"/>
  <c r="CY42" i="15"/>
  <c r="AJ44" i="67" s="1"/>
  <c r="M44" i="67" s="1"/>
  <c r="N44" i="67" s="1"/>
  <c r="BU42" i="15"/>
  <c r="BK42" i="15"/>
  <c r="BR43" i="56"/>
  <c r="AL43" i="13"/>
  <c r="BK43" i="13"/>
  <c r="BI43" i="13" s="1"/>
  <c r="BH44" i="13" s="1"/>
  <c r="P41" i="15"/>
  <c r="O42" i="15" s="1"/>
  <c r="BJ44" i="53"/>
  <c r="BB42" i="15"/>
  <c r="BJ44" i="51"/>
  <c r="AH42" i="15"/>
  <c r="BJ44" i="52"/>
  <c r="AR42" i="15"/>
  <c r="AU42" i="15" s="1"/>
  <c r="CE42" i="15"/>
  <c r="BJ44" i="50"/>
  <c r="X42" i="15"/>
  <c r="AA42" i="15" s="1"/>
  <c r="AH23" i="13"/>
  <c r="AS23" i="13"/>
  <c r="AU23" i="13" s="1"/>
  <c r="AX23" i="13" s="1"/>
  <c r="BB23" i="13" s="1"/>
  <c r="BN9" i="56"/>
  <c r="AT23" i="56"/>
  <c r="BJ23" i="56" s="1"/>
  <c r="BM23" i="56" s="1"/>
  <c r="AK25" i="53"/>
  <c r="AM25" i="53" s="1"/>
  <c r="AI25" i="53"/>
  <c r="AN24" i="52"/>
  <c r="BD24" i="52" s="1"/>
  <c r="BG24" i="52" s="1"/>
  <c r="BR25" i="51"/>
  <c r="BC24" i="51"/>
  <c r="O25" i="51" s="1"/>
  <c r="P25" i="51" s="1"/>
  <c r="AH25" i="50"/>
  <c r="AS25" i="50"/>
  <c r="AU25" i="50" s="1"/>
  <c r="AX25" i="50" s="1"/>
  <c r="BB25" i="50" s="1"/>
  <c r="AO43" i="67" l="1"/>
  <c r="AP43" i="67"/>
  <c r="AT43" i="67" s="1"/>
  <c r="AU43" i="67" s="1"/>
  <c r="O44" i="67"/>
  <c r="AD44" i="67" s="1"/>
  <c r="AG44" i="67" s="1"/>
  <c r="AT44" i="66"/>
  <c r="AU44" i="66" s="1"/>
  <c r="AU4" i="66" s="1"/>
  <c r="D48" i="17" s="1"/>
  <c r="AP44" i="65"/>
  <c r="AF43" i="67"/>
  <c r="AE43" i="67"/>
  <c r="AE43" i="66"/>
  <c r="AF43" i="66"/>
  <c r="G43" i="65"/>
  <c r="AQ42" i="64"/>
  <c r="AS42" i="64" s="1"/>
  <c r="AM43" i="64"/>
  <c r="P43" i="64"/>
  <c r="Q43" i="64" s="1"/>
  <c r="AJ44" i="64"/>
  <c r="AJ44" i="61"/>
  <c r="M44" i="61" s="1"/>
  <c r="AE24" i="61"/>
  <c r="AF24" i="61"/>
  <c r="CZ42" i="15"/>
  <c r="AK44" i="67" s="1"/>
  <c r="BV42" i="15"/>
  <c r="BL42" i="15"/>
  <c r="BP44" i="56"/>
  <c r="CF42" i="15"/>
  <c r="CI42" i="15" s="1"/>
  <c r="BK44" i="53"/>
  <c r="BD42" i="15"/>
  <c r="BC43" i="15" s="1"/>
  <c r="BE42" i="15"/>
  <c r="AI23" i="13"/>
  <c r="AK23" i="13"/>
  <c r="AM23" i="13" s="1"/>
  <c r="AL44" i="53"/>
  <c r="AL9" i="53" s="1"/>
  <c r="BJ9" i="53"/>
  <c r="BK44" i="50"/>
  <c r="BL44" i="50" s="1"/>
  <c r="BL9" i="50" s="1"/>
  <c r="Z42" i="15"/>
  <c r="Y43" i="15" s="1"/>
  <c r="BK44" i="52"/>
  <c r="AT42" i="15"/>
  <c r="AS43" i="15" s="1"/>
  <c r="M42" i="15"/>
  <c r="AL44" i="52"/>
  <c r="AL9" i="52" s="1"/>
  <c r="BJ9" i="52"/>
  <c r="BH9" i="13"/>
  <c r="AL44" i="50"/>
  <c r="AL9" i="50" s="1"/>
  <c r="BJ9" i="50"/>
  <c r="BK44" i="51"/>
  <c r="BL44" i="51" s="1"/>
  <c r="BL9" i="51" s="1"/>
  <c r="AJ42" i="15"/>
  <c r="AI43" i="15" s="1"/>
  <c r="BL43" i="13"/>
  <c r="AK42" i="15"/>
  <c r="AL44" i="51"/>
  <c r="AL9" i="51" s="1"/>
  <c r="BJ9" i="51"/>
  <c r="AU23" i="56"/>
  <c r="AV23" i="56" s="1"/>
  <c r="BT23" i="56"/>
  <c r="BL23" i="56"/>
  <c r="BK23" i="56"/>
  <c r="BS23" i="56"/>
  <c r="AN25" i="53"/>
  <c r="BD25" i="53" s="1"/>
  <c r="BG25" i="53" s="1"/>
  <c r="AO24" i="52"/>
  <c r="AP24" i="52" s="1"/>
  <c r="BN24" i="52"/>
  <c r="BM24" i="52"/>
  <c r="BF24" i="52"/>
  <c r="BE24" i="52"/>
  <c r="AH25" i="51"/>
  <c r="AS25" i="51"/>
  <c r="AU25" i="51" s="1"/>
  <c r="AX25" i="51" s="1"/>
  <c r="BB25" i="51" s="1"/>
  <c r="AK25" i="50"/>
  <c r="AM25" i="50" s="1"/>
  <c r="AI25" i="50"/>
  <c r="AQ43" i="67" l="1"/>
  <c r="AS43" i="67" s="1"/>
  <c r="AR44" i="67" s="1"/>
  <c r="AL44" i="67"/>
  <c r="AI44" i="67"/>
  <c r="P44" i="67"/>
  <c r="Q44" i="67" s="1"/>
  <c r="AN44" i="67"/>
  <c r="AM44" i="67"/>
  <c r="AT44" i="65"/>
  <c r="AU44" i="65" s="1"/>
  <c r="AQ44" i="65"/>
  <c r="AS44" i="65" s="1"/>
  <c r="AC44" i="65" s="1"/>
  <c r="AE43" i="65"/>
  <c r="AF43" i="65"/>
  <c r="AJ9" i="65"/>
  <c r="AJ9" i="66"/>
  <c r="AL9" i="67"/>
  <c r="AL9" i="66"/>
  <c r="AJ9" i="67"/>
  <c r="AR43" i="64"/>
  <c r="AC42" i="64"/>
  <c r="G43" i="64" s="1"/>
  <c r="AV4" i="67" a="1"/>
  <c r="AV4" i="65" a="1"/>
  <c r="M44" i="64"/>
  <c r="N44" i="64" s="1"/>
  <c r="O44" i="64" s="1"/>
  <c r="AD44" i="64" s="1"/>
  <c r="AG44" i="64" s="1"/>
  <c r="AN43" i="64"/>
  <c r="AO43" i="64" s="1"/>
  <c r="AJ9" i="64"/>
  <c r="AK44" i="64"/>
  <c r="AI44" i="64" s="1"/>
  <c r="AK44" i="61"/>
  <c r="AK9" i="61" s="1"/>
  <c r="AJ9" i="61"/>
  <c r="M9" i="61"/>
  <c r="N44" i="61"/>
  <c r="DB42" i="15"/>
  <c r="DA43" i="15" s="1"/>
  <c r="DC42" i="15"/>
  <c r="BX42" i="15"/>
  <c r="BW43" i="15" s="1"/>
  <c r="BY42" i="15"/>
  <c r="BN42" i="15"/>
  <c r="BM43" i="15" s="1"/>
  <c r="BO42" i="15"/>
  <c r="BK9" i="52"/>
  <c r="BI44" i="52"/>
  <c r="BI9" i="52" s="1"/>
  <c r="W43" i="15"/>
  <c r="AG43" i="15"/>
  <c r="BL44" i="52"/>
  <c r="BL9" i="52" s="1"/>
  <c r="BK9" i="50"/>
  <c r="BI44" i="50"/>
  <c r="BI9" i="50" s="1"/>
  <c r="BA43" i="15"/>
  <c r="BK9" i="51"/>
  <c r="BI44" i="51"/>
  <c r="BI9" i="51" s="1"/>
  <c r="BL44" i="53"/>
  <c r="BL9" i="53" s="1"/>
  <c r="BK9" i="53"/>
  <c r="BI44" i="53"/>
  <c r="BI9" i="53" s="1"/>
  <c r="N42" i="15"/>
  <c r="Q42" i="15" s="1"/>
  <c r="BJ44" i="13"/>
  <c r="BQ44" i="56"/>
  <c r="BR44" i="56" s="1"/>
  <c r="BR9" i="56" s="1"/>
  <c r="CH42" i="15"/>
  <c r="CG43" i="15" s="1"/>
  <c r="AQ43" i="15"/>
  <c r="AN23" i="13"/>
  <c r="BD23" i="13" s="1"/>
  <c r="BG23" i="13" s="1"/>
  <c r="AR44" i="56"/>
  <c r="AR9" i="56" s="1"/>
  <c r="BP9" i="56"/>
  <c r="BV23" i="56"/>
  <c r="BU23" i="56"/>
  <c r="BN25" i="53"/>
  <c r="BF25" i="53"/>
  <c r="BE25" i="53"/>
  <c r="BM25" i="53"/>
  <c r="AO25" i="53"/>
  <c r="AP25" i="53" s="1"/>
  <c r="BP24" i="52"/>
  <c r="BQ24" i="52" s="1"/>
  <c r="BS24" i="52" s="1"/>
  <c r="BO24" i="52"/>
  <c r="AK25" i="51"/>
  <c r="AM25" i="51" s="1"/>
  <c r="AI25" i="51"/>
  <c r="AN25" i="50"/>
  <c r="BD25" i="50" s="1"/>
  <c r="BG25" i="50" s="1"/>
  <c r="AC43" i="67" l="1"/>
  <c r="G44" i="67" s="1"/>
  <c r="AO44" i="67"/>
  <c r="AP44" i="67"/>
  <c r="AT44" i="67" s="1"/>
  <c r="AU44" i="67" s="1"/>
  <c r="AU4" i="67" s="1"/>
  <c r="L37" i="17" s="1"/>
  <c r="AK9" i="67"/>
  <c r="AI9" i="67"/>
  <c r="AR9" i="66"/>
  <c r="M9" i="67"/>
  <c r="M9" i="66"/>
  <c r="G44" i="65"/>
  <c r="AL44" i="64"/>
  <c r="AL9" i="64" s="1"/>
  <c r="AK9" i="65"/>
  <c r="AI9" i="65"/>
  <c r="M9" i="65"/>
  <c r="AK9" i="66"/>
  <c r="AI9" i="66"/>
  <c r="AL9" i="65"/>
  <c r="AF43" i="64"/>
  <c r="AE43" i="64"/>
  <c r="AP43" i="64"/>
  <c r="AT43" i="64" s="1"/>
  <c r="AU43" i="64" s="1"/>
  <c r="AL44" i="61"/>
  <c r="AL9" i="61" s="1"/>
  <c r="AI44" i="61"/>
  <c r="AI9" i="61" s="1"/>
  <c r="AK9" i="64"/>
  <c r="AI9" i="64"/>
  <c r="M9" i="64"/>
  <c r="O44" i="61"/>
  <c r="CY43" i="15"/>
  <c r="AO23" i="13"/>
  <c r="AP23" i="13" s="1"/>
  <c r="BU43" i="15"/>
  <c r="BK43" i="15"/>
  <c r="BQ9" i="56"/>
  <c r="BO44" i="56"/>
  <c r="BO9" i="56" s="1"/>
  <c r="AH43" i="15"/>
  <c r="AJ43" i="15" s="1"/>
  <c r="AI44" i="15" s="1"/>
  <c r="AL44" i="13"/>
  <c r="AL9" i="13" s="1"/>
  <c r="BJ9" i="13"/>
  <c r="BE23" i="13"/>
  <c r="BN23" i="13"/>
  <c r="BF23" i="13"/>
  <c r="BM23" i="13"/>
  <c r="BK44" i="13"/>
  <c r="BL44" i="13" s="1"/>
  <c r="BL9" i="13" s="1"/>
  <c r="P42" i="15"/>
  <c r="O43" i="15" s="1"/>
  <c r="BB43" i="15"/>
  <c r="BD43" i="15" s="1"/>
  <c r="BC44" i="15" s="1"/>
  <c r="AR43" i="15"/>
  <c r="AT43" i="15" s="1"/>
  <c r="AS44" i="15" s="1"/>
  <c r="X43" i="15"/>
  <c r="Z43" i="15" s="1"/>
  <c r="Y44" i="15" s="1"/>
  <c r="CE43" i="15"/>
  <c r="BZ23" i="56"/>
  <c r="CA23" i="56" s="1"/>
  <c r="BW23" i="56"/>
  <c r="BY23" i="56" s="1"/>
  <c r="BI23" i="56" s="1"/>
  <c r="BP25" i="53"/>
  <c r="BQ25" i="53" s="1"/>
  <c r="BS25" i="53" s="1"/>
  <c r="BO25" i="53"/>
  <c r="BR25" i="52"/>
  <c r="BC24" i="52"/>
  <c r="O25" i="52" s="1"/>
  <c r="P25" i="52" s="1"/>
  <c r="BT24" i="52"/>
  <c r="BU24" i="52" s="1"/>
  <c r="AN25" i="51"/>
  <c r="BD25" i="51" s="1"/>
  <c r="BG25" i="51" s="1"/>
  <c r="AO25" i="50"/>
  <c r="AP25" i="50" s="1"/>
  <c r="BN25" i="50"/>
  <c r="BM25" i="50"/>
  <c r="BF25" i="50"/>
  <c r="BE25" i="50"/>
  <c r="AQ44" i="67" l="1"/>
  <c r="AS44" i="67" s="1"/>
  <c r="AC44" i="67" s="1"/>
  <c r="AF44" i="66"/>
  <c r="AE44" i="66"/>
  <c r="G9" i="66"/>
  <c r="N9" i="67"/>
  <c r="N9" i="65"/>
  <c r="N9" i="66"/>
  <c r="AV4" i="66" a="1"/>
  <c r="AQ43" i="64"/>
  <c r="AS43" i="64" s="1"/>
  <c r="P44" i="64"/>
  <c r="Q44" i="64" s="1"/>
  <c r="N9" i="64"/>
  <c r="P44" i="61"/>
  <c r="Q44" i="61" s="1"/>
  <c r="AD44" i="61"/>
  <c r="AG44" i="61" s="1"/>
  <c r="AV4" i="64" a="1"/>
  <c r="AM24" i="61"/>
  <c r="AN24" i="61"/>
  <c r="CZ43" i="15"/>
  <c r="DB43" i="15" s="1"/>
  <c r="DA44" i="15" s="1"/>
  <c r="BV43" i="15"/>
  <c r="BX43" i="15" s="1"/>
  <c r="BW44" i="15" s="1"/>
  <c r="BL43" i="15"/>
  <c r="BN43" i="15" s="1"/>
  <c r="BM44" i="15" s="1"/>
  <c r="AO25" i="51"/>
  <c r="AP25" i="51" s="1"/>
  <c r="AA43" i="15"/>
  <c r="AK43" i="15"/>
  <c r="AQ44" i="15"/>
  <c r="BA44" i="15"/>
  <c r="BE43" i="15"/>
  <c r="M43" i="15"/>
  <c r="CF43" i="15"/>
  <c r="CH43" i="15" s="1"/>
  <c r="CG44" i="15" s="1"/>
  <c r="BK9" i="13"/>
  <c r="BI44" i="13"/>
  <c r="BI9" i="13" s="1"/>
  <c r="AG44" i="15"/>
  <c r="W44" i="15"/>
  <c r="AU43" i="15"/>
  <c r="BP23" i="13"/>
  <c r="BQ23" i="13" s="1"/>
  <c r="BS23" i="13" s="1"/>
  <c r="BO23" i="13"/>
  <c r="BX24" i="56"/>
  <c r="U24" i="56"/>
  <c r="V24" i="56" s="1"/>
  <c r="BR26" i="53"/>
  <c r="BC25" i="53"/>
  <c r="O26" i="53" s="1"/>
  <c r="P26" i="53" s="1"/>
  <c r="BT25" i="53"/>
  <c r="AH25" i="52"/>
  <c r="AS25" i="52"/>
  <c r="AU25" i="52" s="1"/>
  <c r="AX25" i="52" s="1"/>
  <c r="BB25" i="52" s="1"/>
  <c r="BN25" i="51"/>
  <c r="BM25" i="51"/>
  <c r="BF25" i="51"/>
  <c r="BE25" i="51"/>
  <c r="BP25" i="50"/>
  <c r="BQ25" i="50" s="1"/>
  <c r="BS25" i="50" s="1"/>
  <c r="BO25" i="50"/>
  <c r="Q4" i="65" l="1"/>
  <c r="P9" i="65"/>
  <c r="Q4" i="67"/>
  <c r="P9" i="67"/>
  <c r="O9" i="65"/>
  <c r="AR9" i="67"/>
  <c r="AR9" i="65"/>
  <c r="Q4" i="66"/>
  <c r="P9" i="66"/>
  <c r="O9" i="66"/>
  <c r="O9" i="67"/>
  <c r="AR44" i="64"/>
  <c r="AC43" i="64"/>
  <c r="G44" i="64" s="1"/>
  <c r="Q4" i="64"/>
  <c r="P9" i="64"/>
  <c r="O9" i="64"/>
  <c r="AO24" i="61"/>
  <c r="AP24" i="61"/>
  <c r="AT24" i="61" s="1"/>
  <c r="AU24" i="61" s="1"/>
  <c r="DC43" i="15"/>
  <c r="CY44" i="15"/>
  <c r="BU44" i="15"/>
  <c r="BY43" i="15"/>
  <c r="BK44" i="15"/>
  <c r="BO43" i="15"/>
  <c r="CI43" i="15"/>
  <c r="X44" i="15"/>
  <c r="AA44" i="15" s="1"/>
  <c r="AA7" i="15" s="1"/>
  <c r="W7" i="15"/>
  <c r="AH44" i="15"/>
  <c r="AK44" i="15" s="1"/>
  <c r="AK7" i="15" s="1"/>
  <c r="AG7" i="15"/>
  <c r="N43" i="15"/>
  <c r="P43" i="15" s="1"/>
  <c r="O44" i="15" s="1"/>
  <c r="BR24" i="13"/>
  <c r="BC23" i="13"/>
  <c r="O24" i="13" s="1"/>
  <c r="P24" i="13" s="1"/>
  <c r="BB44" i="15"/>
  <c r="BE44" i="15" s="1"/>
  <c r="BE7" i="15" s="1"/>
  <c r="BA7" i="15"/>
  <c r="BT23" i="13"/>
  <c r="BU23" i="13" s="1"/>
  <c r="AR44" i="15"/>
  <c r="AU44" i="15" s="1"/>
  <c r="AU7" i="15" s="1"/>
  <c r="AQ7" i="15"/>
  <c r="CE44" i="15"/>
  <c r="AY24" i="56"/>
  <c r="BA24" i="56" s="1"/>
  <c r="BD24" i="56" s="1"/>
  <c r="BH24" i="56" s="1"/>
  <c r="AN24" i="56"/>
  <c r="BU25" i="53"/>
  <c r="AH26" i="53"/>
  <c r="AS26" i="53"/>
  <c r="AU26" i="53" s="1"/>
  <c r="AX26" i="53" s="1"/>
  <c r="BB26" i="53" s="1"/>
  <c r="AK25" i="52"/>
  <c r="AM25" i="52" s="1"/>
  <c r="AI25" i="52"/>
  <c r="BP25" i="51"/>
  <c r="BO25" i="51"/>
  <c r="BR26" i="50"/>
  <c r="BC25" i="50"/>
  <c r="O26" i="50" s="1"/>
  <c r="P26" i="50" s="1"/>
  <c r="BT25" i="50"/>
  <c r="BU25" i="50" s="1"/>
  <c r="G9" i="67" l="1"/>
  <c r="AF44" i="67"/>
  <c r="AE44" i="67"/>
  <c r="G9" i="65"/>
  <c r="AF44" i="65"/>
  <c r="AE44" i="65"/>
  <c r="AD9" i="67"/>
  <c r="AD9" i="66"/>
  <c r="AD9" i="65"/>
  <c r="AR9" i="64"/>
  <c r="G9" i="64"/>
  <c r="AE44" i="64"/>
  <c r="AF44" i="64"/>
  <c r="AD9" i="64"/>
  <c r="AM44" i="64"/>
  <c r="AQ24" i="61"/>
  <c r="AS24" i="61" s="1"/>
  <c r="CZ44" i="15"/>
  <c r="CY7" i="15"/>
  <c r="BV44" i="15"/>
  <c r="BY44" i="15" s="1"/>
  <c r="BY7" i="15" s="1"/>
  <c r="BU7" i="15"/>
  <c r="BL44" i="15"/>
  <c r="BO44" i="15" s="1"/>
  <c r="BO7" i="15" s="1"/>
  <c r="BK7" i="15"/>
  <c r="Q43" i="15"/>
  <c r="M44" i="15"/>
  <c r="AH7" i="15"/>
  <c r="AJ44" i="15"/>
  <c r="CF44" i="15"/>
  <c r="CI44" i="15" s="1"/>
  <c r="CI7" i="15" s="1"/>
  <c r="CE7" i="15"/>
  <c r="BB7" i="15"/>
  <c r="BD44" i="15"/>
  <c r="AS24" i="13"/>
  <c r="AU24" i="13" s="1"/>
  <c r="AX24" i="13" s="1"/>
  <c r="BB24" i="13" s="1"/>
  <c r="AH24" i="13"/>
  <c r="AR7" i="15"/>
  <c r="AT44" i="15"/>
  <c r="X7" i="15"/>
  <c r="Z44" i="15"/>
  <c r="AQ24" i="56"/>
  <c r="AS24" i="56" s="1"/>
  <c r="AO24" i="56"/>
  <c r="AK26" i="53"/>
  <c r="AM26" i="53" s="1"/>
  <c r="AI26" i="53"/>
  <c r="AN25" i="52"/>
  <c r="BD25" i="52" s="1"/>
  <c r="BG25" i="52" s="1"/>
  <c r="BT25" i="51"/>
  <c r="BU25" i="51" s="1"/>
  <c r="BQ25" i="51"/>
  <c r="BS25" i="51" s="1"/>
  <c r="AS26" i="50"/>
  <c r="AU26" i="50" s="1"/>
  <c r="AX26" i="50" s="1"/>
  <c r="BB26" i="50" s="1"/>
  <c r="AH26" i="50"/>
  <c r="AA4" i="65" l="1"/>
  <c r="AB4" i="65" s="1"/>
  <c r="AG9" i="65"/>
  <c r="AG9" i="66"/>
  <c r="AA4" i="66"/>
  <c r="AB4" i="66" s="1"/>
  <c r="AG9" i="67"/>
  <c r="AA4" i="67"/>
  <c r="AB4" i="67" s="1"/>
  <c r="AN44" i="64"/>
  <c r="AO44" i="64" s="1"/>
  <c r="AA4" i="64"/>
  <c r="AB4" i="64" s="1"/>
  <c r="AG9" i="64"/>
  <c r="AR25" i="61"/>
  <c r="AC24" i="61"/>
  <c r="G25" i="61" s="1"/>
  <c r="AE25" i="61" s="1"/>
  <c r="CZ7" i="15"/>
  <c r="DB44" i="15"/>
  <c r="DC44" i="15"/>
  <c r="DC7" i="15" s="1"/>
  <c r="BV7" i="15"/>
  <c r="BX44" i="15"/>
  <c r="BL7" i="15"/>
  <c r="BN44" i="15"/>
  <c r="CF7" i="15"/>
  <c r="CH44" i="15"/>
  <c r="AK24" i="13"/>
  <c r="AM24" i="13" s="1"/>
  <c r="AI24" i="13"/>
  <c r="N44" i="15"/>
  <c r="Q44" i="15" s="1"/>
  <c r="Q7" i="15" s="1"/>
  <c r="M7" i="15"/>
  <c r="AT24" i="56"/>
  <c r="BJ24" i="56" s="1"/>
  <c r="BM24" i="56" s="1"/>
  <c r="AN26" i="53"/>
  <c r="BD26" i="53" s="1"/>
  <c r="BG26" i="53" s="1"/>
  <c r="AO25" i="52"/>
  <c r="AP25" i="52" s="1"/>
  <c r="BN25" i="52"/>
  <c r="BM25" i="52"/>
  <c r="BF25" i="52"/>
  <c r="BE25" i="52"/>
  <c r="BR26" i="51"/>
  <c r="BC25" i="51"/>
  <c r="O26" i="51" s="1"/>
  <c r="P26" i="51" s="1"/>
  <c r="AK26" i="50"/>
  <c r="AM26" i="50" s="1"/>
  <c r="AI26" i="50"/>
  <c r="AJ4" i="66" l="1"/>
  <c r="D49" i="17" s="1"/>
  <c r="AK4" i="66" a="1"/>
  <c r="AK4" i="66" s="1"/>
  <c r="D50" i="17" s="1"/>
  <c r="AN9" i="66"/>
  <c r="AJ4" i="67"/>
  <c r="L38" i="17" s="1"/>
  <c r="AK4" i="67" a="1"/>
  <c r="AK4" i="67" s="1"/>
  <c r="L39" i="17" s="1"/>
  <c r="AE9" i="65"/>
  <c r="AE4" i="65"/>
  <c r="AF4" i="65" s="1"/>
  <c r="AN9" i="67"/>
  <c r="Y4" i="65"/>
  <c r="AF9" i="65"/>
  <c r="AE4" i="66"/>
  <c r="AF4" i="66" s="1"/>
  <c r="AE9" i="66"/>
  <c r="AJ4" i="65"/>
  <c r="H49" i="17" s="1"/>
  <c r="AK4" i="65" a="1"/>
  <c r="AK4" i="65" s="1"/>
  <c r="H50" i="17" s="1"/>
  <c r="Y4" i="66"/>
  <c r="AF9" i="66"/>
  <c r="AE9" i="67"/>
  <c r="AE4" i="67"/>
  <c r="AF4" i="67" s="1"/>
  <c r="AF9" i="67"/>
  <c r="Y4" i="67"/>
  <c r="AN9" i="65"/>
  <c r="AP44" i="64"/>
  <c r="Y4" i="64"/>
  <c r="AF9" i="64"/>
  <c r="AE4" i="64"/>
  <c r="AF4" i="64" s="1"/>
  <c r="AE9" i="64"/>
  <c r="AJ4" i="64"/>
  <c r="H38" i="17" s="1"/>
  <c r="AK4" i="64" a="1"/>
  <c r="AK4" i="64" s="1"/>
  <c r="H39" i="17" s="1"/>
  <c r="AN9" i="64"/>
  <c r="AF25" i="61"/>
  <c r="N7" i="15"/>
  <c r="P44" i="15"/>
  <c r="AN24" i="13"/>
  <c r="BD24" i="13" s="1"/>
  <c r="BG24" i="13" s="1"/>
  <c r="BT24" i="56"/>
  <c r="BK24" i="56"/>
  <c r="BS24" i="56"/>
  <c r="BL24" i="56"/>
  <c r="AU24" i="56"/>
  <c r="AV24" i="56" s="1"/>
  <c r="AO26" i="53"/>
  <c r="AP26" i="53" s="1"/>
  <c r="BN26" i="53"/>
  <c r="BF26" i="53"/>
  <c r="BE26" i="53"/>
  <c r="BM26" i="53"/>
  <c r="BP25" i="52"/>
  <c r="BQ25" i="52" s="1"/>
  <c r="BS25" i="52" s="1"/>
  <c r="BO25" i="52"/>
  <c r="AH26" i="51"/>
  <c r="AS26" i="51"/>
  <c r="AU26" i="51" s="1"/>
  <c r="AX26" i="51" s="1"/>
  <c r="BB26" i="51" s="1"/>
  <c r="AN26" i="50"/>
  <c r="BD26" i="50" s="1"/>
  <c r="BG26" i="50" s="1"/>
  <c r="Z4" i="65" l="1"/>
  <c r="H47" i="17"/>
  <c r="Z4" i="66"/>
  <c r="D47" i="17"/>
  <c r="Z4" i="67"/>
  <c r="L36" i="17"/>
  <c r="Z4" i="64"/>
  <c r="H36" i="17"/>
  <c r="AT44" i="64"/>
  <c r="AU44" i="64" s="1"/>
  <c r="AU4" i="64" s="1"/>
  <c r="AP9" i="64"/>
  <c r="AQ9" i="65"/>
  <c r="AQ9" i="67"/>
  <c r="AQ9" i="66"/>
  <c r="Z4" i="69"/>
  <c r="AP9" i="67"/>
  <c r="AN4" i="67"/>
  <c r="AO4" i="67" s="1"/>
  <c r="AP4" i="67"/>
  <c r="AN4" i="66"/>
  <c r="AO4" i="66" s="1"/>
  <c r="Z4" i="70"/>
  <c r="AP9" i="66"/>
  <c r="AP4" i="66"/>
  <c r="Z4" i="68"/>
  <c r="AN4" i="65"/>
  <c r="AO4" i="65" s="1"/>
  <c r="AP9" i="65"/>
  <c r="AP4" i="65"/>
  <c r="AS4" i="65"/>
  <c r="AT4" i="65" s="1"/>
  <c r="AO9" i="65"/>
  <c r="AO9" i="67"/>
  <c r="AS4" i="67"/>
  <c r="AT4" i="67" s="1"/>
  <c r="AS4" i="66"/>
  <c r="AT4" i="66" s="1"/>
  <c r="AO9" i="66"/>
  <c r="AQ44" i="64"/>
  <c r="AS44" i="64" s="1"/>
  <c r="AC44" i="64" s="1"/>
  <c r="AS4" i="64"/>
  <c r="AT4" i="64" s="1"/>
  <c r="AO9" i="64"/>
  <c r="AN4" i="64"/>
  <c r="AO4" i="64" s="1"/>
  <c r="AP4" i="64"/>
  <c r="H35" i="17" s="1"/>
  <c r="AO26" i="50"/>
  <c r="AP26" i="50" s="1"/>
  <c r="AO24" i="13"/>
  <c r="AP24" i="13" s="1"/>
  <c r="BE24" i="13"/>
  <c r="BN24" i="13"/>
  <c r="BF24" i="13"/>
  <c r="BM24" i="13"/>
  <c r="BV24" i="56"/>
  <c r="BU24" i="56"/>
  <c r="BP26" i="53"/>
  <c r="BQ26" i="53" s="1"/>
  <c r="BS26" i="53" s="1"/>
  <c r="BO26" i="53"/>
  <c r="BR26" i="52"/>
  <c r="BC25" i="52"/>
  <c r="O26" i="52" s="1"/>
  <c r="P26" i="52" s="1"/>
  <c r="BT25" i="52"/>
  <c r="BU25" i="52" s="1"/>
  <c r="AK26" i="51"/>
  <c r="AM26" i="51" s="1"/>
  <c r="AI26" i="51"/>
  <c r="BN26" i="50"/>
  <c r="BM26" i="50"/>
  <c r="BF26" i="50"/>
  <c r="BE26" i="50"/>
  <c r="H45" i="17" l="1"/>
  <c r="H44" i="17"/>
  <c r="H43" i="17"/>
  <c r="Y4" i="68"/>
  <c r="H46" i="17"/>
  <c r="H37" i="17"/>
  <c r="Z4" i="62"/>
  <c r="Y4" i="70"/>
  <c r="D46" i="17"/>
  <c r="D45" i="17"/>
  <c r="D44" i="17"/>
  <c r="D43" i="17"/>
  <c r="Y4" i="69"/>
  <c r="L35" i="17"/>
  <c r="L33" i="17"/>
  <c r="L32" i="17"/>
  <c r="L34" i="17"/>
  <c r="H33" i="17"/>
  <c r="H34" i="17"/>
  <c r="H32" i="17"/>
  <c r="AV13" i="67"/>
  <c r="AV14" i="67"/>
  <c r="AV15" i="67"/>
  <c r="AV16" i="67"/>
  <c r="AV17" i="67"/>
  <c r="AV18" i="67"/>
  <c r="AV19" i="67"/>
  <c r="AV20" i="67"/>
  <c r="AV21" i="67"/>
  <c r="AV22" i="67"/>
  <c r="AV23" i="67"/>
  <c r="AV24" i="67"/>
  <c r="AV25" i="67"/>
  <c r="AV26" i="67"/>
  <c r="AV27" i="67"/>
  <c r="AV28" i="67"/>
  <c r="AV29" i="67"/>
  <c r="AV30" i="67"/>
  <c r="AV31" i="67"/>
  <c r="AV32" i="67"/>
  <c r="AV33" i="67"/>
  <c r="AV34" i="67"/>
  <c r="AV35" i="67"/>
  <c r="AV36" i="67"/>
  <c r="AV37" i="67"/>
  <c r="AV38" i="67"/>
  <c r="AV39" i="67"/>
  <c r="AV40" i="67"/>
  <c r="AV41" i="67"/>
  <c r="AV42" i="67"/>
  <c r="AV43" i="67"/>
  <c r="AV44" i="67"/>
  <c r="AV13" i="66"/>
  <c r="AV14" i="66"/>
  <c r="AV15" i="66"/>
  <c r="AV16" i="66"/>
  <c r="AV17" i="66"/>
  <c r="AV18" i="66"/>
  <c r="AV19" i="66"/>
  <c r="AV20" i="66"/>
  <c r="AV21" i="66"/>
  <c r="AV22" i="66"/>
  <c r="AV23" i="66"/>
  <c r="AV24" i="66"/>
  <c r="AV25" i="66"/>
  <c r="AV26" i="66"/>
  <c r="AV27" i="66"/>
  <c r="AV28" i="66"/>
  <c r="AV29" i="66"/>
  <c r="AV30" i="66"/>
  <c r="AV31" i="66"/>
  <c r="AV32" i="66"/>
  <c r="AV33" i="66"/>
  <c r="AV34" i="66"/>
  <c r="AV35" i="66"/>
  <c r="AV36" i="66"/>
  <c r="AV37" i="66"/>
  <c r="AV38" i="66"/>
  <c r="AV39" i="66"/>
  <c r="AV40" i="66"/>
  <c r="AV41" i="66"/>
  <c r="AV42" i="66"/>
  <c r="AV43" i="66"/>
  <c r="AV44" i="66"/>
  <c r="AV13" i="65"/>
  <c r="AV14" i="65"/>
  <c r="AV15" i="65"/>
  <c r="AV16" i="65"/>
  <c r="AV17" i="65"/>
  <c r="AV18" i="65"/>
  <c r="AV19" i="65"/>
  <c r="AV20" i="65"/>
  <c r="AV21" i="65"/>
  <c r="AV22" i="65"/>
  <c r="AV23" i="65"/>
  <c r="AV24" i="65"/>
  <c r="AV25" i="65"/>
  <c r="AV26" i="65"/>
  <c r="AV27" i="65"/>
  <c r="AV28" i="65"/>
  <c r="AV29" i="65"/>
  <c r="AV30" i="65"/>
  <c r="AV31" i="65"/>
  <c r="AV32" i="65"/>
  <c r="AV33" i="65"/>
  <c r="AV34" i="65"/>
  <c r="AV35" i="65"/>
  <c r="AV36" i="65"/>
  <c r="AV37" i="65"/>
  <c r="AV38" i="65"/>
  <c r="AV39" i="65"/>
  <c r="AV40" i="65"/>
  <c r="AV41" i="65"/>
  <c r="AV42" i="65"/>
  <c r="AV43" i="65"/>
  <c r="AV44" i="65"/>
  <c r="AV12" i="66"/>
  <c r="AV11" i="66"/>
  <c r="AQ4" i="66"/>
  <c r="AQ4" i="65"/>
  <c r="AV12" i="65"/>
  <c r="AV11" i="65"/>
  <c r="AS9" i="66"/>
  <c r="AC9" i="66"/>
  <c r="AV12" i="67"/>
  <c r="AQ4" i="67"/>
  <c r="AV11" i="67"/>
  <c r="AS9" i="67"/>
  <c r="AC9" i="67"/>
  <c r="AS9" i="65"/>
  <c r="AC9" i="65"/>
  <c r="AV13" i="64"/>
  <c r="AV14" i="64"/>
  <c r="AV15" i="64"/>
  <c r="AV16" i="64"/>
  <c r="AV17" i="64"/>
  <c r="AV18" i="64"/>
  <c r="AV19" i="64"/>
  <c r="AV20" i="64"/>
  <c r="AV21" i="64"/>
  <c r="AV22" i="64"/>
  <c r="AV23" i="64"/>
  <c r="AV24" i="64"/>
  <c r="AV25" i="64"/>
  <c r="AV26" i="64"/>
  <c r="AV27" i="64"/>
  <c r="AV28" i="64"/>
  <c r="AV29" i="64"/>
  <c r="AV30" i="64"/>
  <c r="AV31" i="64"/>
  <c r="AV32" i="64"/>
  <c r="AV33" i="64"/>
  <c r="AV34" i="64"/>
  <c r="AV35" i="64"/>
  <c r="AV36" i="64"/>
  <c r="AV37" i="64"/>
  <c r="AV38" i="64"/>
  <c r="AV39" i="64"/>
  <c r="AV40" i="64"/>
  <c r="AV41" i="64"/>
  <c r="AV42" i="64"/>
  <c r="AV43" i="64"/>
  <c r="AV44" i="64"/>
  <c r="AQ9" i="64"/>
  <c r="Y4" i="62"/>
  <c r="AQ4" i="64"/>
  <c r="AV11" i="64"/>
  <c r="AV12" i="64"/>
  <c r="AM25" i="61"/>
  <c r="AN25" i="61"/>
  <c r="BP24" i="13"/>
  <c r="BO24" i="13"/>
  <c r="BZ24" i="56"/>
  <c r="CA24" i="56" s="1"/>
  <c r="BW24" i="56"/>
  <c r="BY24" i="56" s="1"/>
  <c r="BI24" i="56" s="1"/>
  <c r="BR27" i="53"/>
  <c r="BC26" i="53"/>
  <c r="O27" i="53" s="1"/>
  <c r="P27" i="53" s="1"/>
  <c r="BT26" i="53"/>
  <c r="AS26" i="52"/>
  <c r="AU26" i="52" s="1"/>
  <c r="AX26" i="52" s="1"/>
  <c r="BB26" i="52" s="1"/>
  <c r="AH26" i="52"/>
  <c r="AN26" i="51"/>
  <c r="BD26" i="51" s="1"/>
  <c r="BG26" i="51" s="1"/>
  <c r="BP26" i="50"/>
  <c r="BQ26" i="50" s="1"/>
  <c r="BS26" i="50" s="1"/>
  <c r="BO26" i="50"/>
  <c r="AV4" i="67" l="1"/>
  <c r="AV9" i="67"/>
  <c r="AV9" i="65"/>
  <c r="AV4" i="65"/>
  <c r="AV9" i="66"/>
  <c r="AV4" i="66"/>
  <c r="AV9" i="64"/>
  <c r="AV4" i="64"/>
  <c r="AC9" i="64"/>
  <c r="AS9" i="64"/>
  <c r="AO25" i="61"/>
  <c r="AP25" i="61"/>
  <c r="AT25" i="61" s="1"/>
  <c r="AU25" i="61" s="1"/>
  <c r="AO26" i="51"/>
  <c r="AP26" i="51" s="1"/>
  <c r="BT24" i="13"/>
  <c r="BU24" i="13" s="1"/>
  <c r="BQ24" i="13"/>
  <c r="BS24" i="13" s="1"/>
  <c r="BX25" i="56"/>
  <c r="U25" i="56"/>
  <c r="V25" i="56" s="1"/>
  <c r="BU26" i="53"/>
  <c r="AS27" i="53"/>
  <c r="AU27" i="53" s="1"/>
  <c r="AX27" i="53" s="1"/>
  <c r="BB27" i="53" s="1"/>
  <c r="AH27" i="53"/>
  <c r="AK26" i="52"/>
  <c r="AM26" i="52" s="1"/>
  <c r="AI26" i="52"/>
  <c r="BN26" i="51"/>
  <c r="BM26" i="51"/>
  <c r="BF26" i="51"/>
  <c r="BE26" i="51"/>
  <c r="BR27" i="50"/>
  <c r="BC26" i="50"/>
  <c r="O27" i="50" s="1"/>
  <c r="P27" i="50" s="1"/>
  <c r="BT26" i="50"/>
  <c r="BU26" i="50" s="1"/>
  <c r="AQ25" i="61" l="1"/>
  <c r="AS25" i="61" s="1"/>
  <c r="BR25" i="13"/>
  <c r="BC24" i="13"/>
  <c r="O25" i="13" s="1"/>
  <c r="P25" i="13" s="1"/>
  <c r="AY25" i="56"/>
  <c r="BA25" i="56" s="1"/>
  <c r="BD25" i="56" s="1"/>
  <c r="BH25" i="56" s="1"/>
  <c r="AN25" i="56"/>
  <c r="AI27" i="53"/>
  <c r="AK27" i="53"/>
  <c r="AM27" i="53" s="1"/>
  <c r="AN26" i="52"/>
  <c r="BD26" i="52" s="1"/>
  <c r="BG26" i="52" s="1"/>
  <c r="BP26" i="51"/>
  <c r="BQ26" i="51" s="1"/>
  <c r="BS26" i="51" s="1"/>
  <c r="BO26" i="51"/>
  <c r="AS27" i="50"/>
  <c r="AU27" i="50" s="1"/>
  <c r="AX27" i="50" s="1"/>
  <c r="BB27" i="50" s="1"/>
  <c r="AH27" i="50"/>
  <c r="AR26" i="61" l="1"/>
  <c r="AC25" i="61"/>
  <c r="G26" i="61" s="1"/>
  <c r="AF26" i="61" s="1"/>
  <c r="AH25" i="13"/>
  <c r="AS25" i="13"/>
  <c r="AU25" i="13" s="1"/>
  <c r="AX25" i="13" s="1"/>
  <c r="BB25" i="13" s="1"/>
  <c r="AQ25" i="56"/>
  <c r="AS25" i="56" s="1"/>
  <c r="AO25" i="56"/>
  <c r="AN27" i="53"/>
  <c r="BD27" i="53" s="1"/>
  <c r="BG27" i="53" s="1"/>
  <c r="AO26" i="52"/>
  <c r="AP26" i="52" s="1"/>
  <c r="BN26" i="52"/>
  <c r="BM26" i="52"/>
  <c r="BF26" i="52"/>
  <c r="BE26" i="52"/>
  <c r="BR27" i="51"/>
  <c r="BC26" i="51"/>
  <c r="O27" i="51" s="1"/>
  <c r="P27" i="51" s="1"/>
  <c r="BT26" i="51"/>
  <c r="BU26" i="51" s="1"/>
  <c r="AK27" i="50"/>
  <c r="AM27" i="50" s="1"/>
  <c r="AI27" i="50"/>
  <c r="AE26" i="61" l="1"/>
  <c r="AO27" i="53"/>
  <c r="AP27" i="53" s="1"/>
  <c r="AK25" i="13"/>
  <c r="AM25" i="13" s="1"/>
  <c r="AI25" i="13"/>
  <c r="AT25" i="56"/>
  <c r="BJ25" i="56" s="1"/>
  <c r="BM25" i="56" s="1"/>
  <c r="BN27" i="53"/>
  <c r="BF27" i="53"/>
  <c r="BE27" i="53"/>
  <c r="BM27" i="53"/>
  <c r="BP26" i="52"/>
  <c r="BQ26" i="52" s="1"/>
  <c r="BS26" i="52" s="1"/>
  <c r="BO26" i="52"/>
  <c r="AS27" i="51"/>
  <c r="AU27" i="51" s="1"/>
  <c r="AX27" i="51" s="1"/>
  <c r="BB27" i="51" s="1"/>
  <c r="AH27" i="51"/>
  <c r="AN27" i="50"/>
  <c r="BD27" i="50" s="1"/>
  <c r="BG27" i="50" s="1"/>
  <c r="AN25" i="13" l="1"/>
  <c r="BD25" i="13" s="1"/>
  <c r="BG25" i="13" s="1"/>
  <c r="AU25" i="56"/>
  <c r="AV25" i="56" s="1"/>
  <c r="BT25" i="56"/>
  <c r="BS25" i="56"/>
  <c r="BL25" i="56"/>
  <c r="BK25" i="56"/>
  <c r="BP27" i="53"/>
  <c r="BO27" i="53"/>
  <c r="BR27" i="52"/>
  <c r="BC26" i="52"/>
  <c r="O27" i="52" s="1"/>
  <c r="P27" i="52" s="1"/>
  <c r="BT26" i="52"/>
  <c r="BU26" i="52" s="1"/>
  <c r="AK27" i="51"/>
  <c r="AM27" i="51" s="1"/>
  <c r="AI27" i="51"/>
  <c r="AO27" i="50"/>
  <c r="AP27" i="50" s="1"/>
  <c r="BN27" i="50"/>
  <c r="BM27" i="50"/>
  <c r="BF27" i="50"/>
  <c r="BE27" i="50"/>
  <c r="AN26" i="61" l="1"/>
  <c r="AM26" i="61"/>
  <c r="AO25" i="13"/>
  <c r="AP25" i="13" s="1"/>
  <c r="BN25" i="13"/>
  <c r="BE25" i="13"/>
  <c r="BF25" i="13"/>
  <c r="BM25" i="13"/>
  <c r="BV25" i="56"/>
  <c r="BU25" i="56"/>
  <c r="BT27" i="53"/>
  <c r="BQ27" i="53"/>
  <c r="BS27" i="53" s="1"/>
  <c r="AH27" i="52"/>
  <c r="AS27" i="52"/>
  <c r="AU27" i="52" s="1"/>
  <c r="AX27" i="52" s="1"/>
  <c r="BB27" i="52" s="1"/>
  <c r="AN27" i="51"/>
  <c r="BD27" i="51" s="1"/>
  <c r="BG27" i="51" s="1"/>
  <c r="BP27" i="50"/>
  <c r="BQ27" i="50" s="1"/>
  <c r="BS27" i="50" s="1"/>
  <c r="BO27" i="50"/>
  <c r="AO26" i="61" l="1"/>
  <c r="AP26" i="61"/>
  <c r="AT26" i="61" s="1"/>
  <c r="AU26" i="61" s="1"/>
  <c r="BO25" i="13"/>
  <c r="BP25" i="13"/>
  <c r="BQ25" i="13" s="1"/>
  <c r="BS25" i="13" s="1"/>
  <c r="BZ25" i="56"/>
  <c r="CA25" i="56" s="1"/>
  <c r="BW25" i="56"/>
  <c r="BY25" i="56" s="1"/>
  <c r="BI25" i="56" s="1"/>
  <c r="BR28" i="53"/>
  <c r="BC27" i="53"/>
  <c r="O28" i="53" s="1"/>
  <c r="P28" i="53" s="1"/>
  <c r="BU27" i="53"/>
  <c r="AK27" i="52"/>
  <c r="AM27" i="52" s="1"/>
  <c r="AI27" i="52"/>
  <c r="AO27" i="51"/>
  <c r="AP27" i="51" s="1"/>
  <c r="BN27" i="51"/>
  <c r="BM27" i="51"/>
  <c r="BF27" i="51"/>
  <c r="BE27" i="51"/>
  <c r="BR28" i="50"/>
  <c r="BC27" i="50"/>
  <c r="O28" i="50" s="1"/>
  <c r="P28" i="50" s="1"/>
  <c r="BT27" i="50"/>
  <c r="BU27" i="50" s="1"/>
  <c r="AQ26" i="61" l="1"/>
  <c r="AS26" i="61" s="1"/>
  <c r="BR26" i="13"/>
  <c r="BC25" i="13"/>
  <c r="O26" i="13" s="1"/>
  <c r="P26" i="13" s="1"/>
  <c r="BT25" i="13"/>
  <c r="BU25" i="13" s="1"/>
  <c r="BX26" i="56"/>
  <c r="U26" i="56"/>
  <c r="V26" i="56" s="1"/>
  <c r="AH28" i="53"/>
  <c r="AS28" i="53"/>
  <c r="AU28" i="53" s="1"/>
  <c r="AX28" i="53" s="1"/>
  <c r="BB28" i="53" s="1"/>
  <c r="AN27" i="52"/>
  <c r="BD27" i="52" s="1"/>
  <c r="BG27" i="52" s="1"/>
  <c r="BP27" i="51"/>
  <c r="BQ27" i="51" s="1"/>
  <c r="BS27" i="51" s="1"/>
  <c r="BO27" i="51"/>
  <c r="AH28" i="50"/>
  <c r="AS28" i="50"/>
  <c r="AU28" i="50" s="1"/>
  <c r="AX28" i="50" s="1"/>
  <c r="BB28" i="50" s="1"/>
  <c r="AR27" i="61" l="1"/>
  <c r="AC26" i="61"/>
  <c r="G27" i="61" s="1"/>
  <c r="AO27" i="52"/>
  <c r="AP27" i="52" s="1"/>
  <c r="AS26" i="13"/>
  <c r="AU26" i="13" s="1"/>
  <c r="AX26" i="13" s="1"/>
  <c r="BB26" i="13" s="1"/>
  <c r="AH26" i="13"/>
  <c r="AN26" i="56"/>
  <c r="AY26" i="56"/>
  <c r="BA26" i="56" s="1"/>
  <c r="BD26" i="56" s="1"/>
  <c r="BH26" i="56" s="1"/>
  <c r="AK28" i="53"/>
  <c r="AM28" i="53" s="1"/>
  <c r="AI28" i="53"/>
  <c r="BN27" i="52"/>
  <c r="BM27" i="52"/>
  <c r="BF27" i="52"/>
  <c r="BE27" i="52"/>
  <c r="BR28" i="51"/>
  <c r="BC27" i="51"/>
  <c r="O28" i="51" s="1"/>
  <c r="P28" i="51" s="1"/>
  <c r="BT27" i="51"/>
  <c r="BU27" i="51" s="1"/>
  <c r="AK28" i="50"/>
  <c r="AM28" i="50" s="1"/>
  <c r="AI28" i="50"/>
  <c r="AF27" i="61" l="1"/>
  <c r="AE27" i="61"/>
  <c r="AI26" i="13"/>
  <c r="AK26" i="13"/>
  <c r="AM26" i="13" s="1"/>
  <c r="AQ26" i="56"/>
  <c r="AS26" i="56" s="1"/>
  <c r="AO26" i="56"/>
  <c r="AN28" i="53"/>
  <c r="BD28" i="53" s="1"/>
  <c r="BG28" i="53" s="1"/>
  <c r="BP27" i="52"/>
  <c r="BQ27" i="52" s="1"/>
  <c r="BS27" i="52" s="1"/>
  <c r="BO27" i="52"/>
  <c r="AS28" i="51"/>
  <c r="AU28" i="51" s="1"/>
  <c r="AX28" i="51" s="1"/>
  <c r="BB28" i="51" s="1"/>
  <c r="AH28" i="51"/>
  <c r="AN28" i="50"/>
  <c r="BD28" i="50" s="1"/>
  <c r="BG28" i="50" s="1"/>
  <c r="AN26" i="13" l="1"/>
  <c r="BD26" i="13" s="1"/>
  <c r="BG26" i="13" s="1"/>
  <c r="AT26" i="56"/>
  <c r="BJ26" i="56" s="1"/>
  <c r="BM26" i="56" s="1"/>
  <c r="AO28" i="53"/>
  <c r="AP28" i="53" s="1"/>
  <c r="BN28" i="53"/>
  <c r="BF28" i="53"/>
  <c r="BE28" i="53"/>
  <c r="BM28" i="53"/>
  <c r="BR28" i="52"/>
  <c r="BC27" i="52"/>
  <c r="O28" i="52" s="1"/>
  <c r="P28" i="52" s="1"/>
  <c r="BT27" i="52"/>
  <c r="BU27" i="52" s="1"/>
  <c r="AK28" i="51"/>
  <c r="AM28" i="51" s="1"/>
  <c r="AI28" i="51"/>
  <c r="AO28" i="50"/>
  <c r="AP28" i="50" s="1"/>
  <c r="BN28" i="50"/>
  <c r="BM28" i="50"/>
  <c r="BF28" i="50"/>
  <c r="BE28" i="50"/>
  <c r="AO26" i="13" l="1"/>
  <c r="AP26" i="13" s="1"/>
  <c r="BF26" i="13"/>
  <c r="BM26" i="13"/>
  <c r="BN26" i="13"/>
  <c r="BE26" i="13"/>
  <c r="AU26" i="56"/>
  <c r="AV26" i="56" s="1"/>
  <c r="BT26" i="56"/>
  <c r="BS26" i="56"/>
  <c r="BL26" i="56"/>
  <c r="BK26" i="56"/>
  <c r="BP28" i="53"/>
  <c r="BO28" i="53"/>
  <c r="AH28" i="52"/>
  <c r="AS28" i="52"/>
  <c r="AU28" i="52" s="1"/>
  <c r="AX28" i="52" s="1"/>
  <c r="BB28" i="52" s="1"/>
  <c r="AN28" i="51"/>
  <c r="BD28" i="51" s="1"/>
  <c r="BG28" i="51" s="1"/>
  <c r="BP28" i="50"/>
  <c r="BQ28" i="50" s="1"/>
  <c r="BS28" i="50" s="1"/>
  <c r="BO28" i="50"/>
  <c r="AN27" i="61" l="1"/>
  <c r="AM27" i="61"/>
  <c r="BO26" i="13"/>
  <c r="BP26" i="13"/>
  <c r="BQ26" i="13" s="1"/>
  <c r="BS26" i="13" s="1"/>
  <c r="AO28" i="51"/>
  <c r="AP28" i="51" s="1"/>
  <c r="BV26" i="56"/>
  <c r="BU26" i="56"/>
  <c r="BT28" i="53"/>
  <c r="BQ28" i="53"/>
  <c r="BS28" i="53" s="1"/>
  <c r="AK28" i="52"/>
  <c r="AM28" i="52" s="1"/>
  <c r="AI28" i="52"/>
  <c r="BN28" i="51"/>
  <c r="BM28" i="51"/>
  <c r="BF28" i="51"/>
  <c r="BE28" i="51"/>
  <c r="BR29" i="50"/>
  <c r="BC28" i="50"/>
  <c r="O29" i="50" s="1"/>
  <c r="P29" i="50" s="1"/>
  <c r="BT28" i="50"/>
  <c r="BU28" i="50" s="1"/>
  <c r="AO27" i="61" l="1"/>
  <c r="AP27" i="61"/>
  <c r="AT27" i="61" s="1"/>
  <c r="AU27" i="61" s="1"/>
  <c r="BR27" i="13"/>
  <c r="BC26" i="13"/>
  <c r="O27" i="13" s="1"/>
  <c r="P27" i="13" s="1"/>
  <c r="BT26" i="13"/>
  <c r="BU26" i="13" s="1"/>
  <c r="BZ26" i="56"/>
  <c r="CA26" i="56" s="1"/>
  <c r="BW26" i="56"/>
  <c r="BY26" i="56" s="1"/>
  <c r="BI26" i="56" s="1"/>
  <c r="BR29" i="53"/>
  <c r="BC28" i="53"/>
  <c r="O29" i="53" s="1"/>
  <c r="P29" i="53" s="1"/>
  <c r="BU28" i="53"/>
  <c r="AN28" i="52"/>
  <c r="BD28" i="52" s="1"/>
  <c r="BG28" i="52" s="1"/>
  <c r="BP28" i="51"/>
  <c r="BQ28" i="51" s="1"/>
  <c r="BS28" i="51" s="1"/>
  <c r="BO28" i="51"/>
  <c r="AH29" i="50"/>
  <c r="AS29" i="50"/>
  <c r="AU29" i="50" s="1"/>
  <c r="AX29" i="50" s="1"/>
  <c r="BB29" i="50" s="1"/>
  <c r="AQ27" i="61" l="1"/>
  <c r="AS27" i="61" s="1"/>
  <c r="AH27" i="13"/>
  <c r="AS27" i="13"/>
  <c r="AU27" i="13" s="1"/>
  <c r="AX27" i="13" s="1"/>
  <c r="BB27" i="13" s="1"/>
  <c r="BX27" i="56"/>
  <c r="U27" i="56"/>
  <c r="V27" i="56" s="1"/>
  <c r="AH29" i="53"/>
  <c r="AS29" i="53"/>
  <c r="AU29" i="53" s="1"/>
  <c r="AX29" i="53" s="1"/>
  <c r="BB29" i="53" s="1"/>
  <c r="AO28" i="52"/>
  <c r="AP28" i="52" s="1"/>
  <c r="BN28" i="52"/>
  <c r="BM28" i="52"/>
  <c r="BF28" i="52"/>
  <c r="BE28" i="52"/>
  <c r="BR29" i="51"/>
  <c r="BC28" i="51"/>
  <c r="O29" i="51" s="1"/>
  <c r="P29" i="51" s="1"/>
  <c r="BT28" i="51"/>
  <c r="BU28" i="51" s="1"/>
  <c r="AK29" i="50"/>
  <c r="AM29" i="50" s="1"/>
  <c r="AI29" i="50"/>
  <c r="AR28" i="61" l="1"/>
  <c r="AC27" i="61"/>
  <c r="G28" i="61" s="1"/>
  <c r="AF28" i="61" s="1"/>
  <c r="AK27" i="13"/>
  <c r="AM27" i="13" s="1"/>
  <c r="AI27" i="13"/>
  <c r="AN27" i="56"/>
  <c r="AY27" i="56"/>
  <c r="BA27" i="56" s="1"/>
  <c r="BD27" i="56" s="1"/>
  <c r="BH27" i="56" s="1"/>
  <c r="AK29" i="53"/>
  <c r="AM29" i="53" s="1"/>
  <c r="AI29" i="53"/>
  <c r="BP28" i="52"/>
  <c r="BO28" i="52"/>
  <c r="AH29" i="51"/>
  <c r="AS29" i="51"/>
  <c r="AU29" i="51" s="1"/>
  <c r="AX29" i="51" s="1"/>
  <c r="BB29" i="51" s="1"/>
  <c r="AN29" i="50"/>
  <c r="BD29" i="50" s="1"/>
  <c r="BG29" i="50" s="1"/>
  <c r="AE28" i="61" l="1"/>
  <c r="AO29" i="50"/>
  <c r="AP29" i="50" s="1"/>
  <c r="AN27" i="13"/>
  <c r="BD27" i="13" s="1"/>
  <c r="BG27" i="13" s="1"/>
  <c r="AQ27" i="56"/>
  <c r="AS27" i="56" s="1"/>
  <c r="AO27" i="56"/>
  <c r="AN29" i="53"/>
  <c r="BD29" i="53" s="1"/>
  <c r="BG29" i="53" s="1"/>
  <c r="BT28" i="52"/>
  <c r="BU28" i="52" s="1"/>
  <c r="BQ28" i="52"/>
  <c r="BS28" i="52" s="1"/>
  <c r="AK29" i="51"/>
  <c r="AM29" i="51" s="1"/>
  <c r="AI29" i="51"/>
  <c r="BN29" i="50"/>
  <c r="BF29" i="50"/>
  <c r="BE29" i="50"/>
  <c r="BM29" i="50"/>
  <c r="AO29" i="53" l="1"/>
  <c r="AP29" i="53" s="1"/>
  <c r="BF27" i="13"/>
  <c r="BM27" i="13"/>
  <c r="BE27" i="13"/>
  <c r="BN27" i="13"/>
  <c r="AO27" i="13"/>
  <c r="AP27" i="13" s="1"/>
  <c r="AT27" i="56"/>
  <c r="BJ27" i="56" s="1"/>
  <c r="BM27" i="56" s="1"/>
  <c r="BN29" i="53"/>
  <c r="BF29" i="53"/>
  <c r="BE29" i="53"/>
  <c r="BM29" i="53"/>
  <c r="BR29" i="52"/>
  <c r="BC28" i="52"/>
  <c r="O29" i="52" s="1"/>
  <c r="P29" i="52" s="1"/>
  <c r="AN29" i="51"/>
  <c r="BD29" i="51" s="1"/>
  <c r="BG29" i="51" s="1"/>
  <c r="BP29" i="50"/>
  <c r="BQ29" i="50" s="1"/>
  <c r="BS29" i="50" s="1"/>
  <c r="BO29" i="50"/>
  <c r="AM28" i="61" l="1"/>
  <c r="AN28" i="61"/>
  <c r="BP27" i="13"/>
  <c r="BQ27" i="13" s="1"/>
  <c r="BS27" i="13" s="1"/>
  <c r="BO27" i="13"/>
  <c r="AU27" i="56"/>
  <c r="AV27" i="56" s="1"/>
  <c r="BT27" i="56"/>
  <c r="BS27" i="56"/>
  <c r="BL27" i="56"/>
  <c r="BK27" i="56"/>
  <c r="BP29" i="53"/>
  <c r="BQ29" i="53" s="1"/>
  <c r="BS29" i="53" s="1"/>
  <c r="BO29" i="53"/>
  <c r="AS29" i="52"/>
  <c r="AU29" i="52" s="1"/>
  <c r="AX29" i="52" s="1"/>
  <c r="BB29" i="52" s="1"/>
  <c r="AH29" i="52"/>
  <c r="AO29" i="51"/>
  <c r="AP29" i="51" s="1"/>
  <c r="BN29" i="51"/>
  <c r="BM29" i="51"/>
  <c r="BF29" i="51"/>
  <c r="BE29" i="51"/>
  <c r="BR30" i="50"/>
  <c r="BC29" i="50"/>
  <c r="O30" i="50" s="1"/>
  <c r="P30" i="50" s="1"/>
  <c r="BT29" i="50"/>
  <c r="BU29" i="50" s="1"/>
  <c r="AO28" i="61" l="1"/>
  <c r="AP28" i="61"/>
  <c r="AT28" i="61" s="1"/>
  <c r="AU28" i="61" s="1"/>
  <c r="BR28" i="13"/>
  <c r="BC27" i="13"/>
  <c r="O28" i="13" s="1"/>
  <c r="P28" i="13" s="1"/>
  <c r="BT27" i="13"/>
  <c r="BU27" i="13" s="1"/>
  <c r="BU27" i="56"/>
  <c r="BV27" i="56"/>
  <c r="BW27" i="56" s="1"/>
  <c r="BY27" i="56" s="1"/>
  <c r="BI27" i="56" s="1"/>
  <c r="BR30" i="53"/>
  <c r="BC29" i="53"/>
  <c r="O30" i="53" s="1"/>
  <c r="P30" i="53" s="1"/>
  <c r="BT29" i="53"/>
  <c r="AK29" i="52"/>
  <c r="AM29" i="52" s="1"/>
  <c r="AI29" i="52"/>
  <c r="BP29" i="51"/>
  <c r="BO29" i="51"/>
  <c r="AS30" i="50"/>
  <c r="AU30" i="50" s="1"/>
  <c r="AX30" i="50" s="1"/>
  <c r="BB30" i="50" s="1"/>
  <c r="AH30" i="50"/>
  <c r="AQ28" i="61" l="1"/>
  <c r="AS28" i="61" s="1"/>
  <c r="AH28" i="13"/>
  <c r="AS28" i="13"/>
  <c r="AU28" i="13" s="1"/>
  <c r="AX28" i="13" s="1"/>
  <c r="BB28" i="13" s="1"/>
  <c r="BZ27" i="56"/>
  <c r="CA27" i="56" s="1"/>
  <c r="BX28" i="56"/>
  <c r="U28" i="56"/>
  <c r="V28" i="56" s="1"/>
  <c r="BU29" i="53"/>
  <c r="AS30" i="53"/>
  <c r="AU30" i="53" s="1"/>
  <c r="AX30" i="53" s="1"/>
  <c r="BB30" i="53" s="1"/>
  <c r="AH30" i="53"/>
  <c r="AN29" i="52"/>
  <c r="BD29" i="52" s="1"/>
  <c r="BG29" i="52" s="1"/>
  <c r="BT29" i="51"/>
  <c r="BU29" i="51" s="1"/>
  <c r="BQ29" i="51"/>
  <c r="BS29" i="51" s="1"/>
  <c r="AK30" i="50"/>
  <c r="AM30" i="50" s="1"/>
  <c r="AI30" i="50"/>
  <c r="AR29" i="61" l="1"/>
  <c r="AC28" i="61"/>
  <c r="G29" i="61" s="1"/>
  <c r="AO29" i="52"/>
  <c r="AP29" i="52" s="1"/>
  <c r="AK28" i="13"/>
  <c r="AM28" i="13" s="1"/>
  <c r="AI28" i="13"/>
  <c r="AN28" i="56"/>
  <c r="AY28" i="56"/>
  <c r="BA28" i="56" s="1"/>
  <c r="BD28" i="56" s="1"/>
  <c r="BH28" i="56" s="1"/>
  <c r="AK30" i="53"/>
  <c r="AM30" i="53" s="1"/>
  <c r="AI30" i="53"/>
  <c r="BN29" i="52"/>
  <c r="BM29" i="52"/>
  <c r="BF29" i="52"/>
  <c r="BE29" i="52"/>
  <c r="BR30" i="51"/>
  <c r="BC29" i="51"/>
  <c r="O30" i="51" s="1"/>
  <c r="P30" i="51" s="1"/>
  <c r="AN30" i="50"/>
  <c r="BD30" i="50" s="1"/>
  <c r="BG30" i="50" s="1"/>
  <c r="AE29" i="61" l="1"/>
  <c r="AF29" i="61"/>
  <c r="AN28" i="13"/>
  <c r="BD28" i="13" s="1"/>
  <c r="BG28" i="13" s="1"/>
  <c r="AQ28" i="56"/>
  <c r="AS28" i="56" s="1"/>
  <c r="AO28" i="56"/>
  <c r="AN30" i="53"/>
  <c r="BD30" i="53" s="1"/>
  <c r="BG30" i="53" s="1"/>
  <c r="BP29" i="52"/>
  <c r="BQ29" i="52" s="1"/>
  <c r="BS29" i="52" s="1"/>
  <c r="BO29" i="52"/>
  <c r="AH30" i="51"/>
  <c r="AS30" i="51"/>
  <c r="AU30" i="51" s="1"/>
  <c r="AX30" i="51" s="1"/>
  <c r="BB30" i="51" s="1"/>
  <c r="AO30" i="50"/>
  <c r="AP30" i="50" s="1"/>
  <c r="BN30" i="50"/>
  <c r="BE30" i="50"/>
  <c r="BM30" i="50"/>
  <c r="BF30" i="50"/>
  <c r="AO30" i="53" l="1"/>
  <c r="AP30" i="53" s="1"/>
  <c r="BN28" i="13"/>
  <c r="BF28" i="13"/>
  <c r="BM28" i="13"/>
  <c r="BE28" i="13"/>
  <c r="AO28" i="13"/>
  <c r="AP28" i="13" s="1"/>
  <c r="AT28" i="56"/>
  <c r="BJ28" i="56" s="1"/>
  <c r="BM28" i="56" s="1"/>
  <c r="BN30" i="53"/>
  <c r="BF30" i="53"/>
  <c r="BE30" i="53"/>
  <c r="BM30" i="53"/>
  <c r="BR30" i="52"/>
  <c r="BC29" i="52"/>
  <c r="O30" i="52" s="1"/>
  <c r="P30" i="52" s="1"/>
  <c r="BT29" i="52"/>
  <c r="BU29" i="52" s="1"/>
  <c r="AK30" i="51"/>
  <c r="AM30" i="51" s="1"/>
  <c r="AI30" i="51"/>
  <c r="BP30" i="50"/>
  <c r="BQ30" i="50" s="1"/>
  <c r="BS30" i="50" s="1"/>
  <c r="BO30" i="50"/>
  <c r="BP28" i="13" l="1"/>
  <c r="BQ28" i="13" s="1"/>
  <c r="BS28" i="13" s="1"/>
  <c r="BO28" i="13"/>
  <c r="AU28" i="56"/>
  <c r="AV28" i="56" s="1"/>
  <c r="BT28" i="56"/>
  <c r="BS28" i="56"/>
  <c r="BK28" i="56"/>
  <c r="BL28" i="56"/>
  <c r="BP30" i="53"/>
  <c r="BO30" i="53"/>
  <c r="AH30" i="52"/>
  <c r="AS30" i="52"/>
  <c r="AU30" i="52" s="1"/>
  <c r="AX30" i="52" s="1"/>
  <c r="BB30" i="52" s="1"/>
  <c r="AN30" i="51"/>
  <c r="BD30" i="51" s="1"/>
  <c r="BG30" i="51" s="1"/>
  <c r="BR31" i="50"/>
  <c r="BC30" i="50"/>
  <c r="O31" i="50" s="1"/>
  <c r="P31" i="50" s="1"/>
  <c r="BT30" i="50"/>
  <c r="BU30" i="50" s="1"/>
  <c r="AN29" i="61" l="1"/>
  <c r="AM29" i="61"/>
  <c r="BR29" i="13"/>
  <c r="BC28" i="13"/>
  <c r="O29" i="13" s="1"/>
  <c r="P29" i="13" s="1"/>
  <c r="AO30" i="51"/>
  <c r="AP30" i="51" s="1"/>
  <c r="BT28" i="13"/>
  <c r="BU28" i="13" s="1"/>
  <c r="BV28" i="56"/>
  <c r="BW28" i="56" s="1"/>
  <c r="BY28" i="56" s="1"/>
  <c r="BI28" i="56" s="1"/>
  <c r="BU28" i="56"/>
  <c r="BT30" i="53"/>
  <c r="BQ30" i="53"/>
  <c r="BS30" i="53" s="1"/>
  <c r="AK30" i="52"/>
  <c r="AM30" i="52" s="1"/>
  <c r="AI30" i="52"/>
  <c r="BN30" i="51"/>
  <c r="BM30" i="51"/>
  <c r="BF30" i="51"/>
  <c r="BE30" i="51"/>
  <c r="AS31" i="50"/>
  <c r="AU31" i="50" s="1"/>
  <c r="AX31" i="50" s="1"/>
  <c r="BB31" i="50" s="1"/>
  <c r="AH31" i="50"/>
  <c r="AO29" i="61" l="1"/>
  <c r="AP29" i="61"/>
  <c r="AT29" i="61" s="1"/>
  <c r="AU29" i="61" s="1"/>
  <c r="AS29" i="13"/>
  <c r="AU29" i="13" s="1"/>
  <c r="AX29" i="13" s="1"/>
  <c r="BB29" i="13" s="1"/>
  <c r="AH29" i="13"/>
  <c r="BX29" i="56"/>
  <c r="U29" i="56"/>
  <c r="V29" i="56" s="1"/>
  <c r="BZ28" i="56"/>
  <c r="CA28" i="56" s="1"/>
  <c r="BR31" i="53"/>
  <c r="BC30" i="53"/>
  <c r="O31" i="53" s="1"/>
  <c r="P31" i="53" s="1"/>
  <c r="BU30" i="53"/>
  <c r="AN30" i="52"/>
  <c r="BD30" i="52" s="1"/>
  <c r="BG30" i="52" s="1"/>
  <c r="BP30" i="51"/>
  <c r="BQ30" i="51" s="1"/>
  <c r="BS30" i="51" s="1"/>
  <c r="BO30" i="51"/>
  <c r="AK31" i="50"/>
  <c r="AM31" i="50" s="1"/>
  <c r="AI31" i="50"/>
  <c r="AQ29" i="61" l="1"/>
  <c r="AS29" i="61" s="1"/>
  <c r="AK29" i="13"/>
  <c r="AM29" i="13" s="1"/>
  <c r="AI29" i="13"/>
  <c r="AY29" i="56"/>
  <c r="BA29" i="56" s="1"/>
  <c r="BD29" i="56" s="1"/>
  <c r="BH29" i="56" s="1"/>
  <c r="AN29" i="56"/>
  <c r="AH31" i="53"/>
  <c r="AS31" i="53"/>
  <c r="AU31" i="53" s="1"/>
  <c r="AX31" i="53" s="1"/>
  <c r="BB31" i="53" s="1"/>
  <c r="AO30" i="52"/>
  <c r="AP30" i="52" s="1"/>
  <c r="BN30" i="52"/>
  <c r="BM30" i="52"/>
  <c r="BF30" i="52"/>
  <c r="BE30" i="52"/>
  <c r="BR31" i="51"/>
  <c r="BC30" i="51"/>
  <c r="O31" i="51" s="1"/>
  <c r="P31" i="51" s="1"/>
  <c r="BT30" i="51"/>
  <c r="BU30" i="51" s="1"/>
  <c r="AN31" i="50"/>
  <c r="BD31" i="50" s="1"/>
  <c r="BG31" i="50" s="1"/>
  <c r="AR30" i="61" l="1"/>
  <c r="AC29" i="61"/>
  <c r="G30" i="61" s="1"/>
  <c r="AE30" i="61" s="1"/>
  <c r="AN29" i="13"/>
  <c r="BD29" i="13" s="1"/>
  <c r="BG29" i="13" s="1"/>
  <c r="AQ29" i="56"/>
  <c r="AS29" i="56" s="1"/>
  <c r="AO29" i="56"/>
  <c r="AK31" i="53"/>
  <c r="AM31" i="53" s="1"/>
  <c r="AI31" i="53"/>
  <c r="BP30" i="52"/>
  <c r="BQ30" i="52" s="1"/>
  <c r="BS30" i="52" s="1"/>
  <c r="BO30" i="52"/>
  <c r="AS31" i="51"/>
  <c r="AU31" i="51" s="1"/>
  <c r="AX31" i="51" s="1"/>
  <c r="BB31" i="51" s="1"/>
  <c r="AH31" i="51"/>
  <c r="AO31" i="50"/>
  <c r="AP31" i="50" s="1"/>
  <c r="BN31" i="50"/>
  <c r="BM31" i="50"/>
  <c r="BF31" i="50"/>
  <c r="BE31" i="50"/>
  <c r="AF30" i="61" l="1"/>
  <c r="AO29" i="13"/>
  <c r="AP29" i="13" s="1"/>
  <c r="BF29" i="13"/>
  <c r="BM29" i="13"/>
  <c r="BN29" i="13"/>
  <c r="BE29" i="13"/>
  <c r="AT29" i="56"/>
  <c r="BJ29" i="56" s="1"/>
  <c r="BM29" i="56" s="1"/>
  <c r="AN31" i="53"/>
  <c r="BD31" i="53" s="1"/>
  <c r="BG31" i="53" s="1"/>
  <c r="BR31" i="52"/>
  <c r="BC30" i="52"/>
  <c r="O31" i="52" s="1"/>
  <c r="P31" i="52" s="1"/>
  <c r="BT30" i="52"/>
  <c r="BU30" i="52" s="1"/>
  <c r="AK31" i="51"/>
  <c r="AM31" i="51" s="1"/>
  <c r="AI31" i="51"/>
  <c r="BP31" i="50"/>
  <c r="BQ31" i="50" s="1"/>
  <c r="BS31" i="50" s="1"/>
  <c r="BO31" i="50"/>
  <c r="AO31" i="53" l="1"/>
  <c r="AP31" i="53" s="1"/>
  <c r="BO29" i="13"/>
  <c r="BP29" i="13"/>
  <c r="BQ29" i="13" s="1"/>
  <c r="BS29" i="13" s="1"/>
  <c r="AU29" i="56"/>
  <c r="AV29" i="56" s="1"/>
  <c r="BT29" i="56"/>
  <c r="BS29" i="56"/>
  <c r="BL29" i="56"/>
  <c r="BK29" i="56"/>
  <c r="BN31" i="53"/>
  <c r="BF31" i="53"/>
  <c r="BE31" i="53"/>
  <c r="BM31" i="53"/>
  <c r="AS31" i="52"/>
  <c r="AU31" i="52" s="1"/>
  <c r="AX31" i="52" s="1"/>
  <c r="BB31" i="52" s="1"/>
  <c r="AH31" i="52"/>
  <c r="AN31" i="51"/>
  <c r="BD31" i="51" s="1"/>
  <c r="BG31" i="51" s="1"/>
  <c r="BR32" i="50"/>
  <c r="BC31" i="50"/>
  <c r="O32" i="50" s="1"/>
  <c r="P32" i="50" s="1"/>
  <c r="BT31" i="50"/>
  <c r="BU31" i="50" s="1"/>
  <c r="AM30" i="61" l="1"/>
  <c r="AN30" i="61"/>
  <c r="AO31" i="51"/>
  <c r="AP31" i="51" s="1"/>
  <c r="BR30" i="13"/>
  <c r="BC29" i="13"/>
  <c r="O30" i="13" s="1"/>
  <c r="P30" i="13" s="1"/>
  <c r="BT29" i="13"/>
  <c r="BU29" i="13" s="1"/>
  <c r="BV29" i="56"/>
  <c r="BU29" i="56"/>
  <c r="BP31" i="53"/>
  <c r="BO31" i="53"/>
  <c r="AK31" i="52"/>
  <c r="AM31" i="52" s="1"/>
  <c r="AI31" i="52"/>
  <c r="BN31" i="51"/>
  <c r="BM31" i="51"/>
  <c r="BF31" i="51"/>
  <c r="BE31" i="51"/>
  <c r="AH32" i="50"/>
  <c r="AS32" i="50"/>
  <c r="AU32" i="50" s="1"/>
  <c r="AX32" i="50" s="1"/>
  <c r="BB32" i="50" s="1"/>
  <c r="AO30" i="61" l="1"/>
  <c r="AP30" i="61"/>
  <c r="AT30" i="61" s="1"/>
  <c r="AU30" i="61" s="1"/>
  <c r="AH30" i="13"/>
  <c r="AS30" i="13"/>
  <c r="AU30" i="13" s="1"/>
  <c r="AX30" i="13" s="1"/>
  <c r="BB30" i="13" s="1"/>
  <c r="BZ29" i="56"/>
  <c r="CA29" i="56" s="1"/>
  <c r="BW29" i="56"/>
  <c r="BY29" i="56" s="1"/>
  <c r="BI29" i="56" s="1"/>
  <c r="BT31" i="53"/>
  <c r="BQ31" i="53"/>
  <c r="BS31" i="53" s="1"/>
  <c r="AN31" i="52"/>
  <c r="BD31" i="52" s="1"/>
  <c r="BG31" i="52" s="1"/>
  <c r="BP31" i="51"/>
  <c r="BQ31" i="51" s="1"/>
  <c r="BS31" i="51" s="1"/>
  <c r="BO31" i="51"/>
  <c r="AK32" i="50"/>
  <c r="AM32" i="50" s="1"/>
  <c r="AI32" i="50"/>
  <c r="AQ30" i="61" l="1"/>
  <c r="AS30" i="61" s="1"/>
  <c r="AI30" i="13"/>
  <c r="AK30" i="13"/>
  <c r="AM30" i="13" s="1"/>
  <c r="BX30" i="56"/>
  <c r="U30" i="56"/>
  <c r="V30" i="56" s="1"/>
  <c r="BR32" i="53"/>
  <c r="BC31" i="53"/>
  <c r="O32" i="53" s="1"/>
  <c r="P32" i="53" s="1"/>
  <c r="BU31" i="53"/>
  <c r="AO31" i="52"/>
  <c r="AP31" i="52" s="1"/>
  <c r="BN31" i="52"/>
  <c r="BM31" i="52"/>
  <c r="BF31" i="52"/>
  <c r="BE31" i="52"/>
  <c r="BR32" i="51"/>
  <c r="BC31" i="51"/>
  <c r="O32" i="51" s="1"/>
  <c r="P32" i="51" s="1"/>
  <c r="BT31" i="51"/>
  <c r="BU31" i="51" s="1"/>
  <c r="AN32" i="50"/>
  <c r="BD32" i="50" s="1"/>
  <c r="BG32" i="50" s="1"/>
  <c r="AR31" i="61" l="1"/>
  <c r="AC30" i="61"/>
  <c r="G31" i="61" s="1"/>
  <c r="AE31" i="61" s="1"/>
  <c r="AO32" i="50"/>
  <c r="AP32" i="50" s="1"/>
  <c r="AN30" i="13"/>
  <c r="BD30" i="13" s="1"/>
  <c r="BG30" i="13" s="1"/>
  <c r="AY30" i="56"/>
  <c r="BA30" i="56" s="1"/>
  <c r="BD30" i="56" s="1"/>
  <c r="BH30" i="56" s="1"/>
  <c r="AN30" i="56"/>
  <c r="AS32" i="53"/>
  <c r="AU32" i="53" s="1"/>
  <c r="AX32" i="53" s="1"/>
  <c r="BB32" i="53" s="1"/>
  <c r="AH32" i="53"/>
  <c r="BP31" i="52"/>
  <c r="BQ31" i="52" s="1"/>
  <c r="BS31" i="52" s="1"/>
  <c r="BO31" i="52"/>
  <c r="AS32" i="51"/>
  <c r="AU32" i="51" s="1"/>
  <c r="AX32" i="51" s="1"/>
  <c r="BB32" i="51" s="1"/>
  <c r="AH32" i="51"/>
  <c r="BN32" i="50"/>
  <c r="BM32" i="50"/>
  <c r="BF32" i="50"/>
  <c r="BE32" i="50"/>
  <c r="AF31" i="61" l="1"/>
  <c r="BE30" i="13"/>
  <c r="BF30" i="13"/>
  <c r="BM30" i="13"/>
  <c r="BN30" i="13"/>
  <c r="AO30" i="13"/>
  <c r="AP30" i="13" s="1"/>
  <c r="AQ30" i="56"/>
  <c r="AS30" i="56" s="1"/>
  <c r="AO30" i="56"/>
  <c r="AK32" i="53"/>
  <c r="AM32" i="53" s="1"/>
  <c r="AI32" i="53"/>
  <c r="BR32" i="52"/>
  <c r="BC31" i="52"/>
  <c r="O32" i="52" s="1"/>
  <c r="P32" i="52" s="1"/>
  <c r="BT31" i="52"/>
  <c r="BU31" i="52" s="1"/>
  <c r="AK32" i="51"/>
  <c r="AM32" i="51" s="1"/>
  <c r="AI32" i="51"/>
  <c r="BP32" i="50"/>
  <c r="BQ32" i="50" s="1"/>
  <c r="BS32" i="50" s="1"/>
  <c r="BO32" i="50"/>
  <c r="BP30" i="13" l="1"/>
  <c r="BQ30" i="13" s="1"/>
  <c r="BS30" i="13" s="1"/>
  <c r="BO30" i="13"/>
  <c r="AT30" i="56"/>
  <c r="BJ30" i="56" s="1"/>
  <c r="BM30" i="56" s="1"/>
  <c r="AN32" i="53"/>
  <c r="BD32" i="53" s="1"/>
  <c r="BG32" i="53" s="1"/>
  <c r="AH32" i="52"/>
  <c r="AS32" i="52"/>
  <c r="AU32" i="52" s="1"/>
  <c r="AX32" i="52" s="1"/>
  <c r="BB32" i="52" s="1"/>
  <c r="AN32" i="51"/>
  <c r="BD32" i="51" s="1"/>
  <c r="BG32" i="51" s="1"/>
  <c r="BR33" i="50"/>
  <c r="BC32" i="50"/>
  <c r="O33" i="50" s="1"/>
  <c r="P33" i="50" s="1"/>
  <c r="BT32" i="50"/>
  <c r="BU32" i="50" s="1"/>
  <c r="AN31" i="61" l="1"/>
  <c r="AM31" i="61"/>
  <c r="AO32" i="51"/>
  <c r="AP32" i="51" s="1"/>
  <c r="AO32" i="53"/>
  <c r="AP32" i="53" s="1"/>
  <c r="BR31" i="13"/>
  <c r="BC30" i="13"/>
  <c r="O31" i="13" s="1"/>
  <c r="P31" i="13" s="1"/>
  <c r="BT30" i="13"/>
  <c r="BU30" i="13" s="1"/>
  <c r="AU30" i="56"/>
  <c r="AV30" i="56" s="1"/>
  <c r="BT30" i="56"/>
  <c r="BS30" i="56"/>
  <c r="BL30" i="56"/>
  <c r="BK30" i="56"/>
  <c r="BN32" i="53"/>
  <c r="BF32" i="53"/>
  <c r="BE32" i="53"/>
  <c r="BM32" i="53"/>
  <c r="AK32" i="52"/>
  <c r="AM32" i="52" s="1"/>
  <c r="AI32" i="52"/>
  <c r="BN32" i="51"/>
  <c r="BM32" i="51"/>
  <c r="BF32" i="51"/>
  <c r="BE32" i="51"/>
  <c r="AH33" i="50"/>
  <c r="AS33" i="50"/>
  <c r="AU33" i="50" s="1"/>
  <c r="AX33" i="50" s="1"/>
  <c r="BB33" i="50" s="1"/>
  <c r="AO31" i="61" l="1"/>
  <c r="AP31" i="61"/>
  <c r="AT31" i="61" s="1"/>
  <c r="AU31" i="61" s="1"/>
  <c r="AH31" i="13"/>
  <c r="AS31" i="13"/>
  <c r="AU31" i="13" s="1"/>
  <c r="AX31" i="13" s="1"/>
  <c r="BB31" i="13" s="1"/>
  <c r="BV30" i="56"/>
  <c r="BU30" i="56"/>
  <c r="BP32" i="53"/>
  <c r="BO32" i="53"/>
  <c r="AN32" i="52"/>
  <c r="BD32" i="52" s="1"/>
  <c r="BG32" i="52" s="1"/>
  <c r="BP32" i="51"/>
  <c r="BQ32" i="51" s="1"/>
  <c r="BS32" i="51" s="1"/>
  <c r="BO32" i="51"/>
  <c r="AK33" i="50"/>
  <c r="AM33" i="50" s="1"/>
  <c r="AI33" i="50"/>
  <c r="AQ31" i="61" l="1"/>
  <c r="AS31" i="61" s="1"/>
  <c r="AO32" i="52"/>
  <c r="AP32" i="52" s="1"/>
  <c r="AI31" i="13"/>
  <c r="AK31" i="13"/>
  <c r="AM31" i="13" s="1"/>
  <c r="BZ30" i="56"/>
  <c r="CA30" i="56" s="1"/>
  <c r="BW30" i="56"/>
  <c r="BY30" i="56" s="1"/>
  <c r="BI30" i="56" s="1"/>
  <c r="BT32" i="53"/>
  <c r="BQ32" i="53"/>
  <c r="BS32" i="53" s="1"/>
  <c r="BN32" i="52"/>
  <c r="BM32" i="52"/>
  <c r="BF32" i="52"/>
  <c r="BE32" i="52"/>
  <c r="BR33" i="51"/>
  <c r="BC32" i="51"/>
  <c r="O33" i="51" s="1"/>
  <c r="P33" i="51" s="1"/>
  <c r="BT32" i="51"/>
  <c r="BU32" i="51" s="1"/>
  <c r="AN33" i="50"/>
  <c r="BD33" i="50" s="1"/>
  <c r="BG33" i="50" s="1"/>
  <c r="AR32" i="61" l="1"/>
  <c r="AC31" i="61"/>
  <c r="G32" i="61" s="1"/>
  <c r="AE32" i="61" s="1"/>
  <c r="AN31" i="13"/>
  <c r="BD31" i="13" s="1"/>
  <c r="BG31" i="13" s="1"/>
  <c r="BX31" i="56"/>
  <c r="U31" i="56"/>
  <c r="V31" i="56" s="1"/>
  <c r="BR33" i="53"/>
  <c r="BC32" i="53"/>
  <c r="O33" i="53" s="1"/>
  <c r="P33" i="53" s="1"/>
  <c r="BU32" i="53"/>
  <c r="BP32" i="52"/>
  <c r="BO32" i="52"/>
  <c r="AH33" i="51"/>
  <c r="AS33" i="51"/>
  <c r="AU33" i="51" s="1"/>
  <c r="AX33" i="51" s="1"/>
  <c r="BB33" i="51" s="1"/>
  <c r="AO33" i="50"/>
  <c r="AP33" i="50" s="1"/>
  <c r="BN33" i="50"/>
  <c r="BM33" i="50"/>
  <c r="BF33" i="50"/>
  <c r="BE33" i="50"/>
  <c r="AF32" i="61" l="1"/>
  <c r="BE31" i="13"/>
  <c r="BN31" i="13"/>
  <c r="BF31" i="13"/>
  <c r="BM31" i="13"/>
  <c r="AO31" i="13"/>
  <c r="AP31" i="13" s="1"/>
  <c r="AY31" i="56"/>
  <c r="BA31" i="56" s="1"/>
  <c r="BD31" i="56" s="1"/>
  <c r="BH31" i="56" s="1"/>
  <c r="AN31" i="56"/>
  <c r="AH33" i="53"/>
  <c r="AS33" i="53"/>
  <c r="AU33" i="53" s="1"/>
  <c r="AX33" i="53" s="1"/>
  <c r="BB33" i="53" s="1"/>
  <c r="BT32" i="52"/>
  <c r="BU32" i="52" s="1"/>
  <c r="BQ32" i="52"/>
  <c r="BS32" i="52" s="1"/>
  <c r="AK33" i="51"/>
  <c r="AM33" i="51" s="1"/>
  <c r="AI33" i="51"/>
  <c r="BP33" i="50"/>
  <c r="BQ33" i="50" s="1"/>
  <c r="BS33" i="50" s="1"/>
  <c r="BO33" i="50"/>
  <c r="BP31" i="13" l="1"/>
  <c r="BQ31" i="13" s="1"/>
  <c r="BS31" i="13" s="1"/>
  <c r="BO31" i="13"/>
  <c r="AQ31" i="56"/>
  <c r="AS31" i="56" s="1"/>
  <c r="AO31" i="56"/>
  <c r="AK33" i="53"/>
  <c r="AM33" i="53" s="1"/>
  <c r="AI33" i="53"/>
  <c r="BR33" i="52"/>
  <c r="BC32" i="52"/>
  <c r="O33" i="52" s="1"/>
  <c r="P33" i="52" s="1"/>
  <c r="AN33" i="51"/>
  <c r="BD33" i="51" s="1"/>
  <c r="BG33" i="51" s="1"/>
  <c r="BR34" i="50"/>
  <c r="BC33" i="50"/>
  <c r="O34" i="50" s="1"/>
  <c r="P34" i="50" s="1"/>
  <c r="BT33" i="50"/>
  <c r="BU33" i="50" s="1"/>
  <c r="AN32" i="61" l="1"/>
  <c r="AM32" i="61"/>
  <c r="BR32" i="13"/>
  <c r="BC31" i="13"/>
  <c r="O32" i="13" s="1"/>
  <c r="P32" i="13" s="1"/>
  <c r="AO33" i="51"/>
  <c r="AP33" i="51" s="1"/>
  <c r="BT31" i="13"/>
  <c r="BU31" i="13" s="1"/>
  <c r="AT31" i="56"/>
  <c r="BJ31" i="56" s="1"/>
  <c r="BM31" i="56" s="1"/>
  <c r="AN33" i="53"/>
  <c r="BD33" i="53" s="1"/>
  <c r="BG33" i="53" s="1"/>
  <c r="AH33" i="52"/>
  <c r="AS33" i="52"/>
  <c r="AU33" i="52" s="1"/>
  <c r="AX33" i="52" s="1"/>
  <c r="BB33" i="52" s="1"/>
  <c r="BN33" i="51"/>
  <c r="BM33" i="51"/>
  <c r="BF33" i="51"/>
  <c r="BE33" i="51"/>
  <c r="AS34" i="50"/>
  <c r="AU34" i="50" s="1"/>
  <c r="AX34" i="50" s="1"/>
  <c r="BB34" i="50" s="1"/>
  <c r="AH34" i="50"/>
  <c r="AO32" i="61" l="1"/>
  <c r="AP32" i="61"/>
  <c r="AT32" i="61" s="1"/>
  <c r="AU32" i="61" s="1"/>
  <c r="AS32" i="13"/>
  <c r="AU32" i="13" s="1"/>
  <c r="AX32" i="13" s="1"/>
  <c r="BB32" i="13" s="1"/>
  <c r="AH32" i="13"/>
  <c r="AU31" i="56"/>
  <c r="AV31" i="56" s="1"/>
  <c r="BT31" i="56"/>
  <c r="BL31" i="56"/>
  <c r="BK31" i="56"/>
  <c r="BS31" i="56"/>
  <c r="BN33" i="53"/>
  <c r="BF33" i="53"/>
  <c r="BE33" i="53"/>
  <c r="BM33" i="53"/>
  <c r="AO33" i="53"/>
  <c r="AP33" i="53" s="1"/>
  <c r="AK33" i="52"/>
  <c r="AM33" i="52" s="1"/>
  <c r="AI33" i="52"/>
  <c r="BP33" i="51"/>
  <c r="BO33" i="51"/>
  <c r="AK34" i="50"/>
  <c r="AM34" i="50" s="1"/>
  <c r="AI34" i="50"/>
  <c r="AQ32" i="61" l="1"/>
  <c r="AS32" i="61" s="1"/>
  <c r="AK32" i="13"/>
  <c r="AM32" i="13" s="1"/>
  <c r="AI32" i="13"/>
  <c r="BV31" i="56"/>
  <c r="BU31" i="56"/>
  <c r="BP33" i="53"/>
  <c r="BO33" i="53"/>
  <c r="AN33" i="52"/>
  <c r="BD33" i="52" s="1"/>
  <c r="BG33" i="52" s="1"/>
  <c r="BT33" i="51"/>
  <c r="BU33" i="51" s="1"/>
  <c r="BQ33" i="51"/>
  <c r="BS33" i="51" s="1"/>
  <c r="AN34" i="50"/>
  <c r="BD34" i="50" s="1"/>
  <c r="BG34" i="50" s="1"/>
  <c r="AR33" i="61" l="1"/>
  <c r="AC32" i="61"/>
  <c r="G33" i="61" s="1"/>
  <c r="AF33" i="61" s="1"/>
  <c r="AO33" i="52"/>
  <c r="AP33" i="52" s="1"/>
  <c r="AN32" i="13"/>
  <c r="BD32" i="13" s="1"/>
  <c r="BG32" i="13" s="1"/>
  <c r="BZ31" i="56"/>
  <c r="CA31" i="56" s="1"/>
  <c r="BW31" i="56"/>
  <c r="BY31" i="56" s="1"/>
  <c r="BI31" i="56" s="1"/>
  <c r="BT33" i="53"/>
  <c r="BQ33" i="53"/>
  <c r="BS33" i="53" s="1"/>
  <c r="BN33" i="52"/>
  <c r="BM33" i="52"/>
  <c r="BF33" i="52"/>
  <c r="BE33" i="52"/>
  <c r="BR34" i="51"/>
  <c r="BC33" i="51"/>
  <c r="O34" i="51" s="1"/>
  <c r="P34" i="51" s="1"/>
  <c r="AO34" i="50"/>
  <c r="AP34" i="50" s="1"/>
  <c r="BN34" i="50"/>
  <c r="BM34" i="50"/>
  <c r="BF34" i="50"/>
  <c r="BE34" i="50"/>
  <c r="AE33" i="61" l="1"/>
  <c r="AO32" i="13"/>
  <c r="AP32" i="13" s="1"/>
  <c r="BE32" i="13"/>
  <c r="BN32" i="13"/>
  <c r="BF32" i="13"/>
  <c r="BM32" i="13"/>
  <c r="BX32" i="56"/>
  <c r="U32" i="56"/>
  <c r="V32" i="56" s="1"/>
  <c r="BR34" i="53"/>
  <c r="BC33" i="53"/>
  <c r="O34" i="53" s="1"/>
  <c r="P34" i="53" s="1"/>
  <c r="BU33" i="53"/>
  <c r="BP33" i="52"/>
  <c r="BQ33" i="52" s="1"/>
  <c r="BS33" i="52" s="1"/>
  <c r="BO33" i="52"/>
  <c r="AH34" i="51"/>
  <c r="AS34" i="51"/>
  <c r="AU34" i="51" s="1"/>
  <c r="AX34" i="51" s="1"/>
  <c r="BB34" i="51" s="1"/>
  <c r="BP34" i="50"/>
  <c r="BQ34" i="50" s="1"/>
  <c r="BS34" i="50" s="1"/>
  <c r="BO34" i="50"/>
  <c r="BP32" i="13" l="1"/>
  <c r="BO32" i="13"/>
  <c r="AY32" i="56"/>
  <c r="BA32" i="56" s="1"/>
  <c r="BD32" i="56" s="1"/>
  <c r="BH32" i="56" s="1"/>
  <c r="AN32" i="56"/>
  <c r="AH34" i="53"/>
  <c r="AS34" i="53"/>
  <c r="AU34" i="53" s="1"/>
  <c r="AX34" i="53" s="1"/>
  <c r="BB34" i="53" s="1"/>
  <c r="BR34" i="52"/>
  <c r="BC33" i="52"/>
  <c r="O34" i="52" s="1"/>
  <c r="P34" i="52" s="1"/>
  <c r="BT33" i="52"/>
  <c r="BU33" i="52" s="1"/>
  <c r="AK34" i="51"/>
  <c r="AM34" i="51" s="1"/>
  <c r="AI34" i="51"/>
  <c r="BR35" i="50"/>
  <c r="BC34" i="50"/>
  <c r="O35" i="50" s="1"/>
  <c r="P35" i="50" s="1"/>
  <c r="BT34" i="50"/>
  <c r="BU34" i="50" s="1"/>
  <c r="AN33" i="61" l="1"/>
  <c r="AM33" i="61"/>
  <c r="BT32" i="13"/>
  <c r="BU32" i="13" s="1"/>
  <c r="BQ32" i="13"/>
  <c r="BS32" i="13" s="1"/>
  <c r="AQ32" i="56"/>
  <c r="AS32" i="56" s="1"/>
  <c r="AO32" i="56"/>
  <c r="AK34" i="53"/>
  <c r="AM34" i="53" s="1"/>
  <c r="AI34" i="53"/>
  <c r="AS34" i="52"/>
  <c r="AU34" i="52" s="1"/>
  <c r="AX34" i="52" s="1"/>
  <c r="BB34" i="52" s="1"/>
  <c r="AH34" i="52"/>
  <c r="AN34" i="51"/>
  <c r="BD34" i="51" s="1"/>
  <c r="BG34" i="51" s="1"/>
  <c r="AS35" i="50"/>
  <c r="AU35" i="50" s="1"/>
  <c r="AX35" i="50" s="1"/>
  <c r="BB35" i="50" s="1"/>
  <c r="AH35" i="50"/>
  <c r="AO33" i="61" l="1"/>
  <c r="AP33" i="61"/>
  <c r="AT33" i="61" s="1"/>
  <c r="AU33" i="61" s="1"/>
  <c r="BR33" i="13"/>
  <c r="BC32" i="13"/>
  <c r="O33" i="13" s="1"/>
  <c r="P33" i="13" s="1"/>
  <c r="AT32" i="56"/>
  <c r="BJ32" i="56" s="1"/>
  <c r="BM32" i="56" s="1"/>
  <c r="AN34" i="53"/>
  <c r="BD34" i="53" s="1"/>
  <c r="BG34" i="53" s="1"/>
  <c r="AK34" i="52"/>
  <c r="AM34" i="52" s="1"/>
  <c r="AI34" i="52"/>
  <c r="AO34" i="51"/>
  <c r="AP34" i="51" s="1"/>
  <c r="BN34" i="51"/>
  <c r="BE34" i="51"/>
  <c r="BM34" i="51"/>
  <c r="BF34" i="51"/>
  <c r="AK35" i="50"/>
  <c r="AM35" i="50" s="1"/>
  <c r="AI35" i="50"/>
  <c r="AQ33" i="61" l="1"/>
  <c r="AS33" i="61" s="1"/>
  <c r="AH33" i="13"/>
  <c r="AS33" i="13"/>
  <c r="AU33" i="13" s="1"/>
  <c r="AX33" i="13" s="1"/>
  <c r="BB33" i="13" s="1"/>
  <c r="AU32" i="56"/>
  <c r="AV32" i="56" s="1"/>
  <c r="BT32" i="56"/>
  <c r="BK32" i="56"/>
  <c r="BS32" i="56"/>
  <c r="BL32" i="56"/>
  <c r="BM34" i="53"/>
  <c r="BN34" i="53"/>
  <c r="BF34" i="53"/>
  <c r="BE34" i="53"/>
  <c r="AO34" i="53"/>
  <c r="AP34" i="53" s="1"/>
  <c r="AN34" i="52"/>
  <c r="BD34" i="52" s="1"/>
  <c r="BG34" i="52" s="1"/>
  <c r="BP34" i="51"/>
  <c r="BQ34" i="51" s="1"/>
  <c r="BS34" i="51" s="1"/>
  <c r="BO34" i="51"/>
  <c r="AN35" i="50"/>
  <c r="BD35" i="50" s="1"/>
  <c r="BG35" i="50" s="1"/>
  <c r="AR34" i="61" l="1"/>
  <c r="AC33" i="61"/>
  <c r="G34" i="61" s="1"/>
  <c r="AO35" i="50"/>
  <c r="AP35" i="50" s="1"/>
  <c r="AK33" i="13"/>
  <c r="AM33" i="13" s="1"/>
  <c r="AI33" i="13"/>
  <c r="BV32" i="56"/>
  <c r="BU32" i="56"/>
  <c r="BP34" i="53"/>
  <c r="BQ34" i="53" s="1"/>
  <c r="BS34" i="53" s="1"/>
  <c r="BO34" i="53"/>
  <c r="AO34" i="52"/>
  <c r="AP34" i="52" s="1"/>
  <c r="BN34" i="52"/>
  <c r="BM34" i="52"/>
  <c r="BF34" i="52"/>
  <c r="BE34" i="52"/>
  <c r="BR35" i="51"/>
  <c r="BC34" i="51"/>
  <c r="O35" i="51" s="1"/>
  <c r="P35" i="51" s="1"/>
  <c r="BT34" i="51"/>
  <c r="BU34" i="51" s="1"/>
  <c r="BN35" i="50"/>
  <c r="BM35" i="50"/>
  <c r="BF35" i="50"/>
  <c r="BE35" i="50"/>
  <c r="AF34" i="61" l="1"/>
  <c r="AE34" i="61"/>
  <c r="AN33" i="13"/>
  <c r="BD33" i="13" s="1"/>
  <c r="BG33" i="13" s="1"/>
  <c r="BZ32" i="56"/>
  <c r="CA32" i="56" s="1"/>
  <c r="BW32" i="56"/>
  <c r="BY32" i="56" s="1"/>
  <c r="BI32" i="56" s="1"/>
  <c r="BR35" i="53"/>
  <c r="BC34" i="53"/>
  <c r="O35" i="53" s="1"/>
  <c r="P35" i="53" s="1"/>
  <c r="BT34" i="53"/>
  <c r="BP34" i="52"/>
  <c r="BQ34" i="52" s="1"/>
  <c r="BS34" i="52" s="1"/>
  <c r="BO34" i="52"/>
  <c r="AS35" i="51"/>
  <c r="AU35" i="51" s="1"/>
  <c r="AX35" i="51" s="1"/>
  <c r="BB35" i="51" s="1"/>
  <c r="AH35" i="51"/>
  <c r="BP35" i="50"/>
  <c r="BQ35" i="50" s="1"/>
  <c r="BS35" i="50" s="1"/>
  <c r="BO35" i="50"/>
  <c r="AO33" i="13" l="1"/>
  <c r="AP33" i="13" s="1"/>
  <c r="BN33" i="13"/>
  <c r="BE33" i="13"/>
  <c r="BF33" i="13"/>
  <c r="BM33" i="13"/>
  <c r="BX33" i="56"/>
  <c r="U33" i="56"/>
  <c r="V33" i="56" s="1"/>
  <c r="BU34" i="53"/>
  <c r="AS35" i="53"/>
  <c r="AU35" i="53" s="1"/>
  <c r="AX35" i="53" s="1"/>
  <c r="BB35" i="53" s="1"/>
  <c r="AH35" i="53"/>
  <c r="BR35" i="52"/>
  <c r="BC34" i="52"/>
  <c r="O35" i="52" s="1"/>
  <c r="P35" i="52" s="1"/>
  <c r="BT34" i="52"/>
  <c r="BU34" i="52" s="1"/>
  <c r="AK35" i="51"/>
  <c r="AM35" i="51" s="1"/>
  <c r="AI35" i="51"/>
  <c r="BR36" i="50"/>
  <c r="BC35" i="50"/>
  <c r="O36" i="50" s="1"/>
  <c r="P36" i="50" s="1"/>
  <c r="BT35" i="50"/>
  <c r="BU35" i="50" s="1"/>
  <c r="BO33" i="13" l="1"/>
  <c r="BP33" i="13"/>
  <c r="BQ33" i="13" s="1"/>
  <c r="BS33" i="13" s="1"/>
  <c r="AY33" i="56"/>
  <c r="BA33" i="56" s="1"/>
  <c r="BD33" i="56" s="1"/>
  <c r="BH33" i="56" s="1"/>
  <c r="AN33" i="56"/>
  <c r="AK35" i="53"/>
  <c r="AM35" i="53" s="1"/>
  <c r="AI35" i="53"/>
  <c r="AH35" i="52"/>
  <c r="AS35" i="52"/>
  <c r="AU35" i="52" s="1"/>
  <c r="AX35" i="52" s="1"/>
  <c r="BB35" i="52" s="1"/>
  <c r="AN35" i="51"/>
  <c r="BD35" i="51" s="1"/>
  <c r="BG35" i="51" s="1"/>
  <c r="AH36" i="50"/>
  <c r="AS36" i="50"/>
  <c r="AU36" i="50" s="1"/>
  <c r="AX36" i="50" s="1"/>
  <c r="BB36" i="50" s="1"/>
  <c r="AM34" i="61" l="1"/>
  <c r="AN34" i="61"/>
  <c r="BR34" i="13"/>
  <c r="BC33" i="13"/>
  <c r="O34" i="13" s="1"/>
  <c r="P34" i="13" s="1"/>
  <c r="BT33" i="13"/>
  <c r="BU33" i="13" s="1"/>
  <c r="AQ33" i="56"/>
  <c r="AS33" i="56" s="1"/>
  <c r="AO33" i="56"/>
  <c r="AN35" i="53"/>
  <c r="BD35" i="53" s="1"/>
  <c r="BG35" i="53" s="1"/>
  <c r="AK35" i="52"/>
  <c r="AM35" i="52" s="1"/>
  <c r="AI35" i="52"/>
  <c r="BN35" i="51"/>
  <c r="BE35" i="51"/>
  <c r="BF35" i="51"/>
  <c r="BM35" i="51"/>
  <c r="AO35" i="51"/>
  <c r="AP35" i="51" s="1"/>
  <c r="AK36" i="50"/>
  <c r="AM36" i="50" s="1"/>
  <c r="AI36" i="50"/>
  <c r="AO34" i="61" l="1"/>
  <c r="AP34" i="61"/>
  <c r="AT34" i="61" s="1"/>
  <c r="AU34" i="61" s="1"/>
  <c r="AS34" i="13"/>
  <c r="AU34" i="13" s="1"/>
  <c r="AX34" i="13" s="1"/>
  <c r="BB34" i="13" s="1"/>
  <c r="AH34" i="13"/>
  <c r="AT33" i="56"/>
  <c r="BJ33" i="56" s="1"/>
  <c r="BM33" i="56" s="1"/>
  <c r="BN35" i="53"/>
  <c r="BM35" i="53"/>
  <c r="BF35" i="53"/>
  <c r="BE35" i="53"/>
  <c r="AO35" i="53"/>
  <c r="AP35" i="53" s="1"/>
  <c r="AN35" i="52"/>
  <c r="BD35" i="52" s="1"/>
  <c r="BG35" i="52" s="1"/>
  <c r="BO35" i="51"/>
  <c r="BP35" i="51"/>
  <c r="AN36" i="50"/>
  <c r="BD36" i="50" s="1"/>
  <c r="BG36" i="50" s="1"/>
  <c r="AQ34" i="61" l="1"/>
  <c r="AS34" i="61" s="1"/>
  <c r="AO36" i="50"/>
  <c r="AP36" i="50" s="1"/>
  <c r="AI34" i="13"/>
  <c r="AK34" i="13"/>
  <c r="AM34" i="13" s="1"/>
  <c r="AU33" i="56"/>
  <c r="AV33" i="56" s="1"/>
  <c r="BT33" i="56"/>
  <c r="BS33" i="56"/>
  <c r="BL33" i="56"/>
  <c r="BK33" i="56"/>
  <c r="BO35" i="53"/>
  <c r="BP35" i="53"/>
  <c r="BQ35" i="53" s="1"/>
  <c r="BS35" i="53" s="1"/>
  <c r="AO35" i="52"/>
  <c r="AP35" i="52" s="1"/>
  <c r="BN35" i="52"/>
  <c r="BM35" i="52"/>
  <c r="BF35" i="52"/>
  <c r="BE35" i="52"/>
  <c r="BT35" i="51"/>
  <c r="BU35" i="51" s="1"/>
  <c r="BQ35" i="51"/>
  <c r="BS35" i="51" s="1"/>
  <c r="BN36" i="50"/>
  <c r="BM36" i="50"/>
  <c r="BF36" i="50"/>
  <c r="BE36" i="50"/>
  <c r="AR35" i="61" l="1"/>
  <c r="AC34" i="61"/>
  <c r="G35" i="61" s="1"/>
  <c r="AN34" i="13"/>
  <c r="BD34" i="13" s="1"/>
  <c r="BG34" i="13" s="1"/>
  <c r="BV33" i="56"/>
  <c r="BU33" i="56"/>
  <c r="BR36" i="53"/>
  <c r="BC35" i="53"/>
  <c r="O36" i="53" s="1"/>
  <c r="P36" i="53" s="1"/>
  <c r="BT35" i="53"/>
  <c r="BP35" i="52"/>
  <c r="BQ35" i="52" s="1"/>
  <c r="BS35" i="52" s="1"/>
  <c r="BO35" i="52"/>
  <c r="BR36" i="51"/>
  <c r="BC35" i="51"/>
  <c r="O36" i="51" s="1"/>
  <c r="P36" i="51" s="1"/>
  <c r="BP36" i="50"/>
  <c r="BQ36" i="50" s="1"/>
  <c r="BS36" i="50" s="1"/>
  <c r="BO36" i="50"/>
  <c r="AE35" i="61" l="1"/>
  <c r="AF35" i="61"/>
  <c r="AO34" i="13"/>
  <c r="AP34" i="13" s="1"/>
  <c r="BF34" i="13"/>
  <c r="BM34" i="13"/>
  <c r="BN34" i="13"/>
  <c r="BE34" i="13"/>
  <c r="BZ33" i="56"/>
  <c r="CA33" i="56" s="1"/>
  <c r="BW33" i="56"/>
  <c r="BY33" i="56" s="1"/>
  <c r="BI33" i="56" s="1"/>
  <c r="BU35" i="53"/>
  <c r="AH36" i="53"/>
  <c r="AS36" i="53"/>
  <c r="AU36" i="53" s="1"/>
  <c r="AX36" i="53" s="1"/>
  <c r="BB36" i="53" s="1"/>
  <c r="BR36" i="52"/>
  <c r="BC35" i="52"/>
  <c r="O36" i="52" s="1"/>
  <c r="P36" i="52" s="1"/>
  <c r="BT35" i="52"/>
  <c r="BU35" i="52" s="1"/>
  <c r="AS36" i="51"/>
  <c r="AU36" i="51" s="1"/>
  <c r="AX36" i="51" s="1"/>
  <c r="BB36" i="51" s="1"/>
  <c r="AH36" i="51"/>
  <c r="BR37" i="50"/>
  <c r="BC36" i="50"/>
  <c r="O37" i="50" s="1"/>
  <c r="P37" i="50" s="1"/>
  <c r="BT36" i="50"/>
  <c r="BU36" i="50" s="1"/>
  <c r="BO34" i="13" l="1"/>
  <c r="BP34" i="13"/>
  <c r="BQ34" i="13" s="1"/>
  <c r="BS34" i="13" s="1"/>
  <c r="BX34" i="56"/>
  <c r="U34" i="56"/>
  <c r="V34" i="56" s="1"/>
  <c r="AK36" i="53"/>
  <c r="AM36" i="53" s="1"/>
  <c r="AI36" i="53"/>
  <c r="AH36" i="52"/>
  <c r="AS36" i="52"/>
  <c r="AU36" i="52" s="1"/>
  <c r="AX36" i="52" s="1"/>
  <c r="BB36" i="52" s="1"/>
  <c r="AK36" i="51"/>
  <c r="AM36" i="51" s="1"/>
  <c r="AI36" i="51"/>
  <c r="AH37" i="50"/>
  <c r="AS37" i="50"/>
  <c r="AU37" i="50" s="1"/>
  <c r="AX37" i="50" s="1"/>
  <c r="BB37" i="50" s="1"/>
  <c r="BR35" i="13" l="1"/>
  <c r="BC34" i="13"/>
  <c r="O35" i="13" s="1"/>
  <c r="P35" i="13" s="1"/>
  <c r="BT34" i="13"/>
  <c r="BU34" i="13" s="1"/>
  <c r="AN34" i="56"/>
  <c r="AY34" i="56"/>
  <c r="BA34" i="56" s="1"/>
  <c r="BD34" i="56" s="1"/>
  <c r="BH34" i="56" s="1"/>
  <c r="AN36" i="53"/>
  <c r="BD36" i="53" s="1"/>
  <c r="BG36" i="53" s="1"/>
  <c r="AK36" i="52"/>
  <c r="AM36" i="52" s="1"/>
  <c r="AI36" i="52"/>
  <c r="AN36" i="51"/>
  <c r="BD36" i="51" s="1"/>
  <c r="BG36" i="51" s="1"/>
  <c r="AK37" i="50"/>
  <c r="AM37" i="50" s="1"/>
  <c r="AI37" i="50"/>
  <c r="AM35" i="61" l="1"/>
  <c r="AN35" i="61"/>
  <c r="AO36" i="51"/>
  <c r="AP36" i="51" s="1"/>
  <c r="AH35" i="13"/>
  <c r="AS35" i="13"/>
  <c r="AU35" i="13" s="1"/>
  <c r="AX35" i="13" s="1"/>
  <c r="BB35" i="13" s="1"/>
  <c r="AQ34" i="56"/>
  <c r="AS34" i="56" s="1"/>
  <c r="AO34" i="56"/>
  <c r="BN36" i="53"/>
  <c r="BF36" i="53"/>
  <c r="BE36" i="53"/>
  <c r="BM36" i="53"/>
  <c r="AO36" i="53"/>
  <c r="AP36" i="53" s="1"/>
  <c r="AN36" i="52"/>
  <c r="BD36" i="52" s="1"/>
  <c r="BG36" i="52" s="1"/>
  <c r="BM36" i="51"/>
  <c r="BN36" i="51"/>
  <c r="BE36" i="51"/>
  <c r="BF36" i="51"/>
  <c r="AN37" i="50"/>
  <c r="BD37" i="50" s="1"/>
  <c r="BG37" i="50" s="1"/>
  <c r="AO35" i="61" l="1"/>
  <c r="AP35" i="61"/>
  <c r="AT35" i="61" s="1"/>
  <c r="AU35" i="61" s="1"/>
  <c r="AK35" i="13"/>
  <c r="AM35" i="13" s="1"/>
  <c r="AI35" i="13"/>
  <c r="AT34" i="56"/>
  <c r="BJ34" i="56" s="1"/>
  <c r="BM34" i="56" s="1"/>
  <c r="BP36" i="53"/>
  <c r="BQ36" i="53" s="1"/>
  <c r="BS36" i="53" s="1"/>
  <c r="BO36" i="53"/>
  <c r="BN36" i="52"/>
  <c r="BM36" i="52"/>
  <c r="BF36" i="52"/>
  <c r="BE36" i="52"/>
  <c r="AO36" i="52"/>
  <c r="AP36" i="52" s="1"/>
  <c r="BO36" i="51"/>
  <c r="BP36" i="51"/>
  <c r="AO37" i="50"/>
  <c r="AP37" i="50" s="1"/>
  <c r="BN37" i="50"/>
  <c r="BF37" i="50"/>
  <c r="BE37" i="50"/>
  <c r="BM37" i="50"/>
  <c r="AQ35" i="61" l="1"/>
  <c r="AS35" i="61" s="1"/>
  <c r="AN35" i="13"/>
  <c r="BD35" i="13" s="1"/>
  <c r="BG35" i="13" s="1"/>
  <c r="AU34" i="56"/>
  <c r="AV34" i="56" s="1"/>
  <c r="BS34" i="56"/>
  <c r="BT34" i="56"/>
  <c r="BL34" i="56"/>
  <c r="BK34" i="56"/>
  <c r="BR37" i="53"/>
  <c r="BC36" i="53"/>
  <c r="O37" i="53" s="1"/>
  <c r="P37" i="53" s="1"/>
  <c r="BT36" i="53"/>
  <c r="BO36" i="52"/>
  <c r="BP36" i="52"/>
  <c r="BT36" i="51"/>
  <c r="BU36" i="51" s="1"/>
  <c r="BQ36" i="51"/>
  <c r="BS36" i="51" s="1"/>
  <c r="BP37" i="50"/>
  <c r="BQ37" i="50" s="1"/>
  <c r="BS37" i="50" s="1"/>
  <c r="BO37" i="50"/>
  <c r="AR36" i="61" l="1"/>
  <c r="AC35" i="61"/>
  <c r="G36" i="61" s="1"/>
  <c r="BF35" i="13"/>
  <c r="BM35" i="13"/>
  <c r="BE35" i="13"/>
  <c r="BN35" i="13"/>
  <c r="AO35" i="13"/>
  <c r="AP35" i="13" s="1"/>
  <c r="BV34" i="56"/>
  <c r="BW34" i="56" s="1"/>
  <c r="BY34" i="56" s="1"/>
  <c r="BI34" i="56" s="1"/>
  <c r="BU34" i="56"/>
  <c r="AH37" i="53"/>
  <c r="AS37" i="53"/>
  <c r="AU37" i="53" s="1"/>
  <c r="AX37" i="53" s="1"/>
  <c r="BB37" i="53" s="1"/>
  <c r="BU36" i="53"/>
  <c r="BT36" i="52"/>
  <c r="BU36" i="52" s="1"/>
  <c r="BQ36" i="52"/>
  <c r="BS36" i="52" s="1"/>
  <c r="BR37" i="51"/>
  <c r="BC36" i="51"/>
  <c r="O37" i="51" s="1"/>
  <c r="P37" i="51" s="1"/>
  <c r="BR38" i="50"/>
  <c r="BC37" i="50"/>
  <c r="O38" i="50" s="1"/>
  <c r="P38" i="50" s="1"/>
  <c r="BT37" i="50"/>
  <c r="BU37" i="50" s="1"/>
  <c r="AE36" i="61" l="1"/>
  <c r="AF36" i="61"/>
  <c r="BP35" i="13"/>
  <c r="BQ35" i="13" s="1"/>
  <c r="BS35" i="13" s="1"/>
  <c r="BO35" i="13"/>
  <c r="BX35" i="56"/>
  <c r="U35" i="56"/>
  <c r="V35" i="56" s="1"/>
  <c r="BZ34" i="56"/>
  <c r="CA34" i="56" s="1"/>
  <c r="AK37" i="53"/>
  <c r="AM37" i="53" s="1"/>
  <c r="AI37" i="53"/>
  <c r="BR37" i="52"/>
  <c r="BC36" i="52"/>
  <c r="O37" i="52" s="1"/>
  <c r="P37" i="52" s="1"/>
  <c r="AH37" i="51"/>
  <c r="AS37" i="51"/>
  <c r="AU37" i="51" s="1"/>
  <c r="AX37" i="51" s="1"/>
  <c r="BB37" i="51" s="1"/>
  <c r="AS38" i="50"/>
  <c r="AU38" i="50" s="1"/>
  <c r="AX38" i="50" s="1"/>
  <c r="BB38" i="50" s="1"/>
  <c r="AH38" i="50"/>
  <c r="BR36" i="13" l="1"/>
  <c r="BC35" i="13"/>
  <c r="O36" i="13" s="1"/>
  <c r="P36" i="13" s="1"/>
  <c r="BT35" i="13"/>
  <c r="BU35" i="13" s="1"/>
  <c r="AN35" i="56"/>
  <c r="AY35" i="56"/>
  <c r="BA35" i="56" s="1"/>
  <c r="BD35" i="56" s="1"/>
  <c r="BH35" i="56" s="1"/>
  <c r="AN37" i="53"/>
  <c r="BD37" i="53" s="1"/>
  <c r="BG37" i="53" s="1"/>
  <c r="AS37" i="52"/>
  <c r="AU37" i="52" s="1"/>
  <c r="AX37" i="52" s="1"/>
  <c r="BB37" i="52" s="1"/>
  <c r="AH37" i="52"/>
  <c r="AK37" i="51"/>
  <c r="AM37" i="51" s="1"/>
  <c r="AI37" i="51"/>
  <c r="AK38" i="50"/>
  <c r="AM38" i="50" s="1"/>
  <c r="AI38" i="50"/>
  <c r="AH36" i="13" l="1"/>
  <c r="AS36" i="13"/>
  <c r="AU36" i="13" s="1"/>
  <c r="AX36" i="13" s="1"/>
  <c r="BB36" i="13" s="1"/>
  <c r="AQ35" i="56"/>
  <c r="AS35" i="56" s="1"/>
  <c r="AO35" i="56"/>
  <c r="BN37" i="53"/>
  <c r="BF37" i="53"/>
  <c r="BM37" i="53"/>
  <c r="BE37" i="53"/>
  <c r="AO37" i="53"/>
  <c r="AP37" i="53" s="1"/>
  <c r="AK37" i="52"/>
  <c r="AM37" i="52" s="1"/>
  <c r="AI37" i="52"/>
  <c r="AN37" i="51"/>
  <c r="BD37" i="51" s="1"/>
  <c r="BG37" i="51" s="1"/>
  <c r="AN38" i="50"/>
  <c r="BD38" i="50" s="1"/>
  <c r="BG38" i="50" s="1"/>
  <c r="AN36" i="61" l="1"/>
  <c r="AM36" i="61"/>
  <c r="AO37" i="51"/>
  <c r="AP37" i="51" s="1"/>
  <c r="AK36" i="13"/>
  <c r="AM36" i="13" s="1"/>
  <c r="AI36" i="13"/>
  <c r="AT35" i="56"/>
  <c r="BJ35" i="56" s="1"/>
  <c r="BM35" i="56" s="1"/>
  <c r="BO37" i="53"/>
  <c r="BP37" i="53"/>
  <c r="AN37" i="52"/>
  <c r="BD37" i="52" s="1"/>
  <c r="BG37" i="52" s="1"/>
  <c r="BM37" i="51"/>
  <c r="BF37" i="51"/>
  <c r="BE37" i="51"/>
  <c r="BN37" i="51"/>
  <c r="AO38" i="50"/>
  <c r="AP38" i="50" s="1"/>
  <c r="BN38" i="50"/>
  <c r="BE38" i="50"/>
  <c r="BM38" i="50"/>
  <c r="BF38" i="50"/>
  <c r="AO36" i="61" l="1"/>
  <c r="AP36" i="61"/>
  <c r="AT36" i="61" s="1"/>
  <c r="AU36" i="61" s="1"/>
  <c r="AO37" i="52"/>
  <c r="AP37" i="52" s="1"/>
  <c r="AN36" i="13"/>
  <c r="BD36" i="13" s="1"/>
  <c r="BG36" i="13" s="1"/>
  <c r="AU35" i="56"/>
  <c r="AV35" i="56" s="1"/>
  <c r="BT35" i="56"/>
  <c r="BS35" i="56"/>
  <c r="BL35" i="56"/>
  <c r="BK35" i="56"/>
  <c r="BT37" i="53"/>
  <c r="BQ37" i="53"/>
  <c r="BS37" i="53" s="1"/>
  <c r="BN37" i="52"/>
  <c r="BM37" i="52"/>
  <c r="BF37" i="52"/>
  <c r="BE37" i="52"/>
  <c r="BO37" i="51"/>
  <c r="BP37" i="51"/>
  <c r="BP38" i="50"/>
  <c r="BQ38" i="50" s="1"/>
  <c r="BS38" i="50" s="1"/>
  <c r="BO38" i="50"/>
  <c r="AQ36" i="61" l="1"/>
  <c r="AS36" i="61" s="1"/>
  <c r="BN36" i="13"/>
  <c r="BF36" i="13"/>
  <c r="BM36" i="13"/>
  <c r="BE36" i="13"/>
  <c r="AO36" i="13"/>
  <c r="AP36" i="13" s="1"/>
  <c r="BV35" i="56"/>
  <c r="BW35" i="56" s="1"/>
  <c r="BY35" i="56" s="1"/>
  <c r="BI35" i="56" s="1"/>
  <c r="BU35" i="56"/>
  <c r="BU37" i="53"/>
  <c r="BR38" i="53"/>
  <c r="BC37" i="53"/>
  <c r="O38" i="53" s="1"/>
  <c r="P38" i="53" s="1"/>
  <c r="BP37" i="52"/>
  <c r="BQ37" i="52" s="1"/>
  <c r="BS37" i="52" s="1"/>
  <c r="BO37" i="52"/>
  <c r="BT37" i="51"/>
  <c r="BU37" i="51" s="1"/>
  <c r="BQ37" i="51"/>
  <c r="BS37" i="51" s="1"/>
  <c r="BR39" i="50"/>
  <c r="BC38" i="50"/>
  <c r="O39" i="50" s="1"/>
  <c r="P39" i="50" s="1"/>
  <c r="BT38" i="50"/>
  <c r="BU38" i="50" s="1"/>
  <c r="AR37" i="61" l="1"/>
  <c r="AC36" i="61"/>
  <c r="G37" i="61" s="1"/>
  <c r="BP36" i="13"/>
  <c r="BQ36" i="13" s="1"/>
  <c r="BS36" i="13" s="1"/>
  <c r="BO36" i="13"/>
  <c r="BX36" i="56"/>
  <c r="U36" i="56"/>
  <c r="V36" i="56" s="1"/>
  <c r="BZ35" i="56"/>
  <c r="CA35" i="56" s="1"/>
  <c r="AS38" i="53"/>
  <c r="AU38" i="53" s="1"/>
  <c r="AX38" i="53" s="1"/>
  <c r="BB38" i="53" s="1"/>
  <c r="AH38" i="53"/>
  <c r="BR38" i="52"/>
  <c r="BC37" i="52"/>
  <c r="O38" i="52" s="1"/>
  <c r="P38" i="52" s="1"/>
  <c r="BT37" i="52"/>
  <c r="BU37" i="52" s="1"/>
  <c r="BR38" i="51"/>
  <c r="BC37" i="51"/>
  <c r="O38" i="51" s="1"/>
  <c r="P38" i="51" s="1"/>
  <c r="AS39" i="50"/>
  <c r="AU39" i="50" s="1"/>
  <c r="AX39" i="50" s="1"/>
  <c r="BB39" i="50" s="1"/>
  <c r="AH39" i="50"/>
  <c r="AE37" i="61" l="1"/>
  <c r="AF37" i="61"/>
  <c r="BR37" i="13"/>
  <c r="BC36" i="13"/>
  <c r="O37" i="13" s="1"/>
  <c r="P37" i="13" s="1"/>
  <c r="BT36" i="13"/>
  <c r="BU36" i="13" s="1"/>
  <c r="AN36" i="56"/>
  <c r="AY36" i="56"/>
  <c r="BA36" i="56" s="1"/>
  <c r="BD36" i="56" s="1"/>
  <c r="BH36" i="56" s="1"/>
  <c r="AK38" i="53"/>
  <c r="AM38" i="53" s="1"/>
  <c r="AI38" i="53"/>
  <c r="AH38" i="52"/>
  <c r="AS38" i="52"/>
  <c r="AU38" i="52" s="1"/>
  <c r="AX38" i="52" s="1"/>
  <c r="BB38" i="52" s="1"/>
  <c r="AH38" i="51"/>
  <c r="AS38" i="51"/>
  <c r="AU38" i="51" s="1"/>
  <c r="AX38" i="51" s="1"/>
  <c r="BB38" i="51" s="1"/>
  <c r="AK39" i="50"/>
  <c r="AM39" i="50" s="1"/>
  <c r="AI39" i="50"/>
  <c r="AS37" i="13" l="1"/>
  <c r="AU37" i="13" s="1"/>
  <c r="AX37" i="13" s="1"/>
  <c r="BB37" i="13" s="1"/>
  <c r="AH37" i="13"/>
  <c r="AQ36" i="56"/>
  <c r="AS36" i="56" s="1"/>
  <c r="AO36" i="56"/>
  <c r="AN38" i="53"/>
  <c r="BD38" i="53" s="1"/>
  <c r="BG38" i="53" s="1"/>
  <c r="AK38" i="52"/>
  <c r="AM38" i="52" s="1"/>
  <c r="AI38" i="52"/>
  <c r="AK38" i="51"/>
  <c r="AM38" i="51" s="1"/>
  <c r="AI38" i="51"/>
  <c r="AN39" i="50"/>
  <c r="BD39" i="50" s="1"/>
  <c r="BG39" i="50" s="1"/>
  <c r="AK37" i="13" l="1"/>
  <c r="AM37" i="13" s="1"/>
  <c r="AI37" i="13"/>
  <c r="AO39" i="50"/>
  <c r="AP39" i="50" s="1"/>
  <c r="AT36" i="56"/>
  <c r="BJ36" i="56" s="1"/>
  <c r="BM36" i="56" s="1"/>
  <c r="AO38" i="53"/>
  <c r="AP38" i="53" s="1"/>
  <c r="BN38" i="53"/>
  <c r="BF38" i="53"/>
  <c r="BE38" i="53"/>
  <c r="BM38" i="53"/>
  <c r="AN38" i="52"/>
  <c r="BD38" i="52" s="1"/>
  <c r="BG38" i="52" s="1"/>
  <c r="AN38" i="51"/>
  <c r="BD38" i="51" s="1"/>
  <c r="BG38" i="51" s="1"/>
  <c r="BN39" i="50"/>
  <c r="BM39" i="50"/>
  <c r="BF39" i="50"/>
  <c r="BE39" i="50"/>
  <c r="AN37" i="61" l="1"/>
  <c r="AM37" i="61"/>
  <c r="AN37" i="13"/>
  <c r="BD37" i="13" s="1"/>
  <c r="BG37" i="13" s="1"/>
  <c r="AU36" i="56"/>
  <c r="AV36" i="56" s="1"/>
  <c r="BT36" i="56"/>
  <c r="BS36" i="56"/>
  <c r="BK36" i="56"/>
  <c r="BL36" i="56"/>
  <c r="BP38" i="53"/>
  <c r="BQ38" i="53" s="1"/>
  <c r="BS38" i="53" s="1"/>
  <c r="BO38" i="53"/>
  <c r="BN38" i="52"/>
  <c r="BM38" i="52"/>
  <c r="BF38" i="52"/>
  <c r="BE38" i="52"/>
  <c r="AO38" i="52"/>
  <c r="AP38" i="52" s="1"/>
  <c r="BN38" i="51"/>
  <c r="BM38" i="51"/>
  <c r="BF38" i="51"/>
  <c r="BE38" i="51"/>
  <c r="AO38" i="51"/>
  <c r="AP38" i="51" s="1"/>
  <c r="BP39" i="50"/>
  <c r="BQ39" i="50" s="1"/>
  <c r="BS39" i="50" s="1"/>
  <c r="BO39" i="50"/>
  <c r="AO37" i="61" l="1"/>
  <c r="AP37" i="61"/>
  <c r="AT37" i="61" s="1"/>
  <c r="AU37" i="61" s="1"/>
  <c r="AO37" i="13"/>
  <c r="AP37" i="13" s="1"/>
  <c r="BF37" i="13"/>
  <c r="BM37" i="13"/>
  <c r="BN37" i="13"/>
  <c r="BE37" i="13"/>
  <c r="BV36" i="56"/>
  <c r="BU36" i="56"/>
  <c r="BR39" i="53"/>
  <c r="BC38" i="53"/>
  <c r="O39" i="53" s="1"/>
  <c r="P39" i="53" s="1"/>
  <c r="BT38" i="53"/>
  <c r="BP38" i="52"/>
  <c r="BT38" i="52" s="1"/>
  <c r="BU38" i="52" s="1"/>
  <c r="BO38" i="52"/>
  <c r="BP38" i="51"/>
  <c r="BQ38" i="51" s="1"/>
  <c r="BS38" i="51" s="1"/>
  <c r="BO38" i="51"/>
  <c r="BR40" i="50"/>
  <c r="BC39" i="50"/>
  <c r="O40" i="50" s="1"/>
  <c r="P40" i="50" s="1"/>
  <c r="BT39" i="50"/>
  <c r="BU39" i="50" s="1"/>
  <c r="AQ37" i="61" l="1"/>
  <c r="AS37" i="61" s="1"/>
  <c r="BO37" i="13"/>
  <c r="BP37" i="13"/>
  <c r="BQ37" i="13" s="1"/>
  <c r="BS37" i="13" s="1"/>
  <c r="BQ38" i="52"/>
  <c r="BS38" i="52" s="1"/>
  <c r="BR39" i="52" s="1"/>
  <c r="BZ36" i="56"/>
  <c r="CA36" i="56" s="1"/>
  <c r="BW36" i="56"/>
  <c r="BY36" i="56" s="1"/>
  <c r="BI36" i="56" s="1"/>
  <c r="AH39" i="53"/>
  <c r="AS39" i="53"/>
  <c r="AU39" i="53" s="1"/>
  <c r="AX39" i="53" s="1"/>
  <c r="BB39" i="53" s="1"/>
  <c r="BU38" i="53"/>
  <c r="BR39" i="51"/>
  <c r="BC38" i="51"/>
  <c r="O39" i="51" s="1"/>
  <c r="P39" i="51" s="1"/>
  <c r="BT38" i="51"/>
  <c r="BU38" i="51" s="1"/>
  <c r="AH40" i="50"/>
  <c r="AS40" i="50"/>
  <c r="AU40" i="50" s="1"/>
  <c r="AX40" i="50" s="1"/>
  <c r="BB40" i="50" s="1"/>
  <c r="AR38" i="61" l="1"/>
  <c r="AC37" i="61"/>
  <c r="G38" i="61" s="1"/>
  <c r="BC38" i="52"/>
  <c r="O39" i="52" s="1"/>
  <c r="P39" i="52" s="1"/>
  <c r="BR38" i="13"/>
  <c r="BC37" i="13"/>
  <c r="O38" i="13" s="1"/>
  <c r="P38" i="13" s="1"/>
  <c r="BT37" i="13"/>
  <c r="BU37" i="13" s="1"/>
  <c r="BX37" i="56"/>
  <c r="U37" i="56"/>
  <c r="V37" i="56" s="1"/>
  <c r="AK39" i="53"/>
  <c r="AM39" i="53" s="1"/>
  <c r="AI39" i="53"/>
  <c r="AS39" i="51"/>
  <c r="AU39" i="51" s="1"/>
  <c r="AX39" i="51" s="1"/>
  <c r="BB39" i="51" s="1"/>
  <c r="AH39" i="51"/>
  <c r="AK40" i="50"/>
  <c r="AM40" i="50" s="1"/>
  <c r="AI40" i="50"/>
  <c r="AH39" i="52" l="1"/>
  <c r="AK39" i="52" s="1"/>
  <c r="AM39" i="52" s="1"/>
  <c r="AF38" i="61"/>
  <c r="AE38" i="61"/>
  <c r="AS39" i="52"/>
  <c r="AU39" i="52" s="1"/>
  <c r="AX39" i="52" s="1"/>
  <c r="BB39" i="52" s="1"/>
  <c r="AH38" i="13"/>
  <c r="AS38" i="13"/>
  <c r="AU38" i="13" s="1"/>
  <c r="AX38" i="13" s="1"/>
  <c r="BB38" i="13" s="1"/>
  <c r="AY37" i="56"/>
  <c r="BA37" i="56" s="1"/>
  <c r="BD37" i="56" s="1"/>
  <c r="BH37" i="56" s="1"/>
  <c r="AN37" i="56"/>
  <c r="AN39" i="53"/>
  <c r="BD39" i="53" s="1"/>
  <c r="BG39" i="53" s="1"/>
  <c r="AK39" i="51"/>
  <c r="AM39" i="51" s="1"/>
  <c r="AI39" i="51"/>
  <c r="AN40" i="50"/>
  <c r="BD40" i="50" s="1"/>
  <c r="BG40" i="50" s="1"/>
  <c r="AI39" i="52" l="1"/>
  <c r="AO40" i="50"/>
  <c r="AP40" i="50" s="1"/>
  <c r="AI38" i="13"/>
  <c r="AK38" i="13"/>
  <c r="AM38" i="13" s="1"/>
  <c r="AQ37" i="56"/>
  <c r="AS37" i="56" s="1"/>
  <c r="AO37" i="56"/>
  <c r="BN39" i="53"/>
  <c r="BF39" i="53"/>
  <c r="BM39" i="53"/>
  <c r="BE39" i="53"/>
  <c r="AO39" i="53"/>
  <c r="AP39" i="53" s="1"/>
  <c r="AN39" i="52"/>
  <c r="BD39" i="52" s="1"/>
  <c r="BG39" i="52" s="1"/>
  <c r="AN39" i="51"/>
  <c r="BD39" i="51" s="1"/>
  <c r="BG39" i="51" s="1"/>
  <c r="BN40" i="50"/>
  <c r="BM40" i="50"/>
  <c r="BF40" i="50"/>
  <c r="BE40" i="50"/>
  <c r="AN38" i="13" l="1"/>
  <c r="BD38" i="13" s="1"/>
  <c r="BG38" i="13" s="1"/>
  <c r="AT37" i="56"/>
  <c r="BJ37" i="56" s="1"/>
  <c r="BM37" i="56" s="1"/>
  <c r="BP39" i="53"/>
  <c r="BQ39" i="53" s="1"/>
  <c r="BS39" i="53" s="1"/>
  <c r="BO39" i="53"/>
  <c r="BN39" i="52"/>
  <c r="BM39" i="52"/>
  <c r="BF39" i="52"/>
  <c r="BE39" i="52"/>
  <c r="AO39" i="52"/>
  <c r="AP39" i="52" s="1"/>
  <c r="BM39" i="51"/>
  <c r="BN39" i="51"/>
  <c r="BF39" i="51"/>
  <c r="BE39" i="51"/>
  <c r="AO39" i="51"/>
  <c r="AP39" i="51" s="1"/>
  <c r="BP40" i="50"/>
  <c r="BQ40" i="50" s="1"/>
  <c r="BS40" i="50" s="1"/>
  <c r="BO40" i="50"/>
  <c r="AM38" i="61" l="1"/>
  <c r="AN38" i="61"/>
  <c r="BE38" i="13"/>
  <c r="BF38" i="13"/>
  <c r="BM38" i="13"/>
  <c r="BN38" i="13"/>
  <c r="AO38" i="13"/>
  <c r="AP38" i="13" s="1"/>
  <c r="AU37" i="56"/>
  <c r="AV37" i="56" s="1"/>
  <c r="BT37" i="56"/>
  <c r="BS37" i="56"/>
  <c r="BL37" i="56"/>
  <c r="BK37" i="56"/>
  <c r="BR40" i="53"/>
  <c r="BC39" i="53"/>
  <c r="O40" i="53" s="1"/>
  <c r="P40" i="53" s="1"/>
  <c r="BT39" i="53"/>
  <c r="BP39" i="52"/>
  <c r="BQ39" i="52" s="1"/>
  <c r="BS39" i="52" s="1"/>
  <c r="BO39" i="52"/>
  <c r="BP39" i="51"/>
  <c r="BQ39" i="51" s="1"/>
  <c r="BS39" i="51" s="1"/>
  <c r="BO39" i="51"/>
  <c r="BR41" i="50"/>
  <c r="BC40" i="50"/>
  <c r="O41" i="50" s="1"/>
  <c r="P41" i="50" s="1"/>
  <c r="BT40" i="50"/>
  <c r="BU40" i="50" s="1"/>
  <c r="AO38" i="61" l="1"/>
  <c r="AP38" i="61"/>
  <c r="AT38" i="61" s="1"/>
  <c r="AU38" i="61" s="1"/>
  <c r="BP38" i="13"/>
  <c r="BQ38" i="13" s="1"/>
  <c r="BS38" i="13" s="1"/>
  <c r="BO38" i="13"/>
  <c r="BV37" i="56"/>
  <c r="BU37" i="56"/>
  <c r="AS40" i="53"/>
  <c r="AU40" i="53" s="1"/>
  <c r="AX40" i="53" s="1"/>
  <c r="BB40" i="53" s="1"/>
  <c r="AH40" i="53"/>
  <c r="BU39" i="53"/>
  <c r="BR40" i="52"/>
  <c r="BC39" i="52"/>
  <c r="O40" i="52" s="1"/>
  <c r="P40" i="52" s="1"/>
  <c r="BT39" i="52"/>
  <c r="BU39" i="52" s="1"/>
  <c r="BR40" i="51"/>
  <c r="BC39" i="51"/>
  <c r="O40" i="51" s="1"/>
  <c r="P40" i="51" s="1"/>
  <c r="BT39" i="51"/>
  <c r="BU39" i="51" s="1"/>
  <c r="AH41" i="50"/>
  <c r="AS41" i="50"/>
  <c r="AU41" i="50" s="1"/>
  <c r="AX41" i="50" s="1"/>
  <c r="BB41" i="50" s="1"/>
  <c r="AQ38" i="61" l="1"/>
  <c r="AS38" i="61" s="1"/>
  <c r="BR39" i="13"/>
  <c r="BC38" i="13"/>
  <c r="O39" i="13" s="1"/>
  <c r="P39" i="13" s="1"/>
  <c r="BT38" i="13"/>
  <c r="BU38" i="13" s="1"/>
  <c r="BZ37" i="56"/>
  <c r="CA37" i="56" s="1"/>
  <c r="BW37" i="56"/>
  <c r="BY37" i="56" s="1"/>
  <c r="BI37" i="56" s="1"/>
  <c r="AK40" i="53"/>
  <c r="AM40" i="53" s="1"/>
  <c r="AI40" i="53"/>
  <c r="AH40" i="52"/>
  <c r="AS40" i="52"/>
  <c r="AU40" i="52" s="1"/>
  <c r="AX40" i="52" s="1"/>
  <c r="BB40" i="52" s="1"/>
  <c r="AS40" i="51"/>
  <c r="AU40" i="51" s="1"/>
  <c r="AX40" i="51" s="1"/>
  <c r="BB40" i="51" s="1"/>
  <c r="AH40" i="51"/>
  <c r="AK41" i="50"/>
  <c r="AM41" i="50" s="1"/>
  <c r="AI41" i="50"/>
  <c r="AR39" i="61" l="1"/>
  <c r="AC38" i="61"/>
  <c r="G39" i="61" s="1"/>
  <c r="AE39" i="61" s="1"/>
  <c r="AH39" i="13"/>
  <c r="AS39" i="13"/>
  <c r="AU39" i="13" s="1"/>
  <c r="AX39" i="13" s="1"/>
  <c r="BB39" i="13" s="1"/>
  <c r="BX38" i="56"/>
  <c r="U38" i="56"/>
  <c r="V38" i="56" s="1"/>
  <c r="AN40" i="53"/>
  <c r="BD40" i="53" s="1"/>
  <c r="BG40" i="53" s="1"/>
  <c r="AK40" i="52"/>
  <c r="AM40" i="52" s="1"/>
  <c r="AI40" i="52"/>
  <c r="AI40" i="51"/>
  <c r="AK40" i="51"/>
  <c r="AM40" i="51" s="1"/>
  <c r="AN41" i="50"/>
  <c r="BD41" i="50" s="1"/>
  <c r="BG41" i="50" s="1"/>
  <c r="AF39" i="61" l="1"/>
  <c r="AO41" i="50"/>
  <c r="AP41" i="50" s="1"/>
  <c r="AI39" i="13"/>
  <c r="AK39" i="13"/>
  <c r="AM39" i="13" s="1"/>
  <c r="AY38" i="56"/>
  <c r="BA38" i="56" s="1"/>
  <c r="BD38" i="56" s="1"/>
  <c r="BH38" i="56" s="1"/>
  <c r="AN38" i="56"/>
  <c r="BN40" i="53"/>
  <c r="BF40" i="53"/>
  <c r="BE40" i="53"/>
  <c r="BM40" i="53"/>
  <c r="AO40" i="53"/>
  <c r="AP40" i="53" s="1"/>
  <c r="AN40" i="52"/>
  <c r="BD40" i="52" s="1"/>
  <c r="BG40" i="52" s="1"/>
  <c r="AN40" i="51"/>
  <c r="BD40" i="51" s="1"/>
  <c r="BG40" i="51" s="1"/>
  <c r="BN41" i="50"/>
  <c r="BM41" i="50"/>
  <c r="BF41" i="50"/>
  <c r="BE41" i="50"/>
  <c r="AN39" i="13" l="1"/>
  <c r="BD39" i="13" s="1"/>
  <c r="BG39" i="13" s="1"/>
  <c r="AO40" i="51"/>
  <c r="AP40" i="51" s="1"/>
  <c r="AQ38" i="56"/>
  <c r="AS38" i="56" s="1"/>
  <c r="AO38" i="56"/>
  <c r="BO40" i="53"/>
  <c r="BP40" i="53"/>
  <c r="BN40" i="52"/>
  <c r="BM40" i="52"/>
  <c r="BF40" i="52"/>
  <c r="BE40" i="52"/>
  <c r="AO40" i="52"/>
  <c r="AP40" i="52" s="1"/>
  <c r="BM40" i="51"/>
  <c r="BF40" i="51"/>
  <c r="BE40" i="51"/>
  <c r="BN40" i="51"/>
  <c r="BP41" i="50"/>
  <c r="BQ41" i="50" s="1"/>
  <c r="BS41" i="50" s="1"/>
  <c r="BO41" i="50"/>
  <c r="AM39" i="61" l="1"/>
  <c r="AN39" i="61"/>
  <c r="BE39" i="13"/>
  <c r="BN39" i="13"/>
  <c r="BF39" i="13"/>
  <c r="BM39" i="13"/>
  <c r="AO39" i="13"/>
  <c r="AP39" i="13" s="1"/>
  <c r="AT38" i="56"/>
  <c r="BJ38" i="56" s="1"/>
  <c r="BM38" i="56" s="1"/>
  <c r="BT40" i="53"/>
  <c r="BQ40" i="53"/>
  <c r="BS40" i="53" s="1"/>
  <c r="BP40" i="52"/>
  <c r="BQ40" i="52" s="1"/>
  <c r="BS40" i="52" s="1"/>
  <c r="BO40" i="52"/>
  <c r="BP40" i="51"/>
  <c r="BQ40" i="51" s="1"/>
  <c r="BS40" i="51" s="1"/>
  <c r="BO40" i="51"/>
  <c r="BR42" i="50"/>
  <c r="BC41" i="50"/>
  <c r="O42" i="50" s="1"/>
  <c r="P42" i="50" s="1"/>
  <c r="BT41" i="50"/>
  <c r="BU41" i="50" s="1"/>
  <c r="AO39" i="61" l="1"/>
  <c r="AP39" i="61"/>
  <c r="AT39" i="61" s="1"/>
  <c r="AU39" i="61" s="1"/>
  <c r="BP39" i="13"/>
  <c r="BQ39" i="13" s="1"/>
  <c r="BS39" i="13" s="1"/>
  <c r="BO39" i="13"/>
  <c r="AU38" i="56"/>
  <c r="AV38" i="56" s="1"/>
  <c r="BT38" i="56"/>
  <c r="BS38" i="56"/>
  <c r="BL38" i="56"/>
  <c r="BK38" i="56"/>
  <c r="BU40" i="53"/>
  <c r="BR41" i="53"/>
  <c r="BC40" i="53"/>
  <c r="O41" i="53" s="1"/>
  <c r="P41" i="53" s="1"/>
  <c r="BR41" i="52"/>
  <c r="BC40" i="52"/>
  <c r="O41" i="52" s="1"/>
  <c r="P41" i="52" s="1"/>
  <c r="BT40" i="52"/>
  <c r="BU40" i="52" s="1"/>
  <c r="BR41" i="51"/>
  <c r="BC40" i="51"/>
  <c r="O41" i="51" s="1"/>
  <c r="P41" i="51" s="1"/>
  <c r="BT40" i="51"/>
  <c r="BU40" i="51" s="1"/>
  <c r="AS42" i="50"/>
  <c r="AU42" i="50" s="1"/>
  <c r="AX42" i="50" s="1"/>
  <c r="BB42" i="50" s="1"/>
  <c r="AH42" i="50"/>
  <c r="AQ39" i="61" l="1"/>
  <c r="AS39" i="61" s="1"/>
  <c r="BR40" i="13"/>
  <c r="BC39" i="13"/>
  <c r="O40" i="13" s="1"/>
  <c r="P40" i="13" s="1"/>
  <c r="BT39" i="13"/>
  <c r="BU39" i="13" s="1"/>
  <c r="BV38" i="56"/>
  <c r="BU38" i="56"/>
  <c r="AH41" i="53"/>
  <c r="AS41" i="53"/>
  <c r="AU41" i="53" s="1"/>
  <c r="AX41" i="53" s="1"/>
  <c r="BB41" i="53" s="1"/>
  <c r="AH41" i="52"/>
  <c r="AS41" i="52"/>
  <c r="AU41" i="52" s="1"/>
  <c r="AX41" i="52" s="1"/>
  <c r="BB41" i="52" s="1"/>
  <c r="AH41" i="51"/>
  <c r="AS41" i="51"/>
  <c r="AU41" i="51" s="1"/>
  <c r="AX41" i="51" s="1"/>
  <c r="BB41" i="51" s="1"/>
  <c r="AK42" i="50"/>
  <c r="AM42" i="50" s="1"/>
  <c r="AI42" i="50"/>
  <c r="AR40" i="61" l="1"/>
  <c r="AC39" i="61"/>
  <c r="G40" i="61" s="1"/>
  <c r="AS40" i="13"/>
  <c r="AU40" i="13" s="1"/>
  <c r="AX40" i="13" s="1"/>
  <c r="BB40" i="13" s="1"/>
  <c r="AH40" i="13"/>
  <c r="BZ38" i="56"/>
  <c r="CA38" i="56" s="1"/>
  <c r="BW38" i="56"/>
  <c r="BY38" i="56" s="1"/>
  <c r="BI38" i="56" s="1"/>
  <c r="AK41" i="53"/>
  <c r="AM41" i="53" s="1"/>
  <c r="AI41" i="53"/>
  <c r="AI41" i="52"/>
  <c r="AK41" i="52"/>
  <c r="AM41" i="52" s="1"/>
  <c r="AK41" i="51"/>
  <c r="AM41" i="51" s="1"/>
  <c r="AI41" i="51"/>
  <c r="AN42" i="50"/>
  <c r="BD42" i="50" s="1"/>
  <c r="BG42" i="50" s="1"/>
  <c r="AE40" i="61" l="1"/>
  <c r="AF40" i="61"/>
  <c r="AK40" i="13"/>
  <c r="AM40" i="13" s="1"/>
  <c r="AI40" i="13"/>
  <c r="BX39" i="56"/>
  <c r="U39" i="56"/>
  <c r="V39" i="56" s="1"/>
  <c r="AN41" i="53"/>
  <c r="BD41" i="53" s="1"/>
  <c r="BG41" i="53" s="1"/>
  <c r="AN41" i="52"/>
  <c r="BD41" i="52" s="1"/>
  <c r="BG41" i="52" s="1"/>
  <c r="AN41" i="51"/>
  <c r="BD41" i="51" s="1"/>
  <c r="BG41" i="51" s="1"/>
  <c r="AO42" i="50"/>
  <c r="AP42" i="50" s="1"/>
  <c r="BN42" i="50"/>
  <c r="BM42" i="50"/>
  <c r="BF42" i="50"/>
  <c r="BE42" i="50"/>
  <c r="AO41" i="51" l="1"/>
  <c r="AP41" i="51" s="1"/>
  <c r="AN40" i="13"/>
  <c r="BD40" i="13" s="1"/>
  <c r="BG40" i="13" s="1"/>
  <c r="AY39" i="56"/>
  <c r="BA39" i="56" s="1"/>
  <c r="BD39" i="56" s="1"/>
  <c r="BH39" i="56" s="1"/>
  <c r="AN39" i="56"/>
  <c r="BN41" i="53"/>
  <c r="BF41" i="53"/>
  <c r="BM41" i="53"/>
  <c r="BE41" i="53"/>
  <c r="AO41" i="53"/>
  <c r="AP41" i="53" s="1"/>
  <c r="AO41" i="52"/>
  <c r="AP41" i="52" s="1"/>
  <c r="BM41" i="52"/>
  <c r="BF41" i="52"/>
  <c r="BE41" i="52"/>
  <c r="BN41" i="52"/>
  <c r="BM41" i="51"/>
  <c r="BF41" i="51"/>
  <c r="BE41" i="51"/>
  <c r="BN41" i="51"/>
  <c r="BP42" i="50"/>
  <c r="BQ42" i="50" s="1"/>
  <c r="BS42" i="50" s="1"/>
  <c r="BO42" i="50"/>
  <c r="AO40" i="13" l="1"/>
  <c r="AP40" i="13" s="1"/>
  <c r="BE40" i="13"/>
  <c r="BN40" i="13"/>
  <c r="BF40" i="13"/>
  <c r="BM40" i="13"/>
  <c r="AQ39" i="56"/>
  <c r="AS39" i="56" s="1"/>
  <c r="AO39" i="56"/>
  <c r="BP41" i="53"/>
  <c r="BT41" i="53" s="1"/>
  <c r="BO41" i="53"/>
  <c r="BP41" i="52"/>
  <c r="BQ41" i="52" s="1"/>
  <c r="BS41" i="52" s="1"/>
  <c r="BO41" i="52"/>
  <c r="BP41" i="51"/>
  <c r="BO41" i="51"/>
  <c r="BR43" i="50"/>
  <c r="BC42" i="50"/>
  <c r="O43" i="50" s="1"/>
  <c r="P43" i="50" s="1"/>
  <c r="BT42" i="50"/>
  <c r="BU42" i="50" s="1"/>
  <c r="AN40" i="61" l="1"/>
  <c r="AM40" i="61"/>
  <c r="BQ41" i="53"/>
  <c r="BS41" i="53" s="1"/>
  <c r="BR42" i="53" s="1"/>
  <c r="BP40" i="13"/>
  <c r="BO40" i="13"/>
  <c r="AT39" i="56"/>
  <c r="BJ39" i="56" s="1"/>
  <c r="BM39" i="56" s="1"/>
  <c r="BU41" i="53"/>
  <c r="BR42" i="52"/>
  <c r="BC41" i="52"/>
  <c r="O42" i="52" s="1"/>
  <c r="P42" i="52" s="1"/>
  <c r="BT41" i="52"/>
  <c r="BU41" i="52" s="1"/>
  <c r="BT41" i="51"/>
  <c r="BU41" i="51" s="1"/>
  <c r="BQ41" i="51"/>
  <c r="BS41" i="51" s="1"/>
  <c r="AS43" i="50"/>
  <c r="AU43" i="50" s="1"/>
  <c r="AX43" i="50" s="1"/>
  <c r="BB43" i="50" s="1"/>
  <c r="AH43" i="50"/>
  <c r="AO40" i="61" l="1"/>
  <c r="AP40" i="61"/>
  <c r="AT40" i="61" s="1"/>
  <c r="AU40" i="61" s="1"/>
  <c r="BC41" i="53"/>
  <c r="O42" i="53" s="1"/>
  <c r="BT40" i="13"/>
  <c r="BU40" i="13" s="1"/>
  <c r="BQ40" i="13"/>
  <c r="BS40" i="13" s="1"/>
  <c r="AU39" i="56"/>
  <c r="AV39" i="56" s="1"/>
  <c r="BT39" i="56"/>
  <c r="BL39" i="56"/>
  <c r="BK39" i="56"/>
  <c r="BS39" i="56"/>
  <c r="AS42" i="52"/>
  <c r="AU42" i="52" s="1"/>
  <c r="AX42" i="52" s="1"/>
  <c r="BB42" i="52" s="1"/>
  <c r="AH42" i="52"/>
  <c r="BR42" i="51"/>
  <c r="BC41" i="51"/>
  <c r="O42" i="51" s="1"/>
  <c r="P42" i="51" s="1"/>
  <c r="AK43" i="50"/>
  <c r="AM43" i="50" s="1"/>
  <c r="AI43" i="50"/>
  <c r="P42" i="53" l="1"/>
  <c r="AH42" i="53" s="1"/>
  <c r="AQ40" i="61"/>
  <c r="AS40" i="61" s="1"/>
  <c r="BR41" i="13"/>
  <c r="BC40" i="13"/>
  <c r="O41" i="13" s="1"/>
  <c r="P41" i="13" s="1"/>
  <c r="BV39" i="56"/>
  <c r="BU39" i="56"/>
  <c r="AI42" i="52"/>
  <c r="AK42" i="52"/>
  <c r="AM42" i="52" s="1"/>
  <c r="AH42" i="51"/>
  <c r="AS42" i="51"/>
  <c r="AU42" i="51" s="1"/>
  <c r="AX42" i="51" s="1"/>
  <c r="BB42" i="51" s="1"/>
  <c r="AN43" i="50"/>
  <c r="BD43" i="50" s="1"/>
  <c r="BG43" i="50" s="1"/>
  <c r="AS42" i="53" l="1"/>
  <c r="AU42" i="53" s="1"/>
  <c r="AX42" i="53" s="1"/>
  <c r="BB42" i="53" s="1"/>
  <c r="AK42" i="53"/>
  <c r="AM42" i="53" s="1"/>
  <c r="AN42" i="53" s="1"/>
  <c r="BD42" i="53" s="1"/>
  <c r="AI42" i="53"/>
  <c r="AR41" i="61"/>
  <c r="AC40" i="61"/>
  <c r="G41" i="61" s="1"/>
  <c r="AH41" i="13"/>
  <c r="AS41" i="13"/>
  <c r="AU41" i="13" s="1"/>
  <c r="AX41" i="13" s="1"/>
  <c r="BB41" i="13" s="1"/>
  <c r="BZ39" i="56"/>
  <c r="CA39" i="56" s="1"/>
  <c r="BW39" i="56"/>
  <c r="BY39" i="56" s="1"/>
  <c r="BI39" i="56" s="1"/>
  <c r="AN42" i="52"/>
  <c r="BD42" i="52" s="1"/>
  <c r="BG42" i="52" s="1"/>
  <c r="AK42" i="51"/>
  <c r="AM42" i="51" s="1"/>
  <c r="AI42" i="51"/>
  <c r="AO43" i="50"/>
  <c r="AP43" i="50" s="1"/>
  <c r="BN43" i="50"/>
  <c r="BM43" i="50"/>
  <c r="BF43" i="50"/>
  <c r="BE43" i="50"/>
  <c r="BG42" i="53" l="1"/>
  <c r="BE42" i="53" s="1"/>
  <c r="AF41" i="61"/>
  <c r="AE41" i="61"/>
  <c r="AK41" i="13"/>
  <c r="AM41" i="13" s="1"/>
  <c r="AI41" i="13"/>
  <c r="BX40" i="56"/>
  <c r="U40" i="56"/>
  <c r="V40" i="56" s="1"/>
  <c r="AO42" i="53"/>
  <c r="AP42" i="53" s="1"/>
  <c r="AO42" i="52"/>
  <c r="AP42" i="52" s="1"/>
  <c r="BN42" i="52"/>
  <c r="BM42" i="52"/>
  <c r="BF42" i="52"/>
  <c r="BE42" i="52"/>
  <c r="AN42" i="51"/>
  <c r="BD42" i="51" s="1"/>
  <c r="BG42" i="51" s="1"/>
  <c r="BO43" i="50"/>
  <c r="BP43" i="50"/>
  <c r="BQ43" i="50" s="1"/>
  <c r="BS43" i="50" s="1"/>
  <c r="BF42" i="53" l="1"/>
  <c r="BM42" i="53"/>
  <c r="BN42" i="53"/>
  <c r="AN41" i="13"/>
  <c r="BD41" i="13" s="1"/>
  <c r="BG41" i="13" s="1"/>
  <c r="AY40" i="56"/>
  <c r="BA40" i="56" s="1"/>
  <c r="BD40" i="56" s="1"/>
  <c r="BH40" i="56" s="1"/>
  <c r="AN40" i="56"/>
  <c r="BP42" i="53"/>
  <c r="BQ42" i="53" s="1"/>
  <c r="BS42" i="53" s="1"/>
  <c r="BO42" i="53"/>
  <c r="BO42" i="52"/>
  <c r="BP42" i="52"/>
  <c r="BQ42" i="52" s="1"/>
  <c r="BS42" i="52" s="1"/>
  <c r="AO42" i="51"/>
  <c r="AP42" i="51" s="1"/>
  <c r="BN42" i="51"/>
  <c r="BM42" i="51"/>
  <c r="BF42" i="51"/>
  <c r="BE42" i="51"/>
  <c r="BR44" i="50"/>
  <c r="BC43" i="50"/>
  <c r="O44" i="50" s="1"/>
  <c r="P44" i="50" s="1"/>
  <c r="BT43" i="50"/>
  <c r="BU43" i="50" s="1"/>
  <c r="AO41" i="13" l="1"/>
  <c r="AP41" i="13" s="1"/>
  <c r="BN41" i="13"/>
  <c r="BE41" i="13"/>
  <c r="BF41" i="13"/>
  <c r="BM41" i="13"/>
  <c r="AQ40" i="56"/>
  <c r="AS40" i="56" s="1"/>
  <c r="AO40" i="56"/>
  <c r="BR43" i="53"/>
  <c r="BC42" i="53"/>
  <c r="O43" i="53" s="1"/>
  <c r="P43" i="53" s="1"/>
  <c r="BT42" i="53"/>
  <c r="BR43" i="52"/>
  <c r="BC42" i="52"/>
  <c r="O43" i="52" s="1"/>
  <c r="P43" i="52" s="1"/>
  <c r="BT42" i="52"/>
  <c r="BU42" i="52" s="1"/>
  <c r="BP42" i="51"/>
  <c r="BQ42" i="51" s="1"/>
  <c r="BS42" i="51" s="1"/>
  <c r="BO42" i="51"/>
  <c r="P4" i="50"/>
  <c r="H4" i="17" s="1"/>
  <c r="O9" i="50"/>
  <c r="BR9" i="50"/>
  <c r="AM41" i="61" l="1"/>
  <c r="AN41" i="61"/>
  <c r="BO41" i="13"/>
  <c r="BP41" i="13"/>
  <c r="BQ41" i="13" s="1"/>
  <c r="BS41" i="13" s="1"/>
  <c r="AT40" i="56"/>
  <c r="BJ40" i="56" s="1"/>
  <c r="BM40" i="56" s="1"/>
  <c r="BU42" i="53"/>
  <c r="AS43" i="53"/>
  <c r="AU43" i="53" s="1"/>
  <c r="AX43" i="53" s="1"/>
  <c r="BB43" i="53" s="1"/>
  <c r="AH43" i="53"/>
  <c r="AH43" i="52"/>
  <c r="AS43" i="52"/>
  <c r="AU43" i="52" s="1"/>
  <c r="AX43" i="52" s="1"/>
  <c r="BB43" i="52" s="1"/>
  <c r="BR43" i="51"/>
  <c r="BC42" i="51"/>
  <c r="O43" i="51" s="1"/>
  <c r="P43" i="51" s="1"/>
  <c r="BT42" i="51"/>
  <c r="BU42" i="51" s="1"/>
  <c r="AH44" i="50"/>
  <c r="AH4" i="50" s="1"/>
  <c r="H6" i="17" s="1"/>
  <c r="AS44" i="50"/>
  <c r="P9" i="50"/>
  <c r="AO41" i="61" l="1"/>
  <c r="AP41" i="61"/>
  <c r="AT41" i="61" s="1"/>
  <c r="AU41" i="61" s="1"/>
  <c r="BR42" i="13"/>
  <c r="BC41" i="13"/>
  <c r="O42" i="13" s="1"/>
  <c r="P42" i="13" s="1"/>
  <c r="BT41" i="13"/>
  <c r="BU41" i="13" s="1"/>
  <c r="BT40" i="56"/>
  <c r="BK40" i="56"/>
  <c r="BS40" i="56"/>
  <c r="BL40" i="56"/>
  <c r="AU40" i="56"/>
  <c r="AV40" i="56" s="1"/>
  <c r="AI43" i="53"/>
  <c r="AK43" i="53"/>
  <c r="AM43" i="53" s="1"/>
  <c r="AI43" i="52"/>
  <c r="AK43" i="52"/>
  <c r="AM43" i="52" s="1"/>
  <c r="AS43" i="51"/>
  <c r="AU43" i="51" s="1"/>
  <c r="AX43" i="51" s="1"/>
  <c r="BB43" i="51" s="1"/>
  <c r="AH43" i="51"/>
  <c r="AU44" i="50"/>
  <c r="AS9" i="50"/>
  <c r="AK44" i="50"/>
  <c r="AI44" i="50"/>
  <c r="AI4" i="50" s="1"/>
  <c r="AH9" i="50"/>
  <c r="AQ41" i="61" l="1"/>
  <c r="AS41" i="61" s="1"/>
  <c r="AS42" i="13"/>
  <c r="AU42" i="13" s="1"/>
  <c r="AX42" i="13" s="1"/>
  <c r="BB42" i="13" s="1"/>
  <c r="AH42" i="13"/>
  <c r="BV40" i="56"/>
  <c r="BU40" i="56"/>
  <c r="AN43" i="53"/>
  <c r="BD43" i="53" s="1"/>
  <c r="BG43" i="53" s="1"/>
  <c r="AN43" i="52"/>
  <c r="BD43" i="52" s="1"/>
  <c r="BG43" i="52" s="1"/>
  <c r="AK43" i="51"/>
  <c r="AM43" i="51" s="1"/>
  <c r="AI43" i="51"/>
  <c r="AM44" i="50"/>
  <c r="AK9" i="50"/>
  <c r="AX44" i="50"/>
  <c r="AU9" i="50"/>
  <c r="AR42" i="61" l="1"/>
  <c r="AC41" i="61"/>
  <c r="G42" i="61" s="1"/>
  <c r="AI42" i="13"/>
  <c r="AK42" i="13"/>
  <c r="AM42" i="13" s="1"/>
  <c r="BZ40" i="56"/>
  <c r="CA40" i="56" s="1"/>
  <c r="BW40" i="56"/>
  <c r="BY40" i="56" s="1"/>
  <c r="BI40" i="56" s="1"/>
  <c r="BN43" i="53"/>
  <c r="BF43" i="53"/>
  <c r="BM43" i="53"/>
  <c r="BE43" i="53"/>
  <c r="AO43" i="53"/>
  <c r="AP43" i="53" s="1"/>
  <c r="AO43" i="52"/>
  <c r="AP43" i="52" s="1"/>
  <c r="BN43" i="52"/>
  <c r="BM43" i="52"/>
  <c r="BF43" i="52"/>
  <c r="BE43" i="52"/>
  <c r="AN43" i="51"/>
  <c r="BD43" i="51" s="1"/>
  <c r="BG43" i="51" s="1"/>
  <c r="BB44" i="50"/>
  <c r="AX9" i="50"/>
  <c r="AN44" i="50"/>
  <c r="AO44" i="50" s="1"/>
  <c r="AM9" i="50"/>
  <c r="AF42" i="61" l="1"/>
  <c r="AE42" i="61"/>
  <c r="AN42" i="13"/>
  <c r="BD42" i="13" s="1"/>
  <c r="BG42" i="13" s="1"/>
  <c r="BX41" i="56"/>
  <c r="U41" i="56"/>
  <c r="V41" i="56" s="1"/>
  <c r="BO43" i="53"/>
  <c r="BP43" i="53"/>
  <c r="BP43" i="52"/>
  <c r="BQ43" i="52" s="1"/>
  <c r="BS43" i="52" s="1"/>
  <c r="BO43" i="52"/>
  <c r="BM43" i="51"/>
  <c r="BN43" i="51"/>
  <c r="BF43" i="51"/>
  <c r="BE43" i="51"/>
  <c r="AO43" i="51"/>
  <c r="AP43" i="51" s="1"/>
  <c r="AP44" i="50"/>
  <c r="AP4" i="50" s="1"/>
  <c r="AO9" i="50"/>
  <c r="BD44" i="50"/>
  <c r="BD9" i="50" s="1"/>
  <c r="AN9" i="50"/>
  <c r="BB9" i="50"/>
  <c r="AO42" i="13" l="1"/>
  <c r="AP42" i="13" s="1"/>
  <c r="BG44" i="50"/>
  <c r="BM44" i="50" s="1"/>
  <c r="BF42" i="13"/>
  <c r="BM42" i="13"/>
  <c r="BN42" i="13"/>
  <c r="BE42" i="13"/>
  <c r="AY41" i="56"/>
  <c r="BA41" i="56" s="1"/>
  <c r="BD41" i="56" s="1"/>
  <c r="BH41" i="56" s="1"/>
  <c r="AN41" i="56"/>
  <c r="BT43" i="53"/>
  <c r="BQ43" i="53"/>
  <c r="BS43" i="53" s="1"/>
  <c r="BR44" i="52"/>
  <c r="BC43" i="52"/>
  <c r="O44" i="52" s="1"/>
  <c r="P44" i="52" s="1"/>
  <c r="BT43" i="52"/>
  <c r="BU43" i="52" s="1"/>
  <c r="BP43" i="51"/>
  <c r="BQ43" i="51" s="1"/>
  <c r="BS43" i="51" s="1"/>
  <c r="BO43" i="51"/>
  <c r="BA4" i="50" l="1"/>
  <c r="BB4" i="50" s="1"/>
  <c r="BG9" i="50"/>
  <c r="BF44" i="50"/>
  <c r="BF9" i="50" s="1"/>
  <c r="BN44" i="50"/>
  <c r="BP44" i="50" s="1"/>
  <c r="BP4" i="50" s="1"/>
  <c r="BE44" i="50"/>
  <c r="BE4" i="50" s="1"/>
  <c r="BF4" i="50" s="1"/>
  <c r="BO42" i="13"/>
  <c r="BP42" i="13"/>
  <c r="BQ42" i="13" s="1"/>
  <c r="BS42" i="13" s="1"/>
  <c r="AQ41" i="56"/>
  <c r="AS41" i="56" s="1"/>
  <c r="AO41" i="56"/>
  <c r="BR44" i="53"/>
  <c r="BC43" i="53"/>
  <c r="O44" i="53" s="1"/>
  <c r="P44" i="53" s="1"/>
  <c r="BU43" i="53"/>
  <c r="P4" i="52"/>
  <c r="D18" i="17" s="1"/>
  <c r="O9" i="52"/>
  <c r="BR9" i="52"/>
  <c r="BR44" i="51"/>
  <c r="BC43" i="51"/>
  <c r="O44" i="51" s="1"/>
  <c r="P44" i="51" s="1"/>
  <c r="BT43" i="51"/>
  <c r="BU43" i="51" s="1"/>
  <c r="AY4" i="50"/>
  <c r="BJ4" i="50"/>
  <c r="H13" i="17" s="1"/>
  <c r="BK4" i="50" a="1"/>
  <c r="BK4" i="50" s="1"/>
  <c r="H14" i="17" s="1"/>
  <c r="AN42" i="61" l="1"/>
  <c r="AM42" i="61"/>
  <c r="BN9" i="50"/>
  <c r="BO44" i="50"/>
  <c r="BO9" i="50" s="1"/>
  <c r="BE9" i="50"/>
  <c r="AZ4" i="50"/>
  <c r="H11" i="17"/>
  <c r="BR43" i="13"/>
  <c r="BC42" i="13"/>
  <c r="O43" i="13" s="1"/>
  <c r="P43" i="13" s="1"/>
  <c r="BT42" i="13"/>
  <c r="BU42" i="13" s="1"/>
  <c r="AT41" i="56"/>
  <c r="BJ41" i="56" s="1"/>
  <c r="BM41" i="56" s="1"/>
  <c r="P4" i="53"/>
  <c r="H18" i="17" s="1"/>
  <c r="O9" i="53"/>
  <c r="BR9" i="53"/>
  <c r="AH44" i="52"/>
  <c r="AH4" i="52" s="1"/>
  <c r="D20" i="17" s="1"/>
  <c r="AS44" i="52"/>
  <c r="P9" i="52"/>
  <c r="P4" i="51"/>
  <c r="L4" i="17" s="1"/>
  <c r="O9" i="51"/>
  <c r="BR9" i="51"/>
  <c r="BT44" i="50"/>
  <c r="BU44" i="50" s="1"/>
  <c r="BU4" i="50" s="1"/>
  <c r="H12" i="17" s="1"/>
  <c r="BP9" i="50"/>
  <c r="BN4" i="50"/>
  <c r="BO4" i="50" s="1"/>
  <c r="BQ44" i="50"/>
  <c r="AO42" i="61" l="1"/>
  <c r="AP42" i="61"/>
  <c r="AT42" i="61" s="1"/>
  <c r="AU42" i="61" s="1"/>
  <c r="BS4" i="50"/>
  <c r="BT4" i="50" s="1"/>
  <c r="X15" i="45"/>
  <c r="X35" i="45"/>
  <c r="X25" i="45"/>
  <c r="BV44" i="50"/>
  <c r="H10" i="17"/>
  <c r="H8" i="17"/>
  <c r="H7" i="17"/>
  <c r="H9" i="17"/>
  <c r="AH43" i="13"/>
  <c r="AS43" i="13"/>
  <c r="AU43" i="13" s="1"/>
  <c r="AX43" i="13" s="1"/>
  <c r="BB43" i="13" s="1"/>
  <c r="AU41" i="56"/>
  <c r="AV41" i="56" s="1"/>
  <c r="BT41" i="56"/>
  <c r="BL41" i="56"/>
  <c r="BK41" i="56"/>
  <c r="BS41" i="56"/>
  <c r="AH44" i="53"/>
  <c r="AH4" i="53" s="1"/>
  <c r="H20" i="17" s="1"/>
  <c r="AS44" i="53"/>
  <c r="P9" i="53"/>
  <c r="AU44" i="52"/>
  <c r="AS9" i="52"/>
  <c r="AK44" i="52"/>
  <c r="AI44" i="52"/>
  <c r="AI4" i="52" s="1"/>
  <c r="AH9" i="52"/>
  <c r="AS44" i="51"/>
  <c r="AH44" i="51"/>
  <c r="AH4" i="51" s="1"/>
  <c r="L6" i="17" s="1"/>
  <c r="P9" i="51"/>
  <c r="BS44" i="50"/>
  <c r="BQ9" i="50"/>
  <c r="BQ4" i="50"/>
  <c r="BV11" i="50"/>
  <c r="BV12" i="50"/>
  <c r="BV13" i="50"/>
  <c r="BV14" i="50"/>
  <c r="BV15" i="50"/>
  <c r="BV16" i="50"/>
  <c r="BV17" i="50"/>
  <c r="BV18" i="50"/>
  <c r="BV19" i="50"/>
  <c r="BV20" i="50"/>
  <c r="BV21" i="50"/>
  <c r="BV22" i="50"/>
  <c r="BV23" i="50"/>
  <c r="BV24" i="50"/>
  <c r="BV25" i="50"/>
  <c r="BV26" i="50"/>
  <c r="BV27" i="50"/>
  <c r="BV28" i="50"/>
  <c r="BV29" i="50"/>
  <c r="BV30" i="50"/>
  <c r="BV31" i="50"/>
  <c r="BV32" i="50"/>
  <c r="BV33" i="50"/>
  <c r="BV34" i="50"/>
  <c r="BV35" i="50"/>
  <c r="BV36" i="50"/>
  <c r="BV37" i="50"/>
  <c r="BV38" i="50"/>
  <c r="BV39" i="50"/>
  <c r="BV40" i="50"/>
  <c r="BV41" i="50"/>
  <c r="BV42" i="50"/>
  <c r="BV43" i="50"/>
  <c r="AQ42" i="61" l="1"/>
  <c r="AS42" i="61" s="1"/>
  <c r="AK43" i="13"/>
  <c r="AM43" i="13" s="1"/>
  <c r="AI43" i="13"/>
  <c r="BV41" i="56"/>
  <c r="BW41" i="56" s="1"/>
  <c r="BY41" i="56" s="1"/>
  <c r="BI41" i="56" s="1"/>
  <c r="BU41" i="56"/>
  <c r="AU44" i="53"/>
  <c r="AS9" i="53"/>
  <c r="AK44" i="53"/>
  <c r="AI44" i="53"/>
  <c r="AI4" i="53" s="1"/>
  <c r="AH9" i="53"/>
  <c r="AM44" i="52"/>
  <c r="AK9" i="52"/>
  <c r="AX44" i="52"/>
  <c r="AU9" i="52"/>
  <c r="AI44" i="51"/>
  <c r="AI4" i="51" s="1"/>
  <c r="AK44" i="51"/>
  <c r="AH9" i="51"/>
  <c r="AU44" i="51"/>
  <c r="AS9" i="51"/>
  <c r="BV4" i="50"/>
  <c r="BV9" i="50"/>
  <c r="BS9" i="50"/>
  <c r="BC44" i="50"/>
  <c r="BC9" i="50" s="1"/>
  <c r="AR43" i="61" l="1"/>
  <c r="AC42" i="61"/>
  <c r="G43" i="61" s="1"/>
  <c r="AN43" i="13"/>
  <c r="BD43" i="13" s="1"/>
  <c r="BG43" i="13" s="1"/>
  <c r="BX42" i="56"/>
  <c r="U42" i="56"/>
  <c r="V42" i="56" s="1"/>
  <c r="BZ41" i="56"/>
  <c r="CA41" i="56" s="1"/>
  <c r="AM44" i="53"/>
  <c r="AK9" i="53"/>
  <c r="AX44" i="53"/>
  <c r="AU9" i="53"/>
  <c r="BB44" i="52"/>
  <c r="AX9" i="52"/>
  <c r="AN44" i="52"/>
  <c r="AO44" i="52" s="1"/>
  <c r="AM9" i="52"/>
  <c r="AX44" i="51"/>
  <c r="AU9" i="51"/>
  <c r="AM44" i="51"/>
  <c r="AK9" i="51"/>
  <c r="AE43" i="61" l="1"/>
  <c r="AF43" i="61"/>
  <c r="BF43" i="13"/>
  <c r="BM43" i="13"/>
  <c r="BE43" i="13"/>
  <c r="BN43" i="13"/>
  <c r="AO43" i="13"/>
  <c r="AP43" i="13" s="1"/>
  <c r="AN42" i="56"/>
  <c r="AY42" i="56"/>
  <c r="BA42" i="56" s="1"/>
  <c r="BD42" i="56" s="1"/>
  <c r="BH42" i="56" s="1"/>
  <c r="BB44" i="53"/>
  <c r="AX9" i="53"/>
  <c r="AN44" i="53"/>
  <c r="AM9" i="53"/>
  <c r="BD44" i="52"/>
  <c r="BD9" i="52" s="1"/>
  <c r="AN9" i="52"/>
  <c r="AP44" i="52"/>
  <c r="AP4" i="52" s="1"/>
  <c r="AO9" i="52"/>
  <c r="BB9" i="52"/>
  <c r="AN44" i="51"/>
  <c r="AO44" i="51" s="1"/>
  <c r="AM9" i="51"/>
  <c r="BB44" i="51"/>
  <c r="AX9" i="51"/>
  <c r="BG44" i="52" l="1"/>
  <c r="BF44" i="52" s="1"/>
  <c r="BP43" i="13"/>
  <c r="BQ43" i="13" s="1"/>
  <c r="BS43" i="13" s="1"/>
  <c r="BO43" i="13"/>
  <c r="AQ42" i="56"/>
  <c r="AS42" i="56" s="1"/>
  <c r="AO42" i="56"/>
  <c r="BD44" i="53"/>
  <c r="BD9" i="53" s="1"/>
  <c r="AN9" i="53"/>
  <c r="AO44" i="53"/>
  <c r="BB9" i="53"/>
  <c r="BA4" i="52"/>
  <c r="BB4" i="52" s="1"/>
  <c r="AP44" i="51"/>
  <c r="AP4" i="51" s="1"/>
  <c r="AO9" i="51"/>
  <c r="BB9" i="51"/>
  <c r="BD44" i="51"/>
  <c r="BD9" i="51" s="1"/>
  <c r="AN9" i="51"/>
  <c r="BM44" i="52" l="1"/>
  <c r="BJ4" i="52" s="1"/>
  <c r="D27" i="17" s="1"/>
  <c r="BN44" i="52"/>
  <c r="BN9" i="52" s="1"/>
  <c r="BG9" i="52"/>
  <c r="BE44" i="52"/>
  <c r="BE9" i="52" s="1"/>
  <c r="BG44" i="53"/>
  <c r="BG9" i="53" s="1"/>
  <c r="BR44" i="13"/>
  <c r="BC43" i="13"/>
  <c r="O44" i="13" s="1"/>
  <c r="P44" i="13" s="1"/>
  <c r="BT43" i="13"/>
  <c r="BU43" i="13" s="1"/>
  <c r="AT42" i="56"/>
  <c r="BJ42" i="56" s="1"/>
  <c r="BM42" i="56" s="1"/>
  <c r="AP44" i="53"/>
  <c r="AP4" i="53" s="1"/>
  <c r="AO9" i="53"/>
  <c r="AY4" i="52"/>
  <c r="BF9" i="52"/>
  <c r="BG44" i="51"/>
  <c r="AM43" i="61" l="1"/>
  <c r="AN43" i="61"/>
  <c r="BA4" i="53"/>
  <c r="BB4" i="53" s="1"/>
  <c r="BE4" i="52"/>
  <c r="BF4" i="52" s="1"/>
  <c r="BE44" i="53"/>
  <c r="BE9" i="53" s="1"/>
  <c r="BF44" i="53"/>
  <c r="BF9" i="53" s="1"/>
  <c r="BM44" i="53"/>
  <c r="BK4" i="53" s="1" a="1"/>
  <c r="BK4" i="53" s="1"/>
  <c r="H28" i="17" s="1"/>
  <c r="BN44" i="53"/>
  <c r="BP44" i="53" s="1"/>
  <c r="BP4" i="53" s="1"/>
  <c r="BK4" i="52" a="1"/>
  <c r="BK4" i="52" s="1"/>
  <c r="D28" i="17" s="1"/>
  <c r="BP44" i="52"/>
  <c r="BP4" i="52" s="1"/>
  <c r="BO44" i="52"/>
  <c r="BO9" i="52" s="1"/>
  <c r="O9" i="13"/>
  <c r="BR9" i="13"/>
  <c r="AZ4" i="52"/>
  <c r="D25" i="17"/>
  <c r="AU42" i="56"/>
  <c r="AV42" i="56" s="1"/>
  <c r="BS42" i="56"/>
  <c r="BL42" i="56"/>
  <c r="BK42" i="56"/>
  <c r="BT42" i="56"/>
  <c r="BN44" i="51"/>
  <c r="BM44" i="51"/>
  <c r="BF44" i="51"/>
  <c r="BE44" i="51"/>
  <c r="BG9" i="51"/>
  <c r="BA4" i="51"/>
  <c r="BB4" i="51" s="1"/>
  <c r="AO43" i="61" l="1"/>
  <c r="AP43" i="61"/>
  <c r="AT43" i="61" s="1"/>
  <c r="AU43" i="61" s="1"/>
  <c r="BJ4" i="53"/>
  <c r="H27" i="17" s="1"/>
  <c r="BE4" i="53"/>
  <c r="BF4" i="53" s="1"/>
  <c r="AY4" i="53"/>
  <c r="AZ4" i="53" s="1"/>
  <c r="BQ44" i="53"/>
  <c r="BS44" i="53" s="1"/>
  <c r="BN4" i="52"/>
  <c r="BO4" i="52" s="1"/>
  <c r="BS4" i="52"/>
  <c r="BT4" i="52" s="1"/>
  <c r="X15" i="32"/>
  <c r="X35" i="32"/>
  <c r="X25" i="32"/>
  <c r="BP9" i="52"/>
  <c r="D23" i="17" s="1"/>
  <c r="BQ44" i="52"/>
  <c r="BS44" i="52" s="1"/>
  <c r="BT44" i="52"/>
  <c r="BU44" i="52" s="1"/>
  <c r="BU4" i="52" s="1"/>
  <c r="D26" i="17" s="1"/>
  <c r="BN9" i="53"/>
  <c r="BO44" i="53"/>
  <c r="BO9" i="53" s="1"/>
  <c r="BV44" i="52"/>
  <c r="D24" i="17"/>
  <c r="AH44" i="13"/>
  <c r="AS44" i="13"/>
  <c r="P4" i="13"/>
  <c r="D4" i="17" s="1"/>
  <c r="P9" i="13"/>
  <c r="BV42" i="56"/>
  <c r="BW42" i="56" s="1"/>
  <c r="BY42" i="56" s="1"/>
  <c r="BI42" i="56" s="1"/>
  <c r="BU42" i="56"/>
  <c r="BN4" i="53"/>
  <c r="BO4" i="53" s="1"/>
  <c r="BP9" i="53"/>
  <c r="BT44" i="53"/>
  <c r="BU44" i="53" s="1"/>
  <c r="BU4" i="53" s="1"/>
  <c r="H26" i="17" s="1"/>
  <c r="BV38" i="52"/>
  <c r="BV11" i="52"/>
  <c r="BQ4" i="52"/>
  <c r="BV12" i="52"/>
  <c r="BV13" i="52"/>
  <c r="BV14" i="52"/>
  <c r="BV15" i="52"/>
  <c r="BV16" i="52"/>
  <c r="BV17" i="52"/>
  <c r="BV18" i="52"/>
  <c r="BV19" i="52"/>
  <c r="BV20" i="52"/>
  <c r="BV21" i="52"/>
  <c r="BV22" i="52"/>
  <c r="BV23" i="52"/>
  <c r="BV24" i="52"/>
  <c r="BV25" i="52"/>
  <c r="BV26" i="52"/>
  <c r="BV27" i="52"/>
  <c r="BV28" i="52"/>
  <c r="BV29" i="52"/>
  <c r="BV30" i="52"/>
  <c r="BV31" i="52"/>
  <c r="BV32" i="52"/>
  <c r="BV33" i="52"/>
  <c r="BV34" i="52"/>
  <c r="BV35" i="52"/>
  <c r="BV36" i="52"/>
  <c r="BV37" i="52"/>
  <c r="BV39" i="52"/>
  <c r="BV40" i="52"/>
  <c r="BV41" i="52"/>
  <c r="BV42" i="52"/>
  <c r="BV43" i="52"/>
  <c r="BF9" i="51"/>
  <c r="AY4" i="51"/>
  <c r="BE4" i="51"/>
  <c r="BF4" i="51" s="1"/>
  <c r="BE9" i="51"/>
  <c r="BJ4" i="51"/>
  <c r="L13" i="17" s="1"/>
  <c r="BK4" i="51" a="1"/>
  <c r="BK4" i="51" s="1"/>
  <c r="L14" i="17" s="1"/>
  <c r="BO44" i="51"/>
  <c r="BP44" i="51"/>
  <c r="BP4" i="51" s="1"/>
  <c r="BN9" i="51"/>
  <c r="AQ43" i="61" l="1"/>
  <c r="AS43" i="61" s="1"/>
  <c r="BQ9" i="53"/>
  <c r="H25" i="17"/>
  <c r="BQ9" i="52"/>
  <c r="H24" i="17"/>
  <c r="X35" i="48"/>
  <c r="X25" i="48"/>
  <c r="X15" i="48"/>
  <c r="D22" i="17"/>
  <c r="D21" i="17"/>
  <c r="BS4" i="53"/>
  <c r="BT4" i="53" s="1"/>
  <c r="H22" i="17"/>
  <c r="H23" i="17"/>
  <c r="H21" i="17"/>
  <c r="AU44" i="13"/>
  <c r="AS9" i="13"/>
  <c r="AK44" i="13"/>
  <c r="AI44" i="13"/>
  <c r="AI4" i="13" s="1"/>
  <c r="AH4" i="13"/>
  <c r="D6" i="17" s="1"/>
  <c r="AH9" i="13"/>
  <c r="AZ4" i="51"/>
  <c r="L11" i="17"/>
  <c r="BX43" i="56"/>
  <c r="U43" i="56"/>
  <c r="V43" i="56" s="1"/>
  <c r="BZ42" i="56"/>
  <c r="CA42" i="56" s="1"/>
  <c r="BV41" i="53"/>
  <c r="BQ4" i="53"/>
  <c r="BV12" i="53"/>
  <c r="BV4" i="53" s="1"/>
  <c r="BV11" i="53"/>
  <c r="BV9" i="53" s="1"/>
  <c r="BV13" i="53"/>
  <c r="BV14" i="53"/>
  <c r="BV15" i="53"/>
  <c r="BV16" i="53"/>
  <c r="BV17" i="53"/>
  <c r="BV18" i="53"/>
  <c r="BV19" i="53"/>
  <c r="BV20" i="53"/>
  <c r="BV21" i="53"/>
  <c r="BV22" i="53"/>
  <c r="BV23" i="53"/>
  <c r="BV24" i="53"/>
  <c r="BV25" i="53"/>
  <c r="BV26" i="53"/>
  <c r="BV27" i="53"/>
  <c r="BV28" i="53"/>
  <c r="BV29" i="53"/>
  <c r="BV30" i="53"/>
  <c r="BV31" i="53"/>
  <c r="BV32" i="53"/>
  <c r="BV33" i="53"/>
  <c r="BV34" i="53"/>
  <c r="BV35" i="53"/>
  <c r="BV36" i="53"/>
  <c r="BV37" i="53"/>
  <c r="BV38" i="53"/>
  <c r="BV39" i="53"/>
  <c r="BV40" i="53"/>
  <c r="BV42" i="53"/>
  <c r="BV43" i="53"/>
  <c r="BV44" i="53"/>
  <c r="BS9" i="53"/>
  <c r="BC44" i="53"/>
  <c r="BC9" i="53" s="1"/>
  <c r="BV4" i="52"/>
  <c r="BV9" i="52"/>
  <c r="BS9" i="52"/>
  <c r="BC44" i="52"/>
  <c r="BC9" i="52" s="1"/>
  <c r="BP9" i="51"/>
  <c r="BN4" i="51"/>
  <c r="BO4" i="51" s="1"/>
  <c r="BT44" i="51"/>
  <c r="BU44" i="51" s="1"/>
  <c r="BU4" i="51" s="1"/>
  <c r="L12" i="17" s="1"/>
  <c r="BS4" i="51"/>
  <c r="BT4" i="51" s="1"/>
  <c r="BO9" i="51"/>
  <c r="BQ44" i="51"/>
  <c r="AR44" i="61" l="1"/>
  <c r="AC43" i="61"/>
  <c r="G44" i="61" s="1"/>
  <c r="L10" i="17"/>
  <c r="X15" i="46"/>
  <c r="X35" i="46"/>
  <c r="X25" i="46"/>
  <c r="AM44" i="13"/>
  <c r="AK9" i="13"/>
  <c r="L9" i="17"/>
  <c r="L8" i="17"/>
  <c r="L7" i="17"/>
  <c r="AX44" i="13"/>
  <c r="AU9" i="13"/>
  <c r="AN43" i="56"/>
  <c r="AY43" i="56"/>
  <c r="BA43" i="56" s="1"/>
  <c r="BD43" i="56" s="1"/>
  <c r="BH43" i="56" s="1"/>
  <c r="BS44" i="51"/>
  <c r="BQ9" i="51"/>
  <c r="BV44" i="51"/>
  <c r="BV12" i="51"/>
  <c r="BQ4" i="51"/>
  <c r="BV11" i="51"/>
  <c r="BV13" i="51"/>
  <c r="BV14" i="51"/>
  <c r="BV15" i="51"/>
  <c r="BV16" i="51"/>
  <c r="BV17" i="51"/>
  <c r="BV18" i="51"/>
  <c r="BV19" i="51"/>
  <c r="BV20" i="51"/>
  <c r="BV21" i="51"/>
  <c r="BV22" i="51"/>
  <c r="BV23" i="51"/>
  <c r="BV24" i="51"/>
  <c r="BV25" i="51"/>
  <c r="BV26" i="51"/>
  <c r="BV27" i="51"/>
  <c r="BV28" i="51"/>
  <c r="BV29" i="51"/>
  <c r="BV30" i="51"/>
  <c r="BV31" i="51"/>
  <c r="BV32" i="51"/>
  <c r="BV33" i="51"/>
  <c r="BV34" i="51"/>
  <c r="BV35" i="51"/>
  <c r="BV36" i="51"/>
  <c r="BV37" i="51"/>
  <c r="BV38" i="51"/>
  <c r="BV39" i="51"/>
  <c r="BV40" i="51"/>
  <c r="BV41" i="51"/>
  <c r="BV42" i="51"/>
  <c r="BV43" i="51"/>
  <c r="AF44" i="61" l="1"/>
  <c r="AE44" i="61"/>
  <c r="G9" i="61"/>
  <c r="AR9" i="61"/>
  <c r="BB44" i="13"/>
  <c r="AX9" i="13"/>
  <c r="AN44" i="13"/>
  <c r="AO44" i="13" s="1"/>
  <c r="AM9" i="13"/>
  <c r="AQ43" i="56"/>
  <c r="AS43" i="56" s="1"/>
  <c r="AO43" i="56"/>
  <c r="BV9" i="51"/>
  <c r="BV4" i="51"/>
  <c r="BS9" i="51"/>
  <c r="BC44" i="51"/>
  <c r="BC9" i="51" s="1"/>
  <c r="H4" i="61" l="1"/>
  <c r="D31" i="17" s="1"/>
  <c r="H9" i="61"/>
  <c r="AP44" i="13"/>
  <c r="AP4" i="13" s="1"/>
  <c r="AO9" i="13"/>
  <c r="BD44" i="13"/>
  <c r="BD9" i="13" s="1"/>
  <c r="AN9" i="13"/>
  <c r="BB9" i="13"/>
  <c r="AT43" i="56"/>
  <c r="BJ43" i="56" s="1"/>
  <c r="BM43" i="56" s="1"/>
  <c r="J4" i="61" l="1"/>
  <c r="I4" i="61"/>
  <c r="I9" i="61"/>
  <c r="T9" i="61"/>
  <c r="BG44" i="13"/>
  <c r="BN44" i="13" s="1"/>
  <c r="AU43" i="56"/>
  <c r="AV43" i="56" s="1"/>
  <c r="BL43" i="56"/>
  <c r="BK43" i="56"/>
  <c r="BT43" i="56"/>
  <c r="BS43" i="56"/>
  <c r="U9" i="61" l="1"/>
  <c r="L9" i="61"/>
  <c r="BG9" i="13"/>
  <c r="BA4" i="13"/>
  <c r="BB4" i="13" s="1"/>
  <c r="BE44" i="13"/>
  <c r="BE4" i="13" s="1"/>
  <c r="BF4" i="13" s="1"/>
  <c r="BM44" i="13"/>
  <c r="BJ4" i="13" s="1"/>
  <c r="D13" i="17" s="1"/>
  <c r="BF44" i="13"/>
  <c r="BF9" i="13" s="1"/>
  <c r="BP44" i="13"/>
  <c r="BP4" i="13" s="1"/>
  <c r="BO44" i="13"/>
  <c r="BN9" i="13"/>
  <c r="BV43" i="56"/>
  <c r="BU43" i="56"/>
  <c r="N9" i="61" l="1"/>
  <c r="X9" i="61"/>
  <c r="AY4" i="13"/>
  <c r="D11" i="17" s="1"/>
  <c r="BQ44" i="13"/>
  <c r="BS44" i="13" s="1"/>
  <c r="BK4" i="13" a="1"/>
  <c r="BK4" i="13" s="1"/>
  <c r="D14" i="17" s="1"/>
  <c r="BE9" i="13"/>
  <c r="BT44" i="13"/>
  <c r="BU44" i="13" s="1"/>
  <c r="BU4" i="13" s="1"/>
  <c r="D12" i="17" s="1"/>
  <c r="BN4" i="13"/>
  <c r="BO4" i="13" s="1"/>
  <c r="BP9" i="13"/>
  <c r="BO9" i="13"/>
  <c r="BS4" i="13"/>
  <c r="BT4" i="13" s="1"/>
  <c r="BZ43" i="56"/>
  <c r="CA43" i="56" s="1"/>
  <c r="BW43" i="56"/>
  <c r="BY43" i="56" s="1"/>
  <c r="BI43" i="56" s="1"/>
  <c r="Q4" i="61" l="1"/>
  <c r="P9" i="61"/>
  <c r="AB9" i="61"/>
  <c r="AD9" i="61"/>
  <c r="O9" i="61"/>
  <c r="AZ4" i="13"/>
  <c r="BQ9" i="13"/>
  <c r="X35" i="1"/>
  <c r="X15" i="1"/>
  <c r="X25" i="1"/>
  <c r="BS9" i="13"/>
  <c r="BC44" i="13"/>
  <c r="BC9" i="13" s="1"/>
  <c r="D8" i="17"/>
  <c r="D7" i="17"/>
  <c r="D9" i="17"/>
  <c r="BQ4" i="13"/>
  <c r="D10" i="17"/>
  <c r="BV11" i="13"/>
  <c r="BV12" i="13"/>
  <c r="BV13" i="13"/>
  <c r="BV14" i="13"/>
  <c r="BV15" i="13"/>
  <c r="BV16" i="13"/>
  <c r="BV17" i="13"/>
  <c r="BV18" i="13"/>
  <c r="BV19" i="13"/>
  <c r="BV20" i="13"/>
  <c r="BV21" i="13"/>
  <c r="BV22" i="13"/>
  <c r="BV23" i="13"/>
  <c r="BV24" i="13"/>
  <c r="BV25" i="13"/>
  <c r="BV26" i="13"/>
  <c r="BV27" i="13"/>
  <c r="BV28" i="13"/>
  <c r="BV29" i="13"/>
  <c r="BV30" i="13"/>
  <c r="BV31" i="13"/>
  <c r="BV32" i="13"/>
  <c r="BV33" i="13"/>
  <c r="BV34" i="13"/>
  <c r="BV35" i="13"/>
  <c r="BV36" i="13"/>
  <c r="BV37" i="13"/>
  <c r="BV38" i="13"/>
  <c r="BV39" i="13"/>
  <c r="BV40" i="13"/>
  <c r="BV41" i="13"/>
  <c r="BV42" i="13"/>
  <c r="BV43" i="13"/>
  <c r="BV44" i="13"/>
  <c r="BX44" i="56"/>
  <c r="U44" i="56"/>
  <c r="V44" i="56" s="1"/>
  <c r="BV9" i="13" l="1"/>
  <c r="BV4" i="13"/>
  <c r="V4" i="56"/>
  <c r="L18" i="17" s="1"/>
  <c r="U9" i="56"/>
  <c r="BX9" i="56"/>
  <c r="AN44" i="61" l="1"/>
  <c r="AM44" i="61"/>
  <c r="AA4" i="61"/>
  <c r="AB4" i="61" s="1"/>
  <c r="AG9" i="61"/>
  <c r="AN44" i="56"/>
  <c r="AN4" i="56" s="1"/>
  <c r="L20" i="17" s="1"/>
  <c r="AY44" i="56"/>
  <c r="V9" i="56"/>
  <c r="AO44" i="61" l="1"/>
  <c r="AP44" i="61"/>
  <c r="AT44" i="61" s="1"/>
  <c r="AU44" i="61" s="1"/>
  <c r="AE4" i="61"/>
  <c r="AF4" i="61" s="1"/>
  <c r="AE9" i="61"/>
  <c r="Y4" i="61"/>
  <c r="AF9" i="61"/>
  <c r="AJ4" i="61"/>
  <c r="D38" i="17" s="1"/>
  <c r="AK4" i="61" a="1"/>
  <c r="AK4" i="61" s="1"/>
  <c r="D39" i="17" s="1"/>
  <c r="AN9" i="61"/>
  <c r="BA44" i="56"/>
  <c r="AY9" i="56"/>
  <c r="AQ44" i="56"/>
  <c r="AO44" i="56"/>
  <c r="AO4" i="56" s="1"/>
  <c r="AN9" i="56"/>
  <c r="Z4" i="61" l="1"/>
  <c r="D36" i="17"/>
  <c r="AQ44" i="61"/>
  <c r="AS44" i="61" s="1"/>
  <c r="AC44" i="61" s="1"/>
  <c r="Z4" i="60"/>
  <c r="AP4" i="61"/>
  <c r="D35" i="17" s="1"/>
  <c r="AP9" i="61"/>
  <c r="AN4" i="61"/>
  <c r="AO4" i="61" s="1"/>
  <c r="AO9" i="61"/>
  <c r="AS4" i="61"/>
  <c r="AT4" i="61" s="1"/>
  <c r="AS44" i="56"/>
  <c r="AQ9" i="56"/>
  <c r="BD44" i="56"/>
  <c r="BA9" i="56"/>
  <c r="D34" i="17" l="1"/>
  <c r="D32" i="17"/>
  <c r="D33" i="17"/>
  <c r="Y4" i="60"/>
  <c r="AV13" i="61"/>
  <c r="AV15" i="61"/>
  <c r="AV14" i="61"/>
  <c r="AV16" i="61"/>
  <c r="AV17" i="61"/>
  <c r="AV18" i="61"/>
  <c r="AV19" i="61"/>
  <c r="AV20" i="61"/>
  <c r="AV21" i="61"/>
  <c r="AV22" i="61"/>
  <c r="AV23" i="61"/>
  <c r="AV24" i="61"/>
  <c r="AV25" i="61"/>
  <c r="AV26" i="61"/>
  <c r="AV27" i="61"/>
  <c r="AV28" i="61"/>
  <c r="AV29" i="61"/>
  <c r="AV30" i="61"/>
  <c r="AV31" i="61"/>
  <c r="AV32" i="61"/>
  <c r="AV33" i="61"/>
  <c r="AV34" i="61"/>
  <c r="AV35" i="61"/>
  <c r="AV36" i="61"/>
  <c r="AV37" i="61"/>
  <c r="AV38" i="61"/>
  <c r="AV39" i="61"/>
  <c r="AV40" i="61"/>
  <c r="AV41" i="61"/>
  <c r="AV42" i="61"/>
  <c r="AV43" i="61"/>
  <c r="AV44" i="61"/>
  <c r="AQ9" i="61"/>
  <c r="AQ4" i="61"/>
  <c r="AV11" i="61"/>
  <c r="AV12" i="61"/>
  <c r="BH44" i="56"/>
  <c r="BD9" i="56"/>
  <c r="AT44" i="56"/>
  <c r="AU44" i="56" s="1"/>
  <c r="AS9" i="56"/>
  <c r="AV4" i="61" l="1" a="1"/>
  <c r="AV4" i="61" s="1"/>
  <c r="AV9" i="61"/>
  <c r="AS9" i="61"/>
  <c r="AC9" i="61"/>
  <c r="AV44" i="56"/>
  <c r="AV4" i="56" s="1"/>
  <c r="AU9" i="56"/>
  <c r="BJ44" i="56"/>
  <c r="BJ9" i="56" s="1"/>
  <c r="AT9" i="56"/>
  <c r="BH9" i="56"/>
  <c r="BM44" i="56" l="1"/>
  <c r="BL44" i="56" s="1"/>
  <c r="BG4" i="56" l="1"/>
  <c r="BH4" i="56" s="1"/>
  <c r="BM9" i="56"/>
  <c r="BT44" i="56"/>
  <c r="BU44" i="56" s="1"/>
  <c r="BS44" i="56"/>
  <c r="BP4" i="56" s="1"/>
  <c r="L27" i="17" s="1"/>
  <c r="BK44" i="56"/>
  <c r="BK9" i="56" s="1"/>
  <c r="BL9" i="56"/>
  <c r="BE4" i="56"/>
  <c r="BK4" i="56" l="1"/>
  <c r="BL4" i="56" s="1"/>
  <c r="BT9" i="56"/>
  <c r="BQ4" i="56" a="1"/>
  <c r="BQ4" i="56" s="1"/>
  <c r="L28" i="17" s="1"/>
  <c r="BV44" i="56"/>
  <c r="BV4" i="56" s="1"/>
  <c r="BF4" i="56"/>
  <c r="L25" i="17"/>
  <c r="BU9" i="56"/>
  <c r="BY4" i="56"/>
  <c r="BZ4" i="56" s="1"/>
  <c r="BW44" i="56" l="1"/>
  <c r="BY44" i="56" s="1"/>
  <c r="BI44" i="56" s="1"/>
  <c r="X15" i="41"/>
  <c r="BV9" i="56"/>
  <c r="L23" i="17" s="1"/>
  <c r="BT4" i="56"/>
  <c r="BU4" i="56" s="1"/>
  <c r="BZ44" i="56"/>
  <c r="CA44" i="56" s="1"/>
  <c r="CA4" i="56" s="1"/>
  <c r="L26" i="17" s="1"/>
  <c r="BW9" i="56" l="1"/>
  <c r="CB34" i="56"/>
  <c r="CB18" i="56"/>
  <c r="CB11" i="56"/>
  <c r="CB33" i="56"/>
  <c r="CB38" i="56"/>
  <c r="CB30" i="56"/>
  <c r="CB22" i="56"/>
  <c r="CB14" i="56"/>
  <c r="L24" i="17"/>
  <c r="CB42" i="56"/>
  <c r="CB26" i="56"/>
  <c r="X35" i="41"/>
  <c r="CB41" i="56"/>
  <c r="CB25" i="56"/>
  <c r="CB17" i="56"/>
  <c r="X25" i="41"/>
  <c r="CB40" i="56"/>
  <c r="CB32" i="56"/>
  <c r="CB24" i="56"/>
  <c r="CB16" i="56"/>
  <c r="CB39" i="56"/>
  <c r="CB31" i="56"/>
  <c r="CB23" i="56"/>
  <c r="CB15" i="56"/>
  <c r="CB37" i="56"/>
  <c r="CB29" i="56"/>
  <c r="CB21" i="56"/>
  <c r="CB13" i="56"/>
  <c r="CB44" i="56"/>
  <c r="CB36" i="56"/>
  <c r="CB28" i="56"/>
  <c r="CB20" i="56"/>
  <c r="CB12" i="56"/>
  <c r="CB43" i="56"/>
  <c r="CB35" i="56"/>
  <c r="CB27" i="56"/>
  <c r="CB19" i="56"/>
  <c r="BW4" i="56"/>
  <c r="L21" i="17"/>
  <c r="L22" i="17"/>
  <c r="BY9" i="56"/>
  <c r="BI9" i="56"/>
  <c r="CB4" i="56" l="1"/>
  <c r="CB9" i="5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Koye</author>
    <author>tc={428ABFDC-ED88-41B9-9544-CED200277279}</author>
    <author>tc={905CC5E1-93DE-4740-9E6F-C87C12DE2116}</author>
    <author>tc={C239745A-C1AA-4082-96A1-EF2ED2DD2CE3}</author>
    <author>tc={964FB01F-6145-4A9E-82B5-E72CF74B77BA}</author>
    <author>tc={B4082369-057B-45E4-ABEA-A62EFC00BC85}</author>
    <author>tc={E6946F5C-1B6F-4609-AD45-80D0C4BE985D}</author>
    <author>tc={AA3ADD89-9F90-4CB1-8715-35B4D845E583}</author>
    <author>tc={B3A00804-AF51-49A1-8EA9-F8EADAD9B83E}</author>
    <author>tc={8A384160-3E5C-44A4-88F0-AA27BF984966}</author>
    <author>tc={625E155A-D92C-48CC-BFF3-17A6C7C2B19D}</author>
    <author>tc={28923F86-6C7A-44B9-818B-1DA8C5382375}</author>
    <author>tc={06D481D9-5C63-48B0-821D-48A3D9D1E19E}</author>
    <author>tc={21047D4E-8B48-450C-B8DC-A3D36382D657}</author>
    <author>tc={854C7F86-2B94-4DC4-87DE-291A1E6F89D4}</author>
    <author>tc={E7F59B92-4536-4BF2-ADD9-0C47F121BB8D}</author>
    <author>tc={B8CCB64E-8EF0-4B7C-85B2-C6E08445C15E}</author>
    <author>tc={4EFCB820-F522-4B3A-A037-D49EF8D45685}</author>
    <author>tc={EBFFDCB1-0F41-494A-8E91-29C6BD32D552}</author>
    <author>tc={59A7A681-6F52-48AC-994F-59890B63F00B}</author>
    <author>tc={F7FB0E6E-E253-4923-8CB3-E0D2BF1D058C}</author>
    <author>tc={CA1D34BA-B9C3-495F-B1DB-381D953A0743}</author>
    <author>tc={D477B04B-4BE1-4BDD-8086-726C99910504}</author>
    <author>tc={C9024984-BBAF-4FD3-9FE3-076FB0E041CF}</author>
    <author>tc={CC1F8F17-42EA-4031-BA9D-3430458F1A2A}</author>
    <author>tc={60489DAB-4528-4862-AA1C-DC9BD76127BB}</author>
    <author>tc={7BE5B4ED-4A93-43EF-981C-5485A42DAB1F}</author>
    <author>tc={B94051F6-3B0D-4D97-937F-9CDABFEA5F4B}</author>
    <author>tc={1736CF4B-F2BE-4E94-B9DA-B7E2E300B74E}</author>
    <author>tc={675ADF4A-CDEB-47CA-BA50-D4EC7F325151}</author>
    <author>tc={C5FE898A-816F-499A-B1D6-1BB9D9F34453}</author>
    <author>tc={17AF0D8D-147A-4740-B65A-5DE0DA1C1B94}</author>
    <author>tc={468CBD0C-6C59-4FC8-ADBE-303733FF7855}</author>
    <author>tc={B33C8AB5-A451-430C-BE34-AEDA00DD0EB0}</author>
    <author>tc={157670CB-3210-48EA-9C28-138B93B77ADA}</author>
    <author>tc={330ACB6E-B3C2-42CF-9319-9EE73A4162F0}</author>
    <author>tc={216E6C0D-4BF2-40D2-953A-3A3FD30862C9}</author>
    <author>tc={4F2F6B6C-164F-423D-9A3D-A345D96C33C4}</author>
    <author>tc={B1F45BB6-5677-44E1-87FF-EECF7CB0A147}</author>
    <author>tc={AC230322-77F1-4655-9ECF-733DD3305053}</author>
    <author>tc={25BABDF7-9DA5-4FFF-818B-907D51C389A2}</author>
    <author>tc={EE8BFBB2-F03B-4136-A15B-6347B7DBB476}</author>
    <author>tc={7070C64B-BD07-4025-98ED-A4C47BADB34F}</author>
    <author>tc={033E7B40-E46A-4CCF-B5C5-9DE277CF3C5F}</author>
    <author>tc={5CB487E6-BA80-495E-9900-F369DE07999E}</author>
    <author>tc={81478D10-E704-440B-995D-9F4DB9A57529}</author>
    <author>tc={1A21B747-EC94-4927-BB33-5F29F32BB7B6}</author>
    <author>tc={66EAF266-E94D-4725-AED0-90FF6E12765D}</author>
    <author>tc={7FA57950-6AE9-440A-91FA-EC4DE104A25E}</author>
    <author>tc={D57442CB-B6FF-460A-B8E3-73518562E4EC}</author>
    <author>tc={DBE79C0B-DF50-4754-B5FD-047571F53B9E}</author>
    <author>tc={48AFC846-F94F-4DC7-B919-955E525AB354}</author>
    <author>tc={C5776159-8C8D-42B7-8B05-9D67EBA919D3}</author>
    <author>tc={25A4B844-FFC6-4FF4-86D9-468529D74B98}</author>
    <author>tc={4EB93B88-1EC4-44E3-AC2B-97F39D4777A7}</author>
    <author>tc={F126F3FC-2DA0-41AA-AA55-93ADCBB501BB}</author>
    <author>tc={223E3916-39DD-4410-A1D6-043F4C494CCA}</author>
    <author>tc={20035FE3-0070-41F6-A6EA-9065016AAD28}</author>
    <author>tc={A3D4E9E9-FB59-4EBA-A9D2-C0C955DFC9EE}</author>
    <author>tc={C1A5FD72-5AAB-4F3F-9700-B2480680A715}</author>
    <author>tc={7A620E58-903C-4DC5-B437-563A3A314C32}</author>
    <author>tc={1D7EE924-DF51-40BB-826A-5F4C90084990}</author>
    <author>tc={61F5DEA2-EE55-4242-837C-86A36F4C5F77}</author>
    <author>tc={E13A3EB0-141E-4443-BB9D-9BB5C2DBD35F}</author>
    <author>tc={383D52E0-AA71-441D-8EE9-63B687960D72}</author>
    <author>tc={E0CFB72E-82CA-4C22-9F2F-EC82621BAAB1}</author>
    <author>tc={ED727C58-ED4E-4BEF-9B61-5113784774E6}</author>
  </authors>
  <commentList>
    <comment ref="G6" authorId="0" shapeId="0" xr:uid="{00000000-0006-0000-0100-000001000000}">
      <text>
        <r>
          <rPr>
            <b/>
            <sz val="9"/>
            <color indexed="81"/>
            <rFont val="Tahoma"/>
            <family val="2"/>
          </rPr>
          <t>Commercial Operation Date</t>
        </r>
      </text>
    </comment>
    <comment ref="J7" authorId="1" shapeId="0" xr:uid="{428ABFDC-ED88-41B9-9544-CED200277279}">
      <text>
        <t>[Threaded comment]
Your version of Excel allows you to read this threaded comment; however, any edits to it will get removed if the file is opened in a newer version of Excel. Learn more: https://go.microsoft.com/fwlink/?linkid=870924
Comment:
    Source: See Data Sources Tab</t>
      </text>
    </comment>
    <comment ref="N7" authorId="2" shapeId="0" xr:uid="{905CC5E1-93DE-4740-9E6F-C87C12DE2116}">
      <text>
        <t>[Threaded comment]
Your version of Excel allows you to read this threaded comment; however, any edits to it will get removed if the file is opened in a newer version of Excel. Learn more: https://go.microsoft.com/fwlink/?linkid=870924
Comment:
    Source: https://www.diva-portal.org/smash/get/diva2:742038/FULLTEXT01.pdf (Page 43)</t>
      </text>
    </comment>
    <comment ref="J8" authorId="3" shapeId="0" xr:uid="{C239745A-C1AA-4082-96A1-EF2ED2DD2CE3}">
      <text>
        <t>[Threaded comment]
Your version of Excel allows you to read this threaded comment; however, any edits to it will get removed if the file is opened in a newer version of Excel. Learn more: https://go.microsoft.com/fwlink/?linkid=870924
Comment:
    Source: See Export Prices Tab</t>
      </text>
    </comment>
    <comment ref="N8" authorId="4" shapeId="0" xr:uid="{964FB01F-6145-4A9E-82B5-E72CF74B77BA}">
      <text>
        <t>[Threaded comment]
Your version of Excel allows you to read this threaded comment; however, any edits to it will get removed if the file is opened in a newer version of Excel. Learn more: https://go.microsoft.com/fwlink/?linkid=870924
Comment:
    Source: See Data Sources Tab</t>
      </text>
    </comment>
    <comment ref="J9" authorId="5" shapeId="0" xr:uid="{B4082369-057B-45E4-ABEA-A62EFC00BC85}">
      <text>
        <t>[Threaded comment]
Your version of Excel allows you to read this threaded comment; however, any edits to it will get removed if the file is opened in a newer version of Excel. Learn more: https://go.microsoft.com/fwlink/?linkid=870924
Comment:
    User Assumption</t>
      </text>
    </comment>
    <comment ref="N9" authorId="6" shapeId="0" xr:uid="{E6946F5C-1B6F-4609-AD45-80D0C4BE985D}">
      <text>
        <t>[Threaded comment]
Your version of Excel allows you to read this threaded comment; however, any edits to it will get removed if the file is opened in a newer version of Excel. Learn more: https://go.microsoft.com/fwlink/?linkid=870924
Comment:
    Source: https://www.wbdg.org/resources/geothermal-energy-direct-use</t>
      </text>
    </comment>
    <comment ref="J10" authorId="7" shapeId="0" xr:uid="{AA3ADD89-9F90-4CB1-8715-35B4D845E583}">
      <text>
        <t>[Threaded comment]
Your version of Excel allows you to read this threaded comment; however, any edits to it will get removed if the file is opened in a newer version of Excel. Learn more: https://go.microsoft.com/fwlink/?linkid=870924
Comment:
    User Assumption</t>
      </text>
    </comment>
    <comment ref="N10" authorId="8" shapeId="0" xr:uid="{B3A00804-AF51-49A1-8EA9-F8EADAD9B83E}">
      <text>
        <t>[Threaded comment]
Your version of Excel allows you to read this threaded comment; however, any edits to it will get removed if the file is opened in a newer version of Excel. Learn more: https://go.microsoft.com/fwlink/?linkid=870924
Comment:
    Source: See Data Sources Tab</t>
      </text>
    </comment>
    <comment ref="J11" authorId="9" shapeId="0" xr:uid="{8A384160-3E5C-44A4-88F0-AA27BF984966}">
      <text>
        <t>[Threaded comment]
Your version of Excel allows you to read this threaded comment; however, any edits to it will get removed if the file is opened in a newer version of Excel. Learn more: https://go.microsoft.com/fwlink/?linkid=870924
Comment:
    User Assumption</t>
      </text>
    </comment>
    <comment ref="N12" authorId="10" shapeId="0" xr:uid="{625E155A-D92C-48CC-BFF3-17A6C7C2B19D}">
      <text>
        <t>[Threaded comment]
Your version of Excel allows you to read this threaded comment; however, any edits to it will get removed if the file is opened in a newer version of Excel. Learn more: https://go.microsoft.com/fwlink/?linkid=870924
Comment:
    Source: See Data Sources Tab</t>
      </text>
    </comment>
    <comment ref="C13" authorId="11" shapeId="0" xr:uid="{28923F86-6C7A-44B9-818B-1DA8C5382375}">
      <text>
        <t>[Threaded comment]
Your version of Excel allows you to read this threaded comment; however, any edits to it will get removed if the file is opened in a newer version of Excel. Learn more: https://go.microsoft.com/fwlink/?linkid=870924
Comment:
    Source: https://www.diva-portal.org/smash/get/diva2:742038/FULLTEXT01.pdf (Page 42)</t>
      </text>
    </comment>
    <comment ref="N13" authorId="12" shapeId="0" xr:uid="{06D481D9-5C63-48B0-821D-48A3D9D1E19E}">
      <text>
        <t>[Threaded comment]
Your version of Excel allows you to read this threaded comment; however, any edits to it will get removed if the file is opened in a newer version of Excel. Learn more: https://go.microsoft.com/fwlink/?linkid=870924
Comment:
    Assumes that equipment will be purchased and not leased</t>
      </text>
    </comment>
    <comment ref="C14" authorId="13" shapeId="0" xr:uid="{21047D4E-8B48-450C-B8DC-A3D36382D657}">
      <text>
        <t>[Threaded comment]
Your version of Excel allows you to read this threaded comment; however, any edits to it will get removed if the file is opened in a newer version of Excel. Learn more: https://go.microsoft.com/fwlink/?linkid=870924
Comment:
    Source: https://www.diva-portal.org/smash/get/diva2:742038/FULLTEXT01.pdf (Page 42)</t>
      </text>
    </comment>
    <comment ref="F14" authorId="14" shapeId="0" xr:uid="{854C7F86-2B94-4DC4-87DE-291A1E6F89D4}">
      <text>
        <t>[Threaded comment]
Your version of Excel allows you to read this threaded comment; however, any edits to it will get removed if the file is opened in a newer version of Excel. Learn more: https://go.microsoft.com/fwlink/?linkid=870924
Comment:
    User Assumption</t>
      </text>
    </comment>
    <comment ref="J14" authorId="15" shapeId="0" xr:uid="{E7F59B92-4536-4BF2-ADD9-0C47F121BB8D}">
      <text>
        <t>[Threaded comment]
Your version of Excel allows you to read this threaded comment; however, any edits to it will get removed if the file is opened in a newer version of Excel. Learn more: https://go.microsoft.com/fwlink/?linkid=870924
Comment:
    Source: See Data Sources Tab</t>
      </text>
    </comment>
    <comment ref="N14" authorId="16" shapeId="0" xr:uid="{B8CCB64E-8EF0-4B7C-85B2-C6E08445C15E}">
      <text>
        <t>[Threaded comment]
Your version of Excel allows you to read this threaded comment; however, any edits to it will get removed if the file is opened in a newer version of Excel. Learn more: https://go.microsoft.com/fwlink/?linkid=870924
Comment:
    User Assumption. Assuming same cost as Marketing</t>
      </text>
    </comment>
    <comment ref="C15" authorId="17" shapeId="0" xr:uid="{4EFCB820-F522-4B3A-A037-D49EF8D45685}">
      <text>
        <t>[Threaded comment]
Your version of Excel allows you to read this threaded comment; however, any edits to it will get removed if the file is opened in a newer version of Excel. Learn more: https://go.microsoft.com/fwlink/?linkid=870924
Comment:
    Source: https://www.diva-portal.org/smash/get/diva2:742038/FULLTEXT01.pdf (Page 42)</t>
      </text>
    </comment>
    <comment ref="F15" authorId="18" shapeId="0" xr:uid="{EBFFDCB1-0F41-494A-8E91-29C6BD32D552}">
      <text>
        <t>[Threaded comment]
Your version of Excel allows you to read this threaded comment; however, any edits to it will get removed if the file is opened in a newer version of Excel. Learn more: https://go.microsoft.com/fwlink/?linkid=870924
Comment:
    User Assumption</t>
      </text>
    </comment>
    <comment ref="N15" authorId="19" shapeId="0" xr:uid="{59A7A681-6F52-48AC-994F-59890B63F00B}">
      <text>
        <t>[Threaded comment]
Your version of Excel allows you to read this threaded comment; however, any edits to it will get removed if the file is opened in a newer version of Excel. Learn more: https://go.microsoft.com/fwlink/?linkid=870924
Comment:
    Source: https://www.business2community.com/marketing/how-much-should-you-spend-on-marketing-your-small-business-02316226 (Assuming Walmart figure)</t>
      </text>
    </comment>
    <comment ref="C16" authorId="20" shapeId="0" xr:uid="{F7FB0E6E-E253-4923-8CB3-E0D2BF1D058C}">
      <text>
        <t>[Threaded comment]
Your version of Excel allows you to read this threaded comment; however, any edits to it will get removed if the file is opened in a newer version of Excel. Learn more: https://go.microsoft.com/fwlink/?linkid=870924
Comment:
    Source: https://www.diva-portal.org/smash/get/diva2:742038/FULLTEXT01.pdf (Page 42)</t>
      </text>
    </comment>
    <comment ref="F16" authorId="21" shapeId="0" xr:uid="{CA1D34BA-B9C3-495F-B1DB-381D953A0743}">
      <text>
        <t>[Threaded comment]
Your version of Excel allows you to read this threaded comment; however, any edits to it will get removed if the file is opened in a newer version of Excel. Learn more: https://go.microsoft.com/fwlink/?linkid=870924
Comment:
    User Assumption</t>
      </text>
    </comment>
    <comment ref="N16" authorId="22" shapeId="0" xr:uid="{D477B04B-4BE1-4BDD-8086-726C99910504}">
      <text>
        <t>[Threaded comment]
Your version of Excel allows you to read this threaded comment; however, any edits to it will get removed if the file is opened in a newer version of Excel. Learn more: https://go.microsoft.com/fwlink/?linkid=870924
Comment:
    Source: https://www.justbusiness.com/starting-a-small-business/business-startup-costs</t>
      </text>
    </comment>
    <comment ref="C17" authorId="23" shapeId="0" xr:uid="{C9024984-BBAF-4FD3-9FE3-076FB0E041CF}">
      <text>
        <t>[Threaded comment]
Your version of Excel allows you to read this threaded comment; however, any edits to it will get removed if the file is opened in a newer version of Excel. Learn more: https://go.microsoft.com/fwlink/?linkid=870924
Comment:
    Source: https://www.diva-portal.org/smash/get/diva2:742038/FULLTEXT01.pdf (Page 42)</t>
      </text>
    </comment>
    <comment ref="J17" authorId="24" shapeId="0" xr:uid="{CC1F8F17-42EA-4031-BA9D-3430458F1A2A}">
      <text>
        <t>[Threaded comment]
Your version of Excel allows you to read this threaded comment; however, any edits to it will get removed if the file is opened in a newer version of Excel. Learn more: https://go.microsoft.com/fwlink/?linkid=870924
Comment:
    Source: "A Guide for the Development of Geothermal Direct – Use Projects in Tanzania" Pg 13</t>
      </text>
    </comment>
    <comment ref="N17" authorId="25" shapeId="0" xr:uid="{60489DAB-4528-4862-AA1C-DC9BD76127BB}">
      <text>
        <t>[Threaded comment]
Your version of Excel allows you to read this threaded comment; however, any edits to it will get removed if the file is opened in a newer version of Excel. Learn more: https://go.microsoft.com/fwlink/?linkid=870924
Comment:
    Source: https://www.indiamart.com/proddetail/plastic-packaging-bags-11059930655.html</t>
      </text>
    </comment>
    <comment ref="C18" authorId="26" shapeId="0" xr:uid="{7BE5B4ED-4A93-43EF-981C-5485A42DAB1F}">
      <text>
        <t>[Threaded comment]
Your version of Excel allows you to read this threaded comment; however, any edits to it will get removed if the file is opened in a newer version of Excel. Learn more: https://go.microsoft.com/fwlink/?linkid=870924
Comment:
    Source: https://www.diva-portal.org/smash/get/diva2:742038/FULLTEXT01.pdf (Page 42)</t>
      </text>
    </comment>
    <comment ref="C19" authorId="27" shapeId="0" xr:uid="{B94051F6-3B0D-4D97-937F-9CDABFEA5F4B}">
      <text>
        <t>[Threaded comment]
Your version of Excel allows you to read this threaded comment; however, any edits to it will get removed if the file is opened in a newer version of Excel. Learn more: https://go.microsoft.com/fwlink/?linkid=870924
Comment:
    Source: https://www.diva-portal.org/smash/get/diva2:742038/FULLTEXT01.pdf (Page 42)</t>
      </text>
    </comment>
    <comment ref="J19" authorId="28" shapeId="0" xr:uid="{1736CF4B-F2BE-4E94-B9DA-B7E2E300B74E}">
      <text>
        <t>[Threaded comment]
Your version of Excel allows you to read this threaded comment; however, any edits to it will get removed if the file is opened in a newer version of Excel. Learn more: https://go.microsoft.com/fwlink/?linkid=870924
Comment:
    User Assumption</t>
      </text>
    </comment>
    <comment ref="C20" authorId="29" shapeId="0" xr:uid="{675ADF4A-CDEB-47CA-BA50-D4EC7F325151}">
      <text>
        <t>[Threaded comment]
Your version of Excel allows you to read this threaded comment; however, any edits to it will get removed if the file is opened in a newer version of Excel. Learn more: https://go.microsoft.com/fwlink/?linkid=870924
Comment:
    Source: https://m.made-in-china,com/product/Dry-Fruits-Fully-Automatic-Packing-Machine-901463575.html</t>
      </text>
    </comment>
    <comment ref="G20" authorId="30" shapeId="0" xr:uid="{C5FE898A-816F-499A-B1D6-1BB9D9F34453}">
      <text>
        <t>[Threaded comment]
Your version of Excel allows you to read this threaded comment; however, any edits to it will get removed if the file is opened in a newer version of Excel. Learn more: https://go.microsoft.com/fwlink/?linkid=870924
Comment:
    User Assumption</t>
      </text>
    </comment>
    <comment ref="G21" authorId="31" shapeId="0" xr:uid="{17AF0D8D-147A-4740-B65A-5DE0DA1C1B94}">
      <text>
        <t>[Threaded comment]
Your version of Excel allows you to read this threaded comment; however, any edits to it will get removed if the file is opened in a newer version of Excel. Learn more: https://go.microsoft.com/fwlink/?linkid=870924
Comment:
    User Assumption</t>
      </text>
    </comment>
    <comment ref="N23" authorId="32" shapeId="0" xr:uid="{468CBD0C-6C59-4FC8-ADBE-303733FF7855}">
      <text>
        <t>[Threaded comment]
Your version of Excel allows you to read this threaded comment; however, any edits to it will get removed if the file is opened in a newer version of Excel. Learn more: https://go.microsoft.com/fwlink/?linkid=870924
Comment:
    User Assumption</t>
      </text>
    </comment>
    <comment ref="G25" authorId="33" shapeId="0" xr:uid="{B33C8AB5-A451-430C-BE34-AEDA00DD0EB0}">
      <text>
        <t>[Threaded comment]
Your version of Excel allows you to read this threaded comment; however, any edits to it will get removed if the file is opened in a newer version of Excel. Learn more: https://go.microsoft.com/fwlink/?linkid=870924
Comment:
    Source: https://www.diva-portal.org/smash/get/diva2:742038/FULLTEXT01.pdf (Page 37)</t>
      </text>
    </comment>
    <comment ref="G26" authorId="34" shapeId="0" xr:uid="{157670CB-3210-48EA-9C28-138B93B77ADA}">
      <text>
        <t>[Threaded comment]
Your version of Excel allows you to read this threaded comment; however, any edits to it will get removed if the file is opened in a newer version of Excel. Learn more: https://go.microsoft.com/fwlink/?linkid=870924
Comment:
    Source: https://www.diva-portal.org/smash/get/diva2:742038/FULLTEXT01.pdf (Page 37)</t>
      </text>
    </comment>
    <comment ref="G27" authorId="35" shapeId="0" xr:uid="{330ACB6E-B3C2-42CF-9319-9EE73A4162F0}">
      <text>
        <t>[Threaded comment]
Your version of Excel allows you to read this threaded comment; however, any edits to it will get removed if the file is opened in a newer version of Excel. Learn more: https://go.microsoft.com/fwlink/?linkid=870924
Comment:
    Source: https://www.diva-portal.org/smash/get/diva2:742038/FULLTEXT01.pdf (Page 37)</t>
      </text>
    </comment>
    <comment ref="N27" authorId="36" shapeId="0" xr:uid="{216E6C0D-4BF2-40D2-953A-3A3FD30862C9}">
      <text>
        <t>[Threaded comment]
Your version of Excel allows you to read this threaded comment; however, any edits to it will get removed if the file is opened in a newer version of Excel. Learn more: https://go.microsoft.com/fwlink/?linkid=870924
Comment:
    Source: See Data Sources Tab</t>
      </text>
    </comment>
    <comment ref="N28" authorId="37" shapeId="0" xr:uid="{4F2F6B6C-164F-423D-9A3D-A345D96C33C4}">
      <text>
        <t>[Threaded comment]
Your version of Excel allows you to read this threaded comment; however, any edits to it will get removed if the file is opened in a newer version of Excel. Learn more: https://go.microsoft.com/fwlink/?linkid=870924
Comment:
    Source: See Data Sources Tab</t>
      </text>
    </comment>
    <comment ref="N29" authorId="38" shapeId="0" xr:uid="{B1F45BB6-5677-44E1-87FF-EECF7CB0A147}">
      <text>
        <t>[Threaded comment]
Your version of Excel allows you to read this threaded comment; however, any edits to it will get removed if the file is opened in a newer version of Excel. Learn more: https://go.microsoft.com/fwlink/?linkid=870924
Comment:
    Source: See Data Sources Tab</t>
      </text>
    </comment>
    <comment ref="G30" authorId="39" shapeId="0" xr:uid="{AC230322-77F1-4655-9ECF-733DD3305053}">
      <text>
        <t>[Threaded comment]
Your version of Excel allows you to read this threaded comment; however, any edits to it will get removed if the file is opened in a newer version of Excel. Learn more: https://go.microsoft.com/fwlink/?linkid=870924
Comment:
    User Assumption</t>
      </text>
    </comment>
    <comment ref="N31" authorId="40" shapeId="0" xr:uid="{25BABDF7-9DA5-4FFF-818B-907D51C389A2}">
      <text>
        <t>[Threaded comment]
Your version of Excel allows you to read this threaded comment; however, any edits to it will get removed if the file is opened in a newer version of Excel. Learn more: https://go.microsoft.com/fwlink/?linkid=870924
Comment:
    Source: See Data Sources Tab</t>
      </text>
    </comment>
    <comment ref="C32" authorId="41" shapeId="0" xr:uid="{EE8BFBB2-F03B-4136-A15B-6347B7DBB476}">
      <text>
        <t>[Threaded comment]
Your version of Excel allows you to read this threaded comment; however, any edits to it will get removed if the file is opened in a newer version of Excel. Learn more: https://go.microsoft.com/fwlink/?linkid=870924
Comment:
    https://www.diva-portal.org/smash/get/diva2:742038/FULLTEXT01.pdf (Page 35)</t>
      </text>
    </comment>
    <comment ref="G32" authorId="42" shapeId="0" xr:uid="{7070C64B-BD07-4025-98ED-A4C47BADB34F}">
      <text>
        <t>[Threaded comment]
Your version of Excel allows you to read this threaded comment; however, any edits to it will get removed if the file is opened in a newer version of Excel. Learn more: https://go.microsoft.com/fwlink/?linkid=870924
Comment:
    Source: https://www.sintef.no/globalassets/project/drymeat/presentation2_fermentedmeat_bantle_dryingeconomics.pdf (Page 42)</t>
      </text>
    </comment>
    <comment ref="N32" authorId="43" shapeId="0" xr:uid="{033E7B40-E46A-4CCF-B5C5-9DE277CF3C5F}">
      <text>
        <t>[Threaded comment]
Your version of Excel allows you to read this threaded comment; however, any edits to it will get removed if the file is opened in a newer version of Excel. Learn more: https://go.microsoft.com/fwlink/?linkid=870924
Comment:
    Assuming sales reps/distributors are not on the payroll but get remunerated by price mark-ups</t>
      </text>
    </comment>
    <comment ref="C33" authorId="44" shapeId="0" xr:uid="{5CB487E6-BA80-495E-9900-F369DE07999E}">
      <text>
        <t>[Threaded comment]
Your version of Excel allows you to read this threaded comment; however, any edits to it will get removed if the file is opened in a newer version of Excel. Learn more: https://go.microsoft.com/fwlink/?linkid=870924
Comment:
    https://www.diva-portal.org/smash/get/diva2:742038/FULLTEXT01.pdf (Page 35)</t>
      </text>
    </comment>
    <comment ref="G33" authorId="45" shapeId="0" xr:uid="{81478D10-E704-440B-995D-9F4DB9A57529}">
      <text>
        <t>[Threaded comment]
Your version of Excel allows you to read this threaded comment; however, any edits to it will get removed if the file is opened in a newer version of Excel. Learn more: https://go.microsoft.com/fwlink/?linkid=870924
Comment:
    Source: https://www.sciencedirect.com/science/article/pii/S0301479720306629</t>
      </text>
    </comment>
    <comment ref="C34" authorId="46" shapeId="0" xr:uid="{1A21B747-EC94-4927-BB33-5F29F32BB7B6}">
      <text>
        <t>[Threaded comment]
Your version of Excel allows you to read this threaded comment; however, any edits to it will get removed if the file is opened in a newer version of Excel. Learn more: https://go.microsoft.com/fwlink/?linkid=870924
Comment:
    https://www.diva-portal.org/smash/get/diva2:742038/FULLTEXT01.pdf (Page 35)</t>
      </text>
    </comment>
    <comment ref="G34" authorId="47" shapeId="0" xr:uid="{66EAF266-E94D-4725-AED0-90FF6E12765D}">
      <text>
        <t>[Threaded comment]
Your version of Excel allows you to read this threaded comment; however, any edits to it will get removed if the file is opened in a newer version of Excel. Learn more: https://go.microsoft.com/fwlink/?linkid=870924
Comment:
    Source: https://academicjournals.org/journal/AJFS/article-full-text-pdf/AC3F66B49600</t>
      </text>
    </comment>
    <comment ref="C35" authorId="48" shapeId="0" xr:uid="{7FA57950-6AE9-440A-91FA-EC4DE104A25E}">
      <text>
        <t>[Threaded comment]
Your version of Excel allows you to read this threaded comment; however, any edits to it will get removed if the file is opened in a newer version of Excel. Learn more: https://go.microsoft.com/fwlink/?linkid=870924
Comment:
    https://www.diva-portal.org/smash/get/diva2:742038/FULLTEXT01.pdf (Page 38)</t>
      </text>
    </comment>
    <comment ref="G35" authorId="49" shapeId="0" xr:uid="{D57442CB-B6FF-460A-B8E3-73518562E4EC}">
      <text>
        <t>[Threaded comment]
Your version of Excel allows you to read this threaded comment; however, any edits to it will get removed if the file is opened in a newer version of Excel. Learn more: https://go.microsoft.com/fwlink/?linkid=870924
Comment:
    User Assumption</t>
      </text>
    </comment>
    <comment ref="C36" authorId="50" shapeId="0" xr:uid="{DBE79C0B-DF50-4754-B5FD-047571F53B9E}">
      <text>
        <t>[Threaded comment]
Your version of Excel allows you to read this threaded comment; however, any edits to it will get removed if the file is opened in a newer version of Excel. Learn more: https://go.microsoft.com/fwlink/?linkid=870924
Comment:
    https://www.diva-portal.org/smash/get/diva2:742038/FULLTEXT01.pdf (Page 38)</t>
      </text>
    </comment>
    <comment ref="C37" authorId="51" shapeId="0" xr:uid="{48AFC846-F94F-4DC7-B919-955E525AB354}">
      <text>
        <t>[Threaded comment]
Your version of Excel allows you to read this threaded comment; however, any edits to it will get removed if the file is opened in a newer version of Excel. Learn more: https://go.microsoft.com/fwlink/?linkid=870924
Comment:
    https://www.diva-portal.org/smash/get/diva2:742038/FULLTEXT01.pdf (Page 35)</t>
      </text>
    </comment>
    <comment ref="C38" authorId="52" shapeId="0" xr:uid="{C5776159-8C8D-42B7-8B05-9D67EBA919D3}">
      <text>
        <t>[Threaded comment]
Your version of Excel allows you to read this threaded comment; however, any edits to it will get removed if the file is opened in a newer version of Excel. Learn more: https://go.microsoft.com/fwlink/?linkid=870924
Comment:
    https://www.diva-portal.org/smash/get/diva2:742038/FULLTEXT01.pdf (Page 35,38)</t>
      </text>
    </comment>
    <comment ref="G38" authorId="53" shapeId="0" xr:uid="{25A4B844-FFC6-4FF4-86D9-468529D74B98}">
      <text>
        <t>[Threaded comment]
Your version of Excel allows you to read this threaded comment; however, any edits to it will get removed if the file is opened in a newer version of Excel. Learn more: https://go.microsoft.com/fwlink/?linkid=870924
Comment:
    Source: https://www.sciencedirect.com/science/article/pii/S0301479720306629 (The assumed dryer has a max 1-ton per batch capacity)</t>
      </text>
    </comment>
    <comment ref="M38" authorId="54" shapeId="0" xr:uid="{4EB93B88-1EC4-44E3-AC2B-97F39D4777A7}">
      <text>
        <t>[Threaded comment]
Your version of Excel allows you to read this threaded comment; however, any edits to it will get removed if the file is opened in a newer version of Excel. Learn more: https://go.microsoft.com/fwlink/?linkid=870924
Comment:
    User Assumption</t>
      </text>
    </comment>
    <comment ref="M39" authorId="55" shapeId="0" xr:uid="{F126F3FC-2DA0-41AA-AA55-93ADCBB501BB}">
      <text>
        <t>[Threaded comment]
Your version of Excel allows you to read this threaded comment; however, any edits to it will get removed if the file is opened in a newer version of Excel. Learn more: https://go.microsoft.com/fwlink/?linkid=870924
Comment:
    http://projects.nri.org/nret/fruitnil.pdf Fruit of the Nile also had only 5 FTEs at some point, although the firm only inspects, sorts, packs and exports.</t>
      </text>
    </comment>
    <comment ref="G40" authorId="56" shapeId="0" xr:uid="{223E3916-39DD-4410-A1D6-043F4C494CCA}">
      <text>
        <t>[Threaded comment]
Your version of Excel allows you to read this threaded comment; however, any edits to it will get removed if the file is opened in a newer version of Excel. Learn more: https://go.microsoft.com/fwlink/?linkid=870924
Comment:
    User Assumption</t>
      </text>
    </comment>
    <comment ref="M40" authorId="57" shapeId="0" xr:uid="{20035FE3-0070-41F6-A6EA-9065016AAD28}">
      <text>
        <t>[Threaded comment]
Your version of Excel allows you to read this threaded comment; however, any edits to it will get removed if the file is opened in a newer version of Excel. Learn more: https://go.microsoft.com/fwlink/?linkid=870924
Comment:
    User Assumption</t>
      </text>
    </comment>
    <comment ref="G41" authorId="58" shapeId="0" xr:uid="{A3D4E9E9-FB59-4EBA-A9D2-C0C955DFC9EE}">
      <text>
        <t>[Threaded comment]
Your version of Excel allows you to read this threaded comment; however, any edits to it will get removed if the file is opened in a newer version of Excel. Learn more: https://go.microsoft.com/fwlink/?linkid=870924
Comment:
    User Assumption</t>
      </text>
    </comment>
    <comment ref="M41" authorId="59" shapeId="0" xr:uid="{C1A5FD72-5AAB-4F3F-9700-B2480680A715}">
      <text>
        <t>[Threaded comment]
Your version of Excel allows you to read this threaded comment; however, any edits to it will get removed if the file is opened in a newer version of Excel. Learn more: https://go.microsoft.com/fwlink/?linkid=870924
Comment:
    User Assumption
Also see: https://www.thenewsminute.com/article/karnataka-increases-workday-factories-eight-10-hours-day-125110</t>
      </text>
    </comment>
    <comment ref="C42" authorId="60" shapeId="0" xr:uid="{7A620E58-903C-4DC5-B437-563A3A314C32}">
      <text>
        <t>[Threaded comment]
Your version of Excel allows you to read this threaded comment; however, any edits to it will get removed if the file is opened in a newer version of Excel. Learn more: https://go.microsoft.com/fwlink/?linkid=870924
Comment:
    https://www.diva-portal.org/smash/get/diva2:742038/FULLTEXT01.pdf (Page 36)</t>
      </text>
    </comment>
    <comment ref="M42" authorId="61" shapeId="0" xr:uid="{1D7EE924-DF51-40BB-826A-5F4C90084990}">
      <text>
        <t>[Threaded comment]
Your version of Excel allows you to read this threaded comment; however, any edits to it will get removed if the file is opened in a newer version of Excel. Learn more: https://go.microsoft.com/fwlink/?linkid=870924
Comment:
    User Assumption</t>
      </text>
    </comment>
    <comment ref="C43" authorId="62" shapeId="0" xr:uid="{61F5DEA2-EE55-4242-837C-86A36F4C5F77}">
      <text>
        <t>[Threaded comment]
Your version of Excel allows you to read this threaded comment; however, any edits to it will get removed if the file is opened in a newer version of Excel. Learn more: https://go.microsoft.com/fwlink/?linkid=870924
Comment:
    https://www.diva-portal.org/smash/get/diva2:742038/FULLTEXT01.pdf (Page 36)</t>
      </text>
    </comment>
    <comment ref="M43" authorId="63" shapeId="0" xr:uid="{E13A3EB0-141E-4443-BB9D-9BB5C2DBD35F}">
      <text>
        <t>[Threaded comment]
Your version of Excel allows you to read this threaded comment; however, any edits to it will get removed if the file is opened in a newer version of Excel. Learn more: https://go.microsoft.com/fwlink/?linkid=870924
Comment:
    User Assumption</t>
      </text>
    </comment>
    <comment ref="C45" authorId="64" shapeId="0" xr:uid="{383D52E0-AA71-441D-8EE9-63B687960D72}">
      <text>
        <t>[Threaded comment]
Your version of Excel allows you to read this threaded comment; however, any edits to it will get removed if the file is opened in a newer version of Excel. Learn more: https://go.microsoft.com/fwlink/?linkid=870924
Comment:
    Source: https://www.diva-portal.org/smash/get/diva2:742038/FULLTEXT01.pdf (Page 36)</t>
      </text>
    </comment>
    <comment ref="C46" authorId="65" shapeId="0" xr:uid="{E0CFB72E-82CA-4C22-9F2F-EC82621BAAB1}">
      <text>
        <t>[Threaded comment]
Your version of Excel allows you to read this threaded comment; however, any edits to it will get removed if the file is opened in a newer version of Excel. Learn more: https://go.microsoft.com/fwlink/?linkid=870924
Comment:
    https://www.diva-portal.org/smash/get/diva2:742038/FULLTEXT01.pdf (Page 37)</t>
      </text>
    </comment>
    <comment ref="C47" authorId="66" shapeId="0" xr:uid="{ED727C58-ED4E-4BEF-9B61-5113784774E6}">
      <text>
        <t>[Threaded comment]
Your version of Excel allows you to read this threaded comment; however, any edits to it will get removed if the file is opened in a newer version of Excel. Learn more: https://go.microsoft.com/fwlink/?linkid=870924
Comment:
    https://www.diva-portal.org/smash/get/diva2:742038/FULLTEXT01.pdf (Page 37) (Different from source doc because it is assumed that the station will not run for 24hrs per day, all year)</t>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tc={38073A58-986E-4855-9964-8FE8F650E6BD}</author>
    <author>tc={C73AA4AA-167B-4D12-A115-4E2B26B17F3A}</author>
    <author>tc={71F98C81-5809-4F6D-BF75-4D5863997E05}</author>
    <author>tc={3D068821-7CCB-41DE-AB6F-E08F49C9167C}</author>
    <author>tc={A97FDEB0-10E1-4130-9381-F9842557CBEF}</author>
    <author>tc={85F7219D-7EBC-4B92-A700-E77D6790D139}</author>
    <author>Koye</author>
    <author>tc={3E389B8C-4007-46BC-8528-44E85F944881}</author>
    <author>tc={D7964819-67CD-40C1-9269-76A967A23C59}</author>
    <author>tc={B19ECF3E-8A1E-43C1-B6BC-273289710A1E}</author>
    <author>tc={5B66A56D-C7C2-48EB-9DFF-B303F2F46C75}</author>
    <author>tc={55E38D09-BD49-49F8-BCB4-914856DA29A4}</author>
    <author/>
    <author>tc={6806FC06-9C8F-47A8-97CE-0F8D9C9A70FB}</author>
    <author>tc={1DA941C3-3834-4D3A-A5A1-8D7D215DC2C6}</author>
    <author>tc={20891ED2-A174-4E65-9D57-2ADC1080B843}</author>
    <author>tc={B4C4435B-F87A-424C-BCAE-A66A05C7C9EC}</author>
    <author>tc={638AD4F5-FE71-4169-BB7B-EF49880440F9}</author>
    <author>tc={E425C81C-60DD-4D67-8BF2-FABD3614B666}</author>
    <author>tc={84257387-67CE-4245-A3C5-186FB3DFA7FE}</author>
    <author>tc={8B34B202-498B-4FB2-9A04-3C2EBA7084F5}</author>
    <author>tc={14E264A8-90B6-47ED-A5BF-FAD54597DE11}</author>
    <author>tc={24F9D1B5-C446-4CF4-A7F9-6D4358EDA44C}</author>
    <author>tc={5CF58936-0F10-42A1-AA2D-CA691A1066C8}</author>
    <author>tc={5990116F-B4A2-490F-9CE6-AF6741E86555}</author>
    <author>tc={D3F82666-E004-468C-A745-E68E974D697B}</author>
    <author>tc={7E2CE01A-C74A-40B8-A31B-717939D75BA5}</author>
    <author>tc={F3EF0981-2419-43AE-AA77-FEC22B1BF389}</author>
    <author>tc={4A64C4FF-1970-4F6B-AFA2-8DE0F5F837AE}</author>
    <author>tc={82B1C2BC-E3DF-47D6-8D6F-E615D42B0F5D}</author>
    <author>tc={6C38A4D7-E9A8-4AA1-8369-B2A7EEE67BEC}</author>
    <author>tc={0A1B8901-B512-4AC7-8510-053EFFD91AC0}</author>
    <author>tc={2906D70D-B98C-4C1F-8174-39D22F21D2B9}</author>
    <author>tc={E3636535-180F-48B7-97F6-5BA9116A2C0B}</author>
    <author>tc={30338108-D697-47DF-A4AB-EB4EB1D81D0D}</author>
    <author>tc={9BF64C23-0154-451D-9A0F-50DE7F6771C4}</author>
    <author>tc={AE027743-4EF6-4856-9995-C4A315BFF8F4}</author>
  </authors>
  <commentList>
    <comment ref="M4" authorId="0" shapeId="0" xr:uid="{38073A58-986E-4855-9964-8FE8F650E6BD}">
      <text>
        <t>[Threaded comment]
Your version of Excel allows you to read this threaded comment; however, any edits to it will get removed if the file is opened in a newer version of Excel. Learn more: https://go.microsoft.com/fwlink/?linkid=870924
Comment:
    User Assumption. Assuming same cost as fuel oil/gas fired hatcheries</t>
      </text>
    </comment>
    <comment ref="N4" authorId="1" shapeId="0" xr:uid="{C73AA4AA-167B-4D12-A115-4E2B26B17F3A}">
      <text>
        <t>[Threaded comment]
Your version of Excel allows you to read this threaded comment; however, any edits to it will get removed if the file is opened in a newer version of Excel. Learn more: https://go.microsoft.com/fwlink/?linkid=870924
Comment:
    User Assumption. https://www.rvo.nl/sites/default/files/2020/12/201204%20SVC%20Hatching%20Eggs.pdf (Page 6)</t>
      </text>
    </comment>
    <comment ref="O4" authorId="2" shapeId="0" xr:uid="{71F98C81-5809-4F6D-BF75-4D5863997E05}">
      <text>
        <t>[Threaded comment]
Your version of Excel allows you to read this threaded comment; however, any edits to it will get removed if the file is opened in a newer version of Excel. Learn more: https://go.microsoft.com/fwlink/?linkid=870924
Comment:
    Based on model assumption</t>
      </text>
    </comment>
    <comment ref="M5" authorId="3" shapeId="0" xr:uid="{3D068821-7CCB-41DE-AB6F-E08F49C9167C}">
      <text>
        <t>[Threaded comment]
Your version of Excel allows you to read this threaded comment; however, any edits to it will get removed if the file is opened in a newer version of Excel. Learn more: https://go.microsoft.com/fwlink/?linkid=870924
Comment:
    User Assumption. Assuming same value as fuel oil/gas-fired hatcheries</t>
      </text>
    </comment>
    <comment ref="N5" authorId="4" shapeId="0" xr:uid="{A97FDEB0-10E1-4130-9381-F9842557CBEF}">
      <text>
        <t>[Threaded comment]
Your version of Excel allows you to read this threaded comment; however, any edits to it will get removed if the file is opened in a newer version of Excel. Learn more: https://go.microsoft.com/fwlink/?linkid=870924
Comment:
    Source: https://escholarship.org/content/qt76b25769/qt76b25769_noSplash_ba25f2daf2d92c0e6521ee2432d2873a.pdf?t=krn80d (Page 100)</t>
      </text>
    </comment>
    <comment ref="O5" authorId="5" shapeId="0" xr:uid="{85F7219D-7EBC-4B92-A700-E77D6790D139}">
      <text>
        <t>[Threaded comment]
Your version of Excel allows you to read this threaded comment; however, any edits to it will get removed if the file is opened in a newer version of Excel. Learn more: https://go.microsoft.com/fwlink/?linkid=870924
Comment:
    Based on model assumption</t>
      </text>
    </comment>
    <comment ref="G6" authorId="6" shapeId="0" xr:uid="{64A2801F-29FA-48D1-AD33-235E31BD81F7}">
      <text>
        <r>
          <rPr>
            <b/>
            <sz val="9"/>
            <color indexed="81"/>
            <rFont val="Tahoma"/>
            <family val="2"/>
          </rPr>
          <t>Commercial Operation Date</t>
        </r>
      </text>
    </comment>
    <comment ref="J7" authorId="7" shapeId="0" xr:uid="{3E389B8C-4007-46BC-8528-44E85F944881}">
      <text>
        <t>[Threaded comment]
Your version of Excel allows you to read this threaded comment; however, any edits to it will get removed if the file is opened in a newer version of Excel. Learn more: https://go.microsoft.com/fwlink/?linkid=870924
Comment:
    Source: See Data Sources Tab</t>
      </text>
    </comment>
    <comment ref="M7" authorId="8" shapeId="0" xr:uid="{D7964819-67CD-40C1-9269-76A967A23C59}">
      <text>
        <t>[Threaded comment]
Your version of Excel allows you to read this threaded comment; however, any edits to it will get removed if the file is opened in a newer version of Excel. Learn more: https://go.microsoft.com/fwlink/?linkid=870924
Comment:
    Based on Model Calculation</t>
      </text>
    </comment>
    <comment ref="N7" authorId="9" shapeId="0" xr:uid="{B19ECF3E-8A1E-43C1-B6BC-273289710A1E}">
      <text>
        <t>[Threaded comment]
Your version of Excel allows you to read this threaded comment; however, any edits to it will get removed if the file is opened in a newer version of Excel. Learn more: https://go.microsoft.com/fwlink/?linkid=870924
Comment:
    Based on Model Calculation</t>
      </text>
    </comment>
    <comment ref="O7" authorId="10" shapeId="0" xr:uid="{5B66A56D-C7C2-48EB-9DFF-B303F2F46C75}">
      <text>
        <t>[Threaded comment]
Your version of Excel allows you to read this threaded comment; however, any edits to it will get removed if the file is opened in a newer version of Excel. Learn more: https://go.microsoft.com/fwlink/?linkid=870924
Comment:
    Based on Model Calculation</t>
      </text>
    </comment>
    <comment ref="M8" authorId="11" shapeId="0" xr:uid="{55E38D09-BD49-49F8-BCB4-914856DA29A4}">
      <text>
        <t>[Threaded comment]
Your version of Excel allows you to read this threaded comment; however, any edits to it will get removed if the file is opened in a newer version of Excel. Learn more: https://go.microsoft.com/fwlink/?linkid=870924
Comment:
    Source: http://large.stanford.edu/courses/2017/ph240/timcheck1/docs/fao-krajnc-2015.pdf (pg 15)</t>
      </text>
    </comment>
    <comment ref="N8" authorId="12" shapeId="0" xr:uid="{BA8B4F6A-6099-4F4A-8B17-DA312A530B8F}">
      <text>
        <r>
          <rPr>
            <sz val="10"/>
            <color rgb="FF000000"/>
            <rFont val="Arial"/>
            <family val="2"/>
          </rPr>
          <t>qty of gas required in m3 (total heat required in kJ / energy content in kJ/m3) * 0.8 kg/m3 * price of gas in Kenya (Ksh/kg) * USD exchange rate
natural gas: 1m3 = 36 MJ = 36,000 kJ
http://large.stanford.edu/courses/2017/ph240/timcheck1/docs/fao-krajnc-2015.pdf
1m3 = 0.7-0.9 kg (assumed 0.8 kg)
https://onlineconversion.vbulletin.net/forum/main-forums/convert-and-calculate/14631-natural-gas-conversion-kg-to-cubic-meter
approx. 1 kg = Kshs 173 - 183 (assumed Kshs 178)
https://www.total.co.ke/products/total-gas/total-gas-prices-cylinders-accessories
	-Ezinne Okafor</t>
        </r>
      </text>
    </comment>
    <comment ref="J10" authorId="13" shapeId="0" xr:uid="{6806FC06-9C8F-47A8-97CE-0F8D9C9A70FB}">
      <text>
        <t>[Threaded comment]
Your version of Excel allows you to read this threaded comment; however, any edits to it will get removed if the file is opened in a newer version of Excel. Learn more: https://go.microsoft.com/fwlink/?linkid=870924
Comment:
    Source: "A Guide for the Development of Geothermal Direct – Use Projects in Tanzania" Pg 13</t>
      </text>
    </comment>
    <comment ref="M10" authorId="14" shapeId="0" xr:uid="{1DA941C3-3834-4D3A-A5A1-8D7D215DC2C6}">
      <text>
        <t>[Threaded comment]
Your version of Excel allows you to read this threaded comment; however, any edits to it will get removed if the file is opened in a newer version of Excel. Learn more: https://go.microsoft.com/fwlink/?linkid=870924
Comment:
    See Model Data Sources Tab</t>
      </text>
    </comment>
    <comment ref="N10" authorId="15" shapeId="0" xr:uid="{20891ED2-A174-4E65-9D57-2ADC1080B843}">
      <text>
        <t>[Threaded comment]
Your version of Excel allows you to read this threaded comment; however, any edits to it will get removed if the file is opened in a newer version of Excel. Learn more: https://go.microsoft.com/fwlink/?linkid=870924
Comment:
    Source: See Fuel Data Tab</t>
      </text>
    </comment>
    <comment ref="J12" authorId="16" shapeId="0" xr:uid="{B4C4435B-F87A-424C-BCAE-A66A05C7C9EC}">
      <text>
        <t>[Threaded comment]
Your version of Excel allows you to read this threaded comment; however, any edits to it will get removed if the file is opened in a newer version of Excel. Learn more: https://go.microsoft.com/fwlink/?linkid=870924
Comment:
    User Assumption</t>
      </text>
    </comment>
    <comment ref="M12" authorId="17" shapeId="0" xr:uid="{638AD4F5-FE71-4169-BB7B-EF49880440F9}">
      <text>
        <t>[Threaded comment]
Your version of Excel allows you to read this threaded comment; however, any edits to it will get removed if the file is opened in a newer version of Excel. Learn more: https://go.microsoft.com/fwlink/?linkid=870924
Comment:
    Based on model assumption</t>
      </text>
    </comment>
    <comment ref="N12" authorId="18" shapeId="0" xr:uid="{E425C81C-60DD-4D67-8BF2-FABD3614B666}">
      <text>
        <t>[Threaded comment]
Your version of Excel allows you to read this threaded comment; however, any edits to it will get removed if the file is opened in a newer version of Excel. Learn more: https://go.microsoft.com/fwlink/?linkid=870924
Comment:
    Based on model assumption</t>
      </text>
    </comment>
    <comment ref="O12" authorId="19" shapeId="0" xr:uid="{84257387-67CE-4245-A3C5-186FB3DFA7FE}">
      <text>
        <t>[Threaded comment]
Your version of Excel allows you to read this threaded comment; however, any edits to it will get removed if the file is opened in a newer version of Excel. Learn more: https://go.microsoft.com/fwlink/?linkid=870924
Comment:
    Based on model assumption</t>
      </text>
    </comment>
    <comment ref="C13" authorId="20" shapeId="0" xr:uid="{8B34B202-498B-4FB2-9A04-3C2EBA7084F5}">
      <text>
        <t>[Threaded comment]
Your version of Excel allows you to read this threaded comment; however, any edits to it will get removed if the file is opened in a newer version of Excel. Learn more: https://go.microsoft.com/fwlink/?linkid=870924
Comment:
    Source: https://www.diva-portal.org/smash/get/diva2:742038/FULLTEXT01.pdf (Page 42) (Assuming one unit is needed per dryer)</t>
      </text>
    </comment>
    <comment ref="C14" authorId="21" shapeId="0" xr:uid="{14E264A8-90B6-47ED-A5BF-FAD54597DE11}">
      <text>
        <t>[Threaded comment]
Your version of Excel allows you to read this threaded comment; however, any edits to it will get removed if the file is opened in a newer version of Excel. Learn more: https://go.microsoft.com/fwlink/?linkid=870924
Comment:
    Source: https://www.diva-portal.org/smash/get/diva2:742038/FULLTEXT01.pdf (Page 42)</t>
      </text>
    </comment>
    <comment ref="F14" authorId="22" shapeId="0" xr:uid="{24F9D1B5-C446-4CF4-A7F9-6D4358EDA44C}">
      <text>
        <t>[Threaded comment]
Your version of Excel allows you to read this threaded comment; however, any edits to it will get removed if the file is opened in a newer version of Excel. Learn more: https://go.microsoft.com/fwlink/?linkid=870924
Comment:
    User Assumption</t>
      </text>
    </comment>
    <comment ref="C15" authorId="23" shapeId="0" xr:uid="{5CF58936-0F10-42A1-AA2D-CA691A1066C8}">
      <text>
        <t>[Threaded comment]
Your version of Excel allows you to read this threaded comment; however, any edits to it will get removed if the file is opened in a newer version of Excel. Learn more: https://go.microsoft.com/fwlink/?linkid=870924
Comment:
    Source: https://www.diva-portal.org/smash/get/diva2:742038/FULLTEXT01.pdf (Page 42)</t>
      </text>
    </comment>
    <comment ref="F15" authorId="24" shapeId="0" xr:uid="{5990116F-B4A2-490F-9CE6-AF6741E86555}">
      <text>
        <t>[Threaded comment]
Your version of Excel allows you to read this threaded comment; however, any edits to it will get removed if the file is opened in a newer version of Excel. Learn more: https://go.microsoft.com/fwlink/?linkid=870924
Comment:
    User Assumption</t>
      </text>
    </comment>
    <comment ref="C16" authorId="25" shapeId="0" xr:uid="{D3F82666-E004-468C-A745-E68E974D697B}">
      <text>
        <t>[Threaded comment]
Your version of Excel allows you to read this threaded comment; however, any edits to it will get removed if the file is opened in a newer version of Excel. Learn more: https://go.microsoft.com/fwlink/?linkid=870924
Comment:
    Source: https://www.diva-portal.org/smash/get/diva2:742038/FULLTEXT01.pdf (Page 42)</t>
      </text>
    </comment>
    <comment ref="F16" authorId="26" shapeId="0" xr:uid="{7E2CE01A-C74A-40B8-A31B-717939D75BA5}">
      <text>
        <t>[Threaded comment]
Your version of Excel allows you to read this threaded comment; however, any edits to it will get removed if the file is opened in a newer version of Excel. Learn more: https://go.microsoft.com/fwlink/?linkid=870924
Comment:
    User Assumption</t>
      </text>
    </comment>
    <comment ref="G20" authorId="27" shapeId="0" xr:uid="{F3EF0981-2419-43AE-AA77-FEC22B1BF389}">
      <text>
        <t>[Threaded comment]
Your version of Excel allows you to read this threaded comment; however, any edits to it will get removed if the file is opened in a newer version of Excel. Learn more: https://go.microsoft.com/fwlink/?linkid=870924
Comment:
    User Assumption</t>
      </text>
    </comment>
    <comment ref="G21" authorId="28" shapeId="0" xr:uid="{4A64C4FF-1970-4F6B-AFA2-8DE0F5F837AE}">
      <text>
        <t>[Threaded comment]
Your version of Excel allows you to read this threaded comment; however, any edits to it will get removed if the file is opened in a newer version of Excel. Learn more: https://go.microsoft.com/fwlink/?linkid=870924
Comment:
    User Assumption</t>
      </text>
    </comment>
    <comment ref="G25" authorId="29" shapeId="0" xr:uid="{82B1C2BC-E3DF-47D6-8D6F-E615D42B0F5D}">
      <text>
        <t>[Threaded comment]
Your version of Excel allows you to read this threaded comment; however, any edits to it will get removed if the file is opened in a newer version of Excel. Learn more: https://go.microsoft.com/fwlink/?linkid=870924
Comment:
    Source: Local Expert</t>
      </text>
    </comment>
    <comment ref="G27" authorId="30" shapeId="0" xr:uid="{6C38A4D7-E9A8-4AA1-8369-B2A7EEE67BEC}">
      <text>
        <t>[Threaded comment]
Your version of Excel allows you to read this threaded comment; however, any edits to it will get removed if the file is opened in a newer version of Excel. Learn more: https://go.microsoft.com/fwlink/?linkid=870924
Comment:
    Source: http://www.fao.org/3/i3531e/i3531e.pdf (Page 35)</t>
      </text>
    </comment>
    <comment ref="G29" authorId="31" shapeId="0" xr:uid="{0A1B8901-B512-4AC7-8510-053EFFD91AC0}">
      <text>
        <t>[Threaded comment]
Your version of Excel allows you to read this threaded comment; however, any edits to it will get removed if the file is opened in a newer version of Excel. Learn more: https://go.microsoft.com/fwlink/?linkid=870924
Comment:
    User Assumption</t>
      </text>
    </comment>
    <comment ref="G30" authorId="32" shapeId="0" xr:uid="{2906D70D-B98C-4C1F-8174-39D22F21D2B9}">
      <text>
        <t>[Threaded comment]
Your version of Excel allows you to read this threaded comment; however, any edits to it will get removed if the file is opened in a newer version of Excel. Learn more: https://go.microsoft.com/fwlink/?linkid=870924
Comment:
    User Assumption</t>
      </text>
    </comment>
    <comment ref="G31" authorId="33" shapeId="0" xr:uid="{E3636535-180F-48B7-97F6-5BA9116A2C0B}">
      <text>
        <t>[Threaded comment]
Your version of Excel allows you to read this threaded comment; however, any edits to it will get removed if the file is opened in a newer version of Excel. Learn more: https://go.microsoft.com/fwlink/?linkid=870924
Comment:
    User Assumption</t>
      </text>
    </comment>
    <comment ref="G34" authorId="34" shapeId="0" xr:uid="{30338108-D697-47DF-A4AB-EB4EB1D81D0D}">
      <text>
        <t>[Threaded comment]
Your version of Excel allows you to read this threaded comment; however, any edits to it will get removed if the file is opened in a newer version of Excel. Learn more: https://go.microsoft.com/fwlink/?linkid=870924
Comment:
    User Assumption</t>
      </text>
    </comment>
    <comment ref="G35" authorId="35" shapeId="0" xr:uid="{9BF64C23-0154-451D-9A0F-50DE7F6771C4}">
      <text>
        <t>[Threaded comment]
Your version of Excel allows you to read this threaded comment; however, any edits to it will get removed if the file is opened in a newer version of Excel. Learn more: https://go.microsoft.com/fwlink/?linkid=870924
Comment:
    Source: Local Kenyan Expert</t>
      </text>
    </comment>
    <comment ref="G37" authorId="36" shapeId="0" xr:uid="{AE027743-4EF6-4856-9995-C4A315BFF8F4}">
      <text>
        <t>[Threaded comment]
Your version of Excel allows you to read this threaded comment; however, any edits to it will get removed if the file is opened in a newer version of Excel. Learn more: https://go.microsoft.com/fwlink/?linkid=870924
Comment:
    Source: https://ageconsearch.umn.edu/record/307636/files/aer354.pdf (pg 29)</t>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tc={5F7DB0B6-4F67-427E-A596-CA91BD2C8BEF}</author>
    <author>tc={C0C1B37F-749D-4E16-80A4-5CDA06D91E1B}</author>
    <author>tc={F7A5BE3B-0F98-429C-ABA0-05679616D2B4}</author>
    <author>tc={4A5C440B-A8E9-4810-9FF0-97F2D2C5615D}</author>
    <author>tc={26C474E9-DC14-46C3-BB59-671C909EC2ED}</author>
    <author>tc={BF59EC48-C969-43E3-8519-6730FFC54076}</author>
    <author>Koye</author>
    <author>tc={6931B1AE-48A3-4430-91F2-8476B81AB299}</author>
    <author>tc={CC379BB3-436C-4EF8-A798-61E0FC8E6FC4}</author>
    <author>tc={6A11E21D-B566-468E-8861-D107505AE099}</author>
    <author>tc={92EAF5FA-2E07-43B1-8FD0-B5676F7CA2D4}</author>
    <author>tc={FA116039-0CAE-45AC-BF58-5AF099E98AA2}</author>
    <author>tc={556546A0-3625-4AC3-8057-1D669CA0FE06}</author>
    <author>tc={E6DE6B82-8E56-4462-A138-7D3E0F489206}</author>
    <author>tc={1E87191E-4E00-4D82-9543-CA18D8CBD1DC}</author>
    <author>tc={772218CE-CCB4-49F9-B156-B59F734670E5}</author>
    <author>tc={823BFAD6-5DCE-4D59-9E0D-8EBFAEDE4D9F}</author>
    <author>tc={0E765697-DBBB-499D-AC4F-CEB92949A53D}</author>
    <author>tc={55D80645-CA02-4486-AD60-CE37E6022D8F}</author>
    <author>tc={723A97BC-8DB4-4C92-A1FF-551C9A67DD24}</author>
    <author>tc={DFBB3804-F920-42CE-AA59-982DBB1FDAA3}</author>
    <author>tc={5F887793-5474-404D-8EE2-B584FE36DD42}</author>
    <author>tc={0468197E-73B0-429B-B71D-E3DB740D03A9}</author>
    <author>tc={A123EAC5-F8FC-4628-8AA5-F41329F896B8}</author>
    <author>tc={24CF9F5A-8A74-4CCB-8D90-EF27D651369E}</author>
    <author>tc={F5C64C70-1907-4305-B23E-33AB46AD0790}</author>
    <author>tc={E5A019F2-B5EE-4C6E-871B-CE27E72088C3}</author>
    <author>tc={904ACE9C-88D8-49DB-860A-7CEBFF0BF2EA}</author>
    <author>tc={28371BAA-72AA-4054-AD52-CD141A6EA462}</author>
    <author>tc={52B8F64D-36F4-4505-B222-F382291AFC21}</author>
    <author>tc={2F5DE2C6-070E-429A-8CBD-53956A843BE9}</author>
    <author>tc={21EB90E0-8E7B-4E2A-B299-2058948D550D}</author>
    <author>tc={B0D3454D-F0DF-4F53-9EDF-259A56C5AB81}</author>
    <author>tc={3F6F1DCF-C2BF-4F90-9CD4-AD464D523ECF}</author>
  </authors>
  <commentList>
    <comment ref="M4" authorId="0" shapeId="0" xr:uid="{5F7DB0B6-4F67-427E-A596-CA91BD2C8BEF}">
      <text>
        <t>[Threaded comment]
Your version of Excel allows you to read this threaded comment; however, any edits to it will get removed if the file is opened in a newer version of Excel. Learn more: https://go.microsoft.com/fwlink/?linkid=870924
Comment:
    Source: https://www.alibaba.com/showroom/industrial-boiler-price.html</t>
      </text>
    </comment>
    <comment ref="N4" authorId="1" shapeId="0" xr:uid="{C0C1B37F-749D-4E16-80A4-5CDA06D91E1B}">
      <text>
        <t>[Threaded comment]
Your version of Excel allows you to read this threaded comment; however, any edits to it will get removed if the file is opened in a newer version of Excel. Learn more: https://go.microsoft.com/fwlink/?linkid=870924
Comment:
    Source: https://www.alibaba.com/showroom/industrial-boiler-price.html</t>
      </text>
    </comment>
    <comment ref="O4" authorId="2" shapeId="0" xr:uid="{F7A5BE3B-0F98-429C-ABA0-05679616D2B4}">
      <text>
        <t>[Threaded comment]
Your version of Excel allows you to read this threaded comment; however, any edits to it will get removed if the file is opened in a newer version of Excel. Learn more: https://go.microsoft.com/fwlink/?linkid=870924
Comment:
    Based on model assumption</t>
      </text>
    </comment>
    <comment ref="M5" authorId="3" shapeId="0" xr:uid="{4A5C440B-A8E9-4810-9FF0-97F2D2C5615D}">
      <text>
        <t>[Threaded comment]
Your version of Excel allows you to read this threaded comment; however, any edits to it will get removed if the file is opened in a newer version of Excel. Learn more: https://go.microsoft.com/fwlink/?linkid=870924
Comment:
    Source: https://escholarship.org/content/qt76b25769/qt76b25769_noSplash_ba25f2daf2d92c0e6521ee2432d2873a.pdf?t=krn80d (Page 100)</t>
      </text>
    </comment>
    <comment ref="N5" authorId="4" shapeId="0" xr:uid="{26C474E9-DC14-46C3-BB59-671C909EC2ED}">
      <text>
        <t>[Threaded comment]
Your version of Excel allows you to read this threaded comment; however, any edits to it will get removed if the file is opened in a newer version of Excel. Learn more: https://go.microsoft.com/fwlink/?linkid=870924
Comment:
    Source: https://escholarship.org/content/qt76b25769/qt76b25769_noSplash_ba25f2daf2d92c0e6521ee2432d2873a.pdf?t=krn80d (Page 100)</t>
      </text>
    </comment>
    <comment ref="O5" authorId="5" shapeId="0" xr:uid="{BF59EC48-C969-43E3-8519-6730FFC54076}">
      <text>
        <t>[Threaded comment]
Your version of Excel allows you to read this threaded comment; however, any edits to it will get removed if the file is opened in a newer version of Excel. Learn more: https://go.microsoft.com/fwlink/?linkid=870924
Comment:
    Based on model assumption</t>
      </text>
    </comment>
    <comment ref="G6" authorId="6" shapeId="0" xr:uid="{4D01E9A6-51F8-4CA2-A17E-66FC412C9F16}">
      <text>
        <r>
          <rPr>
            <b/>
            <sz val="9"/>
            <color indexed="81"/>
            <rFont val="Tahoma"/>
            <family val="2"/>
          </rPr>
          <t>Commercial Operation Date</t>
        </r>
      </text>
    </comment>
    <comment ref="J7" authorId="7" shapeId="0" xr:uid="{6931B1AE-48A3-4430-91F2-8476B81AB299}">
      <text>
        <t>[Threaded comment]
Your version of Excel allows you to read this threaded comment; however, any edits to it will get removed if the file is opened in a newer version of Excel. Learn more: https://go.microsoft.com/fwlink/?linkid=870924
Comment:
    Source: See Data Sources Tab</t>
      </text>
    </comment>
    <comment ref="M7" authorId="8" shapeId="0" xr:uid="{CC379BB3-436C-4EF8-A798-61E0FC8E6FC4}">
      <text>
        <t>[Threaded comment]
Your version of Excel allows you to read this threaded comment; however, any edits to it will get removed if the file is opened in a newer version of Excel. Learn more: https://go.microsoft.com/fwlink/?linkid=870924
Comment:
    Based on Model Calculation</t>
      </text>
    </comment>
    <comment ref="N7" authorId="9" shapeId="0" xr:uid="{6A11E21D-B566-468E-8861-D107505AE099}">
      <text>
        <t>[Threaded comment]
Your version of Excel allows you to read this threaded comment; however, any edits to it will get removed if the file is opened in a newer version of Excel. Learn more: https://go.microsoft.com/fwlink/?linkid=870924
Comment:
    Based on Model Calculation</t>
      </text>
    </comment>
    <comment ref="O7" authorId="10" shapeId="0" xr:uid="{92EAF5FA-2E07-43B1-8FD0-B5676F7CA2D4}">
      <text>
        <t>[Threaded comment]
Your version of Excel allows you to read this threaded comment; however, any edits to it will get removed if the file is opened in a newer version of Excel. Learn more: https://go.microsoft.com/fwlink/?linkid=870924
Comment:
    Based on Model Calculation</t>
      </text>
    </comment>
    <comment ref="M8" authorId="11" shapeId="0" xr:uid="{FA116039-0CAE-45AC-BF58-5AF099E98AA2}">
      <text>
        <t>[Threaded comment]
Your version of Excel allows you to read this threaded comment; however, any edits to it will get removed if the file is opened in a newer version of Excel. Learn more: https://go.microsoft.com/fwlink/?linkid=870924
Comment:
    Source: http://large.stanford.edu/courses/2017/ph240/timcheck1/docs/fao-krajnc-2015.pdf (pg 15)</t>
      </text>
    </comment>
    <comment ref="N8" authorId="12" shapeId="0" xr:uid="{556546A0-3625-4AC3-8057-1D669CA0FE06}">
      <text>
        <t>[Threaded comment]
Your version of Excel allows you to read this threaded comment; however, any edits to it will get removed if the file is opened in a newer version of Excel. Learn more: https://go.microsoft.com/fwlink/?linkid=870924
Comment:
    Source: http://large.stanford.edu/courses/2017/ph240/timcheck1/docs/fao-krajnc-2015.pdf (pg 15)</t>
      </text>
    </comment>
    <comment ref="J10" authorId="13" shapeId="0" xr:uid="{E6DE6B82-8E56-4462-A138-7D3E0F489206}">
      <text>
        <t>[Threaded comment]
Your version of Excel allows you to read this threaded comment; however, any edits to it will get removed if the file is opened in a newer version of Excel. Learn more: https://go.microsoft.com/fwlink/?linkid=870924
Comment:
    Source: "A Guide for the Development of Geothermal Direct – Use Projects in Tanzania" Pg 13</t>
      </text>
    </comment>
    <comment ref="M10" authorId="14" shapeId="0" xr:uid="{1E87191E-4E00-4D82-9543-CA18D8CBD1DC}">
      <text>
        <t>[Threaded comment]
Your version of Excel allows you to read this threaded comment; however, any edits to it will get removed if the file is opened in a newer version of Excel. Learn more: https://go.microsoft.com/fwlink/?linkid=870924
Comment:
    Source: See Fuel Data Tab</t>
      </text>
    </comment>
    <comment ref="N10" authorId="15" shapeId="0" xr:uid="{772218CE-CCB4-49F9-B156-B59F734670E5}">
      <text>
        <t>[Threaded comment]
Your version of Excel allows you to read this threaded comment; however, any edits to it will get removed if the file is opened in a newer version of Excel. Learn more: https://go.microsoft.com/fwlink/?linkid=870924
Comment:
    Source: See Fuel Data Tab</t>
      </text>
    </comment>
    <comment ref="J12" authorId="16" shapeId="0" xr:uid="{823BFAD6-5DCE-4D59-9E0D-8EBFAEDE4D9F}">
      <text>
        <t>[Threaded comment]
Your version of Excel allows you to read this threaded comment; however, any edits to it will get removed if the file is opened in a newer version of Excel. Learn more: https://go.microsoft.com/fwlink/?linkid=870924
Comment:
    User Assumption</t>
      </text>
    </comment>
    <comment ref="M12" authorId="17" shapeId="0" xr:uid="{0E765697-DBBB-499D-AC4F-CEB92949A53D}">
      <text>
        <t>[Threaded comment]
Your version of Excel allows you to read this threaded comment; however, any edits to it will get removed if the file is opened in a newer version of Excel. Learn more: https://go.microsoft.com/fwlink/?linkid=870924
Comment:
    Based on model assumption</t>
      </text>
    </comment>
    <comment ref="N12" authorId="18" shapeId="0" xr:uid="{55D80645-CA02-4486-AD60-CE37E6022D8F}">
      <text>
        <t>[Threaded comment]
Your version of Excel allows you to read this threaded comment; however, any edits to it will get removed if the file is opened in a newer version of Excel. Learn more: https://go.microsoft.com/fwlink/?linkid=870924
Comment:
    Based on model assumption</t>
      </text>
    </comment>
    <comment ref="O12" authorId="19" shapeId="0" xr:uid="{723A97BC-8DB4-4C92-A1FF-551C9A67DD24}">
      <text>
        <t>[Threaded comment]
Your version of Excel allows you to read this threaded comment; however, any edits to it will get removed if the file is opened in a newer version of Excel. Learn more: https://go.microsoft.com/fwlink/?linkid=870924
Comment:
    Based on model assumption</t>
      </text>
    </comment>
    <comment ref="C13" authorId="20" shapeId="0" xr:uid="{DFBB3804-F920-42CE-AA59-982DBB1FDAA3}">
      <text>
        <t>[Threaded comment]
Your version of Excel allows you to read this threaded comment; however, any edits to it will get removed if the file is opened in a newer version of Excel. Learn more: https://go.microsoft.com/fwlink/?linkid=870924
Comment:
    Source: https://www.diva-portal.org/smash/get/diva2:742038/FULLTEXT01.pdf (Page 42) (Assuming one unit is needed per dryer)</t>
      </text>
    </comment>
    <comment ref="C14" authorId="21" shapeId="0" xr:uid="{5F887793-5474-404D-8EE2-B584FE36DD42}">
      <text>
        <t>[Threaded comment]
Your version of Excel allows you to read this threaded comment; however, any edits to it will get removed if the file is opened in a newer version of Excel. Learn more: https://go.microsoft.com/fwlink/?linkid=870924
Comment:
    Source: https://www.diva-portal.org/smash/get/diva2:742038/FULLTEXT01.pdf (Page 42)</t>
      </text>
    </comment>
    <comment ref="F14" authorId="22" shapeId="0" xr:uid="{0468197E-73B0-429B-B71D-E3DB740D03A9}">
      <text>
        <t>[Threaded comment]
Your version of Excel allows you to read this threaded comment; however, any edits to it will get removed if the file is opened in a newer version of Excel. Learn more: https://go.microsoft.com/fwlink/?linkid=870924
Comment:
    User Assumption</t>
      </text>
    </comment>
    <comment ref="C15" authorId="23" shapeId="0" xr:uid="{A123EAC5-F8FC-4628-8AA5-F41329F896B8}">
      <text>
        <t>[Threaded comment]
Your version of Excel allows you to read this threaded comment; however, any edits to it will get removed if the file is opened in a newer version of Excel. Learn more: https://go.microsoft.com/fwlink/?linkid=870924
Comment:
    Source: https://www.diva-portal.org/smash/get/diva2:742038/FULLTEXT01.pdf (Page 42)</t>
      </text>
    </comment>
    <comment ref="F15" authorId="24" shapeId="0" xr:uid="{24CF9F5A-8A74-4CCB-8D90-EF27D651369E}">
      <text>
        <t>[Threaded comment]
Your version of Excel allows you to read this threaded comment; however, any edits to it will get removed if the file is opened in a newer version of Excel. Learn more: https://go.microsoft.com/fwlink/?linkid=870924
Comment:
    User Assumption</t>
      </text>
    </comment>
    <comment ref="C16" authorId="25" shapeId="0" xr:uid="{F5C64C70-1907-4305-B23E-33AB46AD0790}">
      <text>
        <t>[Threaded comment]
Your version of Excel allows you to read this threaded comment; however, any edits to it will get removed if the file is opened in a newer version of Excel. Learn more: https://go.microsoft.com/fwlink/?linkid=870924
Comment:
    Source: https://www.diva-portal.org/smash/get/diva2:742038/FULLTEXT01.pdf (Page 42)</t>
      </text>
    </comment>
    <comment ref="F16" authorId="26" shapeId="0" xr:uid="{E5A019F2-B5EE-4C6E-871B-CE27E72088C3}">
      <text>
        <t>[Threaded comment]
Your version of Excel allows you to read this threaded comment; however, any edits to it will get removed if the file is opened in a newer version of Excel. Learn more: https://go.microsoft.com/fwlink/?linkid=870924
Comment:
    User Assumption</t>
      </text>
    </comment>
    <comment ref="G20" authorId="27" shapeId="0" xr:uid="{904ACE9C-88D8-49DB-860A-7CEBFF0BF2EA}">
      <text>
        <t>[Threaded comment]
Your version of Excel allows you to read this threaded comment; however, any edits to it will get removed if the file is opened in a newer version of Excel. Learn more: https://go.microsoft.com/fwlink/?linkid=870924
Comment:
    User Assumption</t>
      </text>
    </comment>
    <comment ref="G21" authorId="28" shapeId="0" xr:uid="{28371BAA-72AA-4054-AD52-CD141A6EA462}">
      <text>
        <t>[Threaded comment]
Your version of Excel allows you to read this threaded comment; however, any edits to it will get removed if the file is opened in a newer version of Excel. Learn more: https://go.microsoft.com/fwlink/?linkid=870924
Comment:
    User Assumption</t>
      </text>
    </comment>
    <comment ref="G25" authorId="29" shapeId="0" xr:uid="{52B8F64D-36F4-4505-B222-F382291AFC21}">
      <text>
        <t>[Threaded comment]
Your version of Excel allows you to read this threaded comment; however, any edits to it will get removed if the file is opened in a newer version of Excel. Learn more: https://go.microsoft.com/fwlink/?linkid=870924
Comment:
    Source: https://kenyatrade.org/flower-exporters/</t>
      </text>
    </comment>
    <comment ref="G27" authorId="30" shapeId="0" xr:uid="{2F5DE2C6-070E-429A-8CBD-53956A843BE9}">
      <text>
        <t>[Threaded comment]
Your version of Excel allows you to read this threaded comment; however, any edits to it will get removed if the file is opened in a newer version of Excel. Learn more: https://go.microsoft.com/fwlink/?linkid=870924
Comment:
    Source: http://oregontechsfcdn.azureedge.net/oregontech/docs/default-source/geoheat-center-documents/publications/greenhouses/tp50.pdf?sfvrsn=c2048d60_2 (Page 3)</t>
      </text>
    </comment>
    <comment ref="G30" authorId="31" shapeId="0" xr:uid="{21EB90E0-8E7B-4E2A-B299-2058948D550D}">
      <text>
        <t>[Threaded comment]
Your version of Excel allows you to read this threaded comment; however, any edits to it will get removed if the file is opened in a newer version of Excel. Learn more: https://go.microsoft.com/fwlink/?linkid=870924
Comment:
    User Assumption</t>
      </text>
    </comment>
    <comment ref="G31" authorId="32" shapeId="0" xr:uid="{B0D3454D-F0DF-4F53-9EDF-259A56C5AB81}">
      <text>
        <t>[Threaded comment]
Your version of Excel allows you to read this threaded comment; however, any edits to it will get removed if the file is opened in a newer version of Excel. Learn more: https://go.microsoft.com/fwlink/?linkid=870924
Comment:
    User Assumption</t>
      </text>
    </comment>
    <comment ref="G32" authorId="33" shapeId="0" xr:uid="{3F6F1DCF-C2BF-4F90-9CD4-AD464D523ECF}">
      <text>
        <t>[Threaded comment]
Your version of Excel allows you to read this threaded comment; however, any edits to it will get removed if the file is opened in a newer version of Excel. Learn more: https://go.microsoft.com/fwlink/?linkid=870924
Comment:
    Based on Kibiro local expert response</t>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tc={E4CC0962-4F45-4733-9B62-1C67746A41C4}</author>
    <author>tc={17558384-87C4-4E79-8D3B-B8FC7290397C}</author>
    <author>tc={5D02F398-7F28-40DF-9E33-40E647708303}</author>
  </authors>
  <commentList>
    <comment ref="D7" authorId="0" shapeId="0" xr:uid="{E4CC0962-4F45-4733-9B62-1C67746A41C4}">
      <text>
        <t>[Threaded comment]
Your version of Excel allows you to read this threaded comment; however, any edits to it will get removed if the file is opened in a newer version of Excel. Learn more: https://go.microsoft.com/fwlink/?linkid=870924
Comment:
    Assuming 2000 fishermen</t>
      </text>
    </comment>
    <comment ref="C76" authorId="1" shapeId="0" xr:uid="{17558384-87C4-4E79-8D3B-B8FC7290397C}">
      <text>
        <t>[Threaded comment]
Your version of Excel allows you to read this threaded comment; however, any edits to it will get removed if the file is opened in a newer version of Excel. Learn more: https://go.microsoft.com/fwlink/?linkid=870924
Comment:
    Assumes similar payscale as sales manager</t>
      </text>
    </comment>
    <comment ref="E76" authorId="2" shapeId="0" xr:uid="{5D02F398-7F28-40DF-9E33-40E647708303}">
      <text>
        <t>[Threaded comment]
Your version of Excel allows you to read this threaded comment; however, any edits to it will get removed if the file is opened in a newer version of Excel. Learn more: https://go.microsoft.com/fwlink/?linkid=870924
Comment:
    Assumes similar payscale as sales manager</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Koye</author>
    <author>tc={24D04EC4-A9FD-460D-A6B1-9C74F2E56F0D}</author>
    <author>tc={03726B7D-A36E-403B-A02C-0BBCFC783A6E}</author>
    <author>tc={62FDC318-8B8A-4D66-86EB-AB9E0EC51E9B}</author>
    <author>tc={2095E9FD-A573-41E0-A252-12DECDB1F426}</author>
    <author>tc={62D3B70F-A318-42A3-9655-EA4741FA0ED0}</author>
    <author>tc={B8DD3020-C7B1-4E98-AB27-09E5822BFA2E}</author>
    <author>tc={E9B14377-E02A-4B62-889B-ACA06E1B67B5}</author>
    <author>tc={C0A30451-E5EC-410C-98EE-069CA3B5D297}</author>
    <author>tc={27D74F97-0806-4C9C-BA9F-B06340931096}</author>
    <author>tc={6B41F322-A675-43DD-B8C7-C0E38BEB9144}</author>
    <author>tc={0884C16F-BBF4-4B13-9FC1-AD45BCD16C63}</author>
    <author>tc={A716671B-8A55-4A93-BEE1-D89245EBB0A6}</author>
    <author>tc={023A01DC-22F8-4320-B733-695EA74B21D4}</author>
    <author>tc={599FB1C9-6BCA-494A-AC25-59D39488C7CF}</author>
    <author>tc={3EA3B78B-19F7-48D6-B5E4-07A5AB81FFCD}</author>
    <author>tc={B672FAF6-E8FF-477E-91D5-974D31D92EE4}</author>
    <author>tc={C1DF1F12-21BE-4835-AD70-6E3B459FCD36}</author>
    <author>tc={BC1F7F36-7515-4BB6-BE94-A15B5EB24A16}</author>
    <author>tc={F0F3BE77-6669-44D0-ADEA-32AD01ECAFAB}</author>
    <author>tc={FFC1B042-3269-45FF-AD93-217F69045B98}</author>
    <author>tc={4245142E-DFB1-4747-88D9-4A3517CEFB0D}</author>
    <author>tc={714601B9-0AFC-4535-9167-3A47F4C4C468}</author>
    <author>tc={18A208EC-0F44-4FEA-B403-DA89E4572B8F}</author>
    <author>tc={3573FD08-413E-4F49-8FE0-324459F88EB1}</author>
    <author>tc={37BE6D0E-F7FF-40C2-940E-262370D0DB92}</author>
    <author>tc={EEFB50CC-D585-4468-88D7-EBBBD11F5B07}</author>
    <author>tc={ACA8289B-D057-49F0-A0DC-C177C7A88802}</author>
    <author>tc={1263376C-0A98-4E9B-93C1-18FF7A73ADE7}</author>
    <author>tc={8A9219D7-F461-496D-952F-55590675ED96}</author>
    <author>tc={E7A4ABD5-0382-4B51-A531-862E185F2FCD}</author>
    <author>tc={07ACD79E-3972-4D35-A6F5-286795B3A526}</author>
    <author>tc={91C82122-095E-4456-A52B-778FCAAF7ACF}</author>
    <author>tc={1DA7CF58-F3A1-4525-AA7C-455E4D01FE88}</author>
    <author>tc={F0D282BD-F645-4424-9586-838F28DDB4CC}</author>
    <author>tc={97F6C3F5-57A8-4919-AF4B-4965C85470D3}</author>
    <author>tc={C4643502-3BE5-43F8-9C15-93C0833ECBB3}</author>
    <author>tc={C5D798C7-5372-44FD-BDC2-5518AB489D16}</author>
    <author>tc={BF55556D-AB01-430C-8F4B-DB8924AD745F}</author>
    <author>tc={E1712B90-4D81-4755-A4DA-E6B7504A7E48}</author>
    <author>tc={0F579110-063D-4F30-95FB-A6B8B0ED9E35}</author>
    <author>tc={D8E62C9F-29D3-4C74-B170-AB7AFF20AB51}</author>
    <author>tc={D6D7E171-39AB-4407-850F-B0FA8B195D48}</author>
    <author>tc={3BA411D7-4239-45E7-999B-95AEA29CA98F}</author>
    <author>tc={7D10C107-89E8-4407-B7E8-FFA21926E3A3}</author>
    <author>tc={EDDBDF8D-D15A-4627-808C-C74F8304B914}</author>
    <author>tc={121B230C-A9DF-4442-8BF1-68A0609C97EA}</author>
    <author>tc={DC3B09DE-353D-40AE-931F-BF4D2BBF650C}</author>
    <author>tc={75692AC4-66EB-4CCB-BBC1-B22B3A9F0713}</author>
    <author>tc={C798EDD8-9AF5-48EC-B179-583D5CAAD721}</author>
    <author>tc={3F219F43-7C20-479C-B783-A35A88D77AA0}</author>
    <author>tc={6490BD68-5A82-444D-AE9D-40AEC27819F3}</author>
    <author>tc={7BA00B98-CBE4-49D9-86F6-41433BD124B6}</author>
    <author>tc={7AE74549-9AF3-4D45-8423-2A66815CAA39}</author>
    <author>tc={FC3B6759-F4A9-4DD9-9F3A-017072479063}</author>
    <author>tc={73F3837B-EAC6-4440-8F5E-A5A6685F1D21}</author>
    <author>tc={444679E4-AF5F-4B7C-A794-530D68C9CE59}</author>
    <author>tc={F5DB3F55-EB80-425A-BE05-C55D89F665B8}</author>
    <author>tc={1E13D249-8C30-449E-8F9C-EDCA631CEEDC}</author>
    <author>tc={154589F1-F8F5-4926-8898-2F349357E92A}</author>
    <author>tc={1945CD11-3A89-4805-BE3C-21299217E40A}</author>
    <author>tc={65ECFD8D-5DCA-42F3-880A-8513E0FD808C}</author>
    <author>tc={AC0942C3-764A-460A-991A-56081FFA8BE0}</author>
    <author>tc={90233B2A-8F7B-406B-B375-22C108C20224}</author>
    <author>tc={58DD17A8-CEEF-4610-AE0E-FB6001233E12}</author>
    <author>tc={CBE945D3-EEA8-4D0D-84BF-C544CE77DE5F}</author>
    <author>tc={46B12996-49CB-4A63-B3FD-518FBE8591D6}</author>
    <author>tc={862F83D6-B180-456F-97CF-9BC61BBEA0E5}</author>
    <author>tc={AA9214A5-011F-47BE-B0CC-11BD156BB1F4}</author>
    <author>tc={CBE36E55-C1D1-4182-96D2-E60B2516BCC1}</author>
    <author>tc={094EE5CA-E796-4B97-A460-1D1790D51C92}</author>
    <author>tc={50413B2A-8E8C-47EC-93B1-AE614A279485}</author>
  </authors>
  <commentList>
    <comment ref="G6" authorId="0" shapeId="0" xr:uid="{7ADE0E3D-CB94-4E54-A3D0-F73BCDA4D062}">
      <text>
        <r>
          <rPr>
            <b/>
            <sz val="9"/>
            <color indexed="81"/>
            <rFont val="Tahoma"/>
            <family val="2"/>
          </rPr>
          <t>Commercial Operation Date</t>
        </r>
      </text>
    </comment>
    <comment ref="J7" authorId="1" shapeId="0" xr:uid="{24D04EC4-A9FD-460D-A6B1-9C74F2E56F0D}">
      <text>
        <t>[Threaded comment]
Your version of Excel allows you to read this threaded comment; however, any edits to it will get removed if the file is opened in a newer version of Excel. Learn more: https://go.microsoft.com/fwlink/?linkid=870924
Comment:
    Source: See Fruit Prices Tab</t>
      </text>
    </comment>
    <comment ref="N7" authorId="2" shapeId="0" xr:uid="{03726B7D-A36E-403B-A02C-0BBCFC783A6E}">
      <text>
        <t>[Threaded comment]
Your version of Excel allows you to read this threaded comment; however, any edits to it will get removed if the file is opened in a newer version of Excel. Learn more: https://go.microsoft.com/fwlink/?linkid=870924
Comment:
    Source: See Data Sources Tab</t>
      </text>
    </comment>
    <comment ref="J8" authorId="3" shapeId="0" xr:uid="{62FDC318-8B8A-4D66-86EB-AB9E0EC51E9B}">
      <text>
        <t>[Threaded comment]
Your version of Excel allows you to read this threaded comment; however, any edits to it will get removed if the file is opened in a newer version of Excel. Learn more: https://go.microsoft.com/fwlink/?linkid=870924
Comment:
    See Export Prices Tab</t>
      </text>
    </comment>
    <comment ref="N8" authorId="4" shapeId="0" xr:uid="{2095E9FD-A573-41E0-A252-12DECDB1F426}">
      <text>
        <t>[Threaded comment]
Your version of Excel allows you to read this threaded comment; however, any edits to it will get removed if the file is opened in a newer version of Excel. Learn more: https://go.microsoft.com/fwlink/?linkid=870924
Comment:
    Source: See Data Sources Tab</t>
      </text>
    </comment>
    <comment ref="J9" authorId="5" shapeId="0" xr:uid="{62D3B70F-A318-42A3-9655-EA4741FA0ED0}">
      <text>
        <t>[Threaded comment]
Your version of Excel allows you to read this threaded comment; however, any edits to it will get removed if the file is opened in a newer version of Excel. Learn more: https://go.microsoft.com/fwlink/?linkid=870924
Comment:
    User Assumption</t>
      </text>
    </comment>
    <comment ref="N9" authorId="6" shapeId="0" xr:uid="{B8DD3020-C7B1-4E98-AB27-09E5822BFA2E}">
      <text>
        <t>[Threaded comment]
Your version of Excel allows you to read this threaded comment; however, any edits to it will get removed if the file is opened in a newer version of Excel. Learn more: https://go.microsoft.com/fwlink/?linkid=870924
Comment:
    Source: https://www.wbdg.org/resources/geothermal-energy-direct-use
Also see: http://www.knowledgebank.irri.org/step-by-step-production/postharvest/drying/economic-aspects-of-drying</t>
      </text>
    </comment>
    <comment ref="J10" authorId="7" shapeId="0" xr:uid="{E9B14377-E02A-4B62-889B-ACA06E1B67B5}">
      <text>
        <t>[Threaded comment]
Your version of Excel allows you to read this threaded comment; however, any edits to it will get removed if the file is opened in a newer version of Excel. Learn more: https://go.microsoft.com/fwlink/?linkid=870924
Comment:
    User Assumption</t>
      </text>
    </comment>
    <comment ref="N10" authorId="8" shapeId="0" xr:uid="{C0A30451-E5EC-410C-98EE-069CA3B5D297}">
      <text>
        <t>[Threaded comment]
Your version of Excel allows you to read this threaded comment; however, any edits to it will get removed if the file is opened in a newer version of Excel. Learn more: https://go.microsoft.com/fwlink/?linkid=870924
Comment:
    Source: See Data Sources Tab</t>
      </text>
    </comment>
    <comment ref="J11" authorId="9" shapeId="0" xr:uid="{27D74F97-0806-4C9C-BA9F-B06340931096}">
      <text>
        <t>[Threaded comment]
Your version of Excel allows you to read this threaded comment; however, any edits to it will get removed if the file is opened in a newer version of Excel. Learn more: https://go.microsoft.com/fwlink/?linkid=870924
Comment:
    User Assumption</t>
      </text>
    </comment>
    <comment ref="N12" authorId="10" shapeId="0" xr:uid="{6B41F322-A675-43DD-B8C7-C0E38BEB9144}">
      <text>
        <t>[Threaded comment]
Your version of Excel allows you to read this threaded comment; however, any edits to it will get removed if the file is opened in a newer version of Excel. Learn more: https://go.microsoft.com/fwlink/?linkid=870924
Comment:
    Source: See Data Sources Tab</t>
      </text>
    </comment>
    <comment ref="C13" authorId="11" shapeId="0" xr:uid="{0884C16F-BBF4-4B13-9FC1-AD45BCD16C63}">
      <text>
        <t>[Threaded comment]
Your version of Excel allows you to read this threaded comment; however, any edits to it will get removed if the file is opened in a newer version of Excel. Learn more: https://go.microsoft.com/fwlink/?linkid=870924
Comment:
    Source: https://www.diva-portal.org/smash/get/diva2:742038/FULLTEXT01.pdf (Page 42) (Assuming one unit is needed per dryer)</t>
      </text>
    </comment>
    <comment ref="N13" authorId="12" shapeId="0" xr:uid="{A716671B-8A55-4A93-BEE1-D89245EBB0A6}">
      <text>
        <t>[Threaded comment]
Your version of Excel allows you to read this threaded comment; however, any edits to it will get removed if the file is opened in a newer version of Excel. Learn more: https://go.microsoft.com/fwlink/?linkid=870924
Comment:
    Assumes that equipment will be purchased and not leased</t>
      </text>
    </comment>
    <comment ref="C14" authorId="13" shapeId="0" xr:uid="{023A01DC-22F8-4320-B733-695EA74B21D4}">
      <text>
        <t>[Threaded comment]
Your version of Excel allows you to read this threaded comment; however, any edits to it will get removed if the file is opened in a newer version of Excel. Learn more: https://go.microsoft.com/fwlink/?linkid=870924
Comment:
    Source: https://www.diva-portal.org/smash/get/diva2:742038/FULLTEXT01.pdf (Page 42)</t>
      </text>
    </comment>
    <comment ref="F14" authorId="14" shapeId="0" xr:uid="{599FB1C9-6BCA-494A-AC25-59D39488C7CF}">
      <text>
        <t>[Threaded comment]
Your version of Excel allows you to read this threaded comment; however, any edits to it will get removed if the file is opened in a newer version of Excel. Learn more: https://go.microsoft.com/fwlink/?linkid=870924
Comment:
    User Assumption</t>
      </text>
    </comment>
    <comment ref="J14" authorId="15" shapeId="0" xr:uid="{3EA3B78B-19F7-48D6-B5E4-07A5AB81FFCD}">
      <text>
        <t>[Threaded comment]
Your version of Excel allows you to read this threaded comment; however, any edits to it will get removed if the file is opened in a newer version of Excel. Learn more: https://go.microsoft.com/fwlink/?linkid=870924
Comment:
    Source: See Data Sources Tab</t>
      </text>
    </comment>
    <comment ref="N14" authorId="16" shapeId="0" xr:uid="{B672FAF6-E8FF-477E-91D5-974D31D92EE4}">
      <text>
        <t>[Threaded comment]
Your version of Excel allows you to read this threaded comment; however, any edits to it will get removed if the file is opened in a newer version of Excel. Learn more: https://go.microsoft.com/fwlink/?linkid=870924
Comment:
    User Assumption. Assuming same cost as Marketing</t>
      </text>
    </comment>
    <comment ref="C15" authorId="17" shapeId="0" xr:uid="{C1DF1F12-21BE-4835-AD70-6E3B459FCD36}">
      <text>
        <t>[Threaded comment]
Your version of Excel allows you to read this threaded comment; however, any edits to it will get removed if the file is opened in a newer version of Excel. Learn more: https://go.microsoft.com/fwlink/?linkid=870924
Comment:
    Source: https://www.diva-portal.org/smash/get/diva2:742038/FULLTEXT01.pdf (Page 42)</t>
      </text>
    </comment>
    <comment ref="F15" authorId="18" shapeId="0" xr:uid="{BC1F7F36-7515-4BB6-BE94-A15B5EB24A16}">
      <text>
        <t>[Threaded comment]
Your version of Excel allows you to read this threaded comment; however, any edits to it will get removed if the file is opened in a newer version of Excel. Learn more: https://go.microsoft.com/fwlink/?linkid=870924
Comment:
    User Assumption</t>
      </text>
    </comment>
    <comment ref="N15" authorId="19" shapeId="0" xr:uid="{F0F3BE77-6669-44D0-ADEA-32AD01ECAFAB}">
      <text>
        <t>[Threaded comment]
Your version of Excel allows you to read this threaded comment; however, any edits to it will get removed if the file is opened in a newer version of Excel. Learn more: https://go.microsoft.com/fwlink/?linkid=870924
Comment:
    Source: https://www.business2community.com/marketing/how-much-should-you-spend-on-marketing-your-small-business-02316226 (Assuming Walmart figure)</t>
      </text>
    </comment>
    <comment ref="C16" authorId="20" shapeId="0" xr:uid="{FFC1B042-3269-45FF-AD93-217F69045B98}">
      <text>
        <t>[Threaded comment]
Your version of Excel allows you to read this threaded comment; however, any edits to it will get removed if the file is opened in a newer version of Excel. Learn more: https://go.microsoft.com/fwlink/?linkid=870924
Comment:
    Source: https://www.diva-portal.org/smash/get/diva2:742038/FULLTEXT01.pdf (Page 42)</t>
      </text>
    </comment>
    <comment ref="F16" authorId="21" shapeId="0" xr:uid="{4245142E-DFB1-4747-88D9-4A3517CEFB0D}">
      <text>
        <t>[Threaded comment]
Your version of Excel allows you to read this threaded comment; however, any edits to it will get removed if the file is opened in a newer version of Excel. Learn more: https://go.microsoft.com/fwlink/?linkid=870924
Comment:
    User Assumption</t>
      </text>
    </comment>
    <comment ref="N16" authorId="22" shapeId="0" xr:uid="{714601B9-0AFC-4535-9167-3A47F4C4C468}">
      <text>
        <t>[Threaded comment]
Your version of Excel allows you to read this threaded comment; however, any edits to it will get removed if the file is opened in a newer version of Excel. Learn more: https://go.microsoft.com/fwlink/?linkid=870924
Comment:
    Source: https://www.justbusiness.com/starting-a-small-business/business-startup-costs</t>
      </text>
    </comment>
    <comment ref="C17" authorId="23" shapeId="0" xr:uid="{18A208EC-0F44-4FEA-B403-DA89E4572B8F}">
      <text>
        <t>[Threaded comment]
Your version of Excel allows you to read this threaded comment; however, any edits to it will get removed if the file is opened in a newer version of Excel. Learn more: https://go.microsoft.com/fwlink/?linkid=870924
Comment:
    Source: https://www.diva-portal.org/smash/get/diva2:742038/FULLTEXT01.pdf (Page 42)</t>
      </text>
    </comment>
    <comment ref="J17" authorId="24" shapeId="0" xr:uid="{3573FD08-413E-4F49-8FE0-324459F88EB1}">
      <text>
        <t>[Threaded comment]
Your version of Excel allows you to read this threaded comment; however, any edits to it will get removed if the file is opened in a newer version of Excel. Learn more: https://go.microsoft.com/fwlink/?linkid=870924
Comment:
    Source: "A Guide for the Development of Geothermal Direct – Use Projects in Tanzania" Pg 13</t>
      </text>
    </comment>
    <comment ref="N17" authorId="25" shapeId="0" xr:uid="{37BE6D0E-F7FF-40C2-940E-262370D0DB92}">
      <text>
        <t>[Threaded comment]
Your version of Excel allows you to read this threaded comment; however, any edits to it will get removed if the file is opened in a newer version of Excel. Learn more: https://go.microsoft.com/fwlink/?linkid=870924
Comment:
    Source: https://www.indiamart.com/proddetail/plastic-packaging-bags-11059930655.html</t>
      </text>
    </comment>
    <comment ref="C18" authorId="26" shapeId="0" xr:uid="{EEFB50CC-D585-4468-88D7-EBBBD11F5B07}">
      <text>
        <t>[Threaded comment]
Your version of Excel allows you to read this threaded comment; however, any edits to it will get removed if the file is opened in a newer version of Excel. Learn more: https://go.microsoft.com/fwlink/?linkid=870924
Comment:
    Source: http://repository.pauwes-cop.net/bitstream/handle/1/124/MT_ALBERT_KHAMALA.pdf?sequence=1&amp;isAllowed=y (Page 121)</t>
      </text>
    </comment>
    <comment ref="C19" authorId="27" shapeId="0" xr:uid="{ACA8289B-D057-49F0-A0DC-C177C7A88802}">
      <text>
        <t>[Threaded comment]
Your version of Excel allows you to read this threaded comment; however, any edits to it will get removed if the file is opened in a newer version of Excel. Learn more: https://go.microsoft.com/fwlink/?linkid=870924
Comment:
    Source: http://repository.pauwes-cop.net/bitstream/handle/1/124/MT_ALBERT_KHAMALA.pdf?sequence=1&amp;isAllowed=y (Page 121) (Assuming one unit is needed per dryer)</t>
      </text>
    </comment>
    <comment ref="J19" authorId="28" shapeId="0" xr:uid="{1263376C-0A98-4E9B-93C1-18FF7A73ADE7}">
      <text>
        <t>[Threaded comment]
Your version of Excel allows you to read this threaded comment; however, any edits to it will get removed if the file is opened in a newer version of Excel. Learn more: https://go.microsoft.com/fwlink/?linkid=870924
Comment:
    User Assumption</t>
      </text>
    </comment>
    <comment ref="G20" authorId="29" shapeId="0" xr:uid="{8A9219D7-F461-496D-952F-55590675ED96}">
      <text>
        <t>[Threaded comment]
Your version of Excel allows you to read this threaded comment; however, any edits to it will get removed if the file is opened in a newer version of Excel. Learn more: https://go.microsoft.com/fwlink/?linkid=870924
Comment:
    User Assumption</t>
      </text>
    </comment>
    <comment ref="C21" authorId="30" shapeId="0" xr:uid="{E7A4ABD5-0382-4B51-A531-862E185F2FCD}">
      <text>
        <t>[Threaded comment]
Your version of Excel allows you to read this threaded comment; however, any edits to it will get removed if the file is opened in a newer version of Excel. Learn more: https://go.microsoft.com/fwlink/?linkid=870924
Comment:
    Source: https://m.alibaba.com/amp/product/60760387059.html</t>
      </text>
    </comment>
    <comment ref="G21" authorId="31" shapeId="0" xr:uid="{07ACD79E-3972-4D35-A6F5-286795B3A526}">
      <text>
        <t>[Threaded comment]
Your version of Excel allows you to read this threaded comment; however, any edits to it will get removed if the file is opened in a newer version of Excel. Learn more: https://go.microsoft.com/fwlink/?linkid=870924
Comment:
    User Assumption</t>
      </text>
    </comment>
    <comment ref="C22" authorId="32" shapeId="0" xr:uid="{91C82122-095E-4456-A52B-778FCAAF7ACF}">
      <text>
        <t>[Threaded comment]
Your version of Excel allows you to read this threaded comment; however, any edits to it will get removed if the file is opened in a newer version of Excel. Learn more: https://go.microsoft.com/fwlink/?linkid=870924
Comment:
    Source: https://www.tradewheel.com/p/high-quality-stainless-steel-304-food-689846/</t>
      </text>
    </comment>
    <comment ref="C23" authorId="33" shapeId="0" xr:uid="{1DA7CF58-F3A1-4525-AA7C-455E4D01FE88}">
      <text>
        <t>[Threaded comment]
Your version of Excel allows you to read this threaded comment; however, any edits to it will get removed if the file is opened in a newer version of Excel. Learn more: https://go.microsoft.com/fwlink/?linkid=870924
Comment:
    Source: https://www.tradewheel.com/p/fruit-peeling-cutting-machine-vegetables-642597/</t>
      </text>
    </comment>
    <comment ref="N23" authorId="34" shapeId="0" xr:uid="{F0D282BD-F645-4424-9586-838F28DDB4CC}">
      <text>
        <t>[Threaded comment]
Your version of Excel allows you to read this threaded comment; however, any edits to it will get removed if the file is opened in a newer version of Excel. Learn more: https://go.microsoft.com/fwlink/?linkid=870924
Comment:
    User Assumption</t>
      </text>
    </comment>
    <comment ref="C24" authorId="35" shapeId="0" xr:uid="{97F6C3F5-57A8-4919-AF4B-4965C85470D3}">
      <text>
        <t>[Threaded comment]
Your version of Excel allows you to read this threaded comment; however, any edits to it will get removed if the file is opened in a newer version of Excel. Learn more: https://go.microsoft.com/fwlink/?linkid=870924
Comment:
    Source: https://www.tradewheel.com/p/precooling-machinevacuum-vegetable-cooling-machine-6899813/</t>
      </text>
    </comment>
    <comment ref="C25" authorId="36" shapeId="0" xr:uid="{C4643502-3BE5-43F8-9C15-93C0833ECBB3}">
      <text>
        <t>[Threaded comment]
Your version of Excel allows you to read this threaded comment; however, any edits to it will get removed if the file is opened in a newer version of Excel. Learn more: https://go.microsoft.com/fwlink/?linkid=870924
Comment:
    Source: https://m.made-in-china,com/product/Dry-Fruits-Fully-Automatic-Packing-Machine-901463575.html</t>
      </text>
    </comment>
    <comment ref="G25" authorId="37" shapeId="0" xr:uid="{C5D798C7-5372-44FD-BDC2-5518AB489D16}">
      <text>
        <t>[Threaded comment]
Your version of Excel allows you to read this threaded comment; however, any edits to it will get removed if the file is opened in a newer version of Excel. Learn more: https://go.microsoft.com/fwlink/?linkid=870924
Comment:
    Assuming prod level to obtain 40MT output. See: http://projects.nri.org/nret/fruitnil.pdf (Page 7)</t>
      </text>
    </comment>
    <comment ref="G26" authorId="38" shapeId="0" xr:uid="{BF55556D-AB01-430C-8F4B-DB8924AD745F}">
      <text>
        <t>[Threaded comment]
Your version of Excel allows you to read this threaded comment; however, any edits to it will get removed if the file is opened in a newer version of Excel. Learn more: https://go.microsoft.com/fwlink/?linkid=870924
Comment:
    Source: https://iufost.org/wp-content/uploads/2017/08/Drying-Part-2.pdf (using mango as an example)</t>
      </text>
    </comment>
    <comment ref="G27" authorId="39" shapeId="0" xr:uid="{E1712B90-4D81-4755-A4DA-E6B7504A7E48}">
      <text>
        <t>[Threaded comment]
Your version of Excel allows you to read this threaded comment; however, any edits to it will get removed if the file is opened in a newer version of Excel. Learn more: https://go.microsoft.com/fwlink/?linkid=870924
Comment:
    Source: https://iufost.org/wp-content/uploads/2017/08/Drying-Part-2.pdf (using mango as an example)</t>
      </text>
    </comment>
    <comment ref="N27" authorId="40" shapeId="0" xr:uid="{0F579110-063D-4F30-95FB-A6B8B0ED9E35}">
      <text>
        <t>[Threaded comment]
Your version of Excel allows you to read this threaded comment; however, any edits to it will get removed if the file is opened in a newer version of Excel. Learn more: https://go.microsoft.com/fwlink/?linkid=870924
Comment:
    Source: See Data Sources Tab</t>
      </text>
    </comment>
    <comment ref="N28" authorId="41" shapeId="0" xr:uid="{D8E62C9F-29D3-4C74-B170-AB7AFF20AB51}">
      <text>
        <t>[Threaded comment]
Your version of Excel allows you to read this threaded comment; however, any edits to it will get removed if the file is opened in a newer version of Excel. Learn more: https://go.microsoft.com/fwlink/?linkid=870924
Comment:
    Source: See Data Sources Tab</t>
      </text>
    </comment>
    <comment ref="G29" authorId="42" shapeId="0" xr:uid="{D6D7E171-39AB-4407-850F-B0FA8B195D48}">
      <text>
        <t>[Threaded comment]
Your version of Excel allows you to read this threaded comment; however, any edits to it will get removed if the file is opened in a newer version of Excel. Learn more: https://go.microsoft.com/fwlink/?linkid=870924
Comment:
    http://projects.nri.org/nret/fruitnil.pdf (Page 7)</t>
      </text>
    </comment>
    <comment ref="N29" authorId="43" shapeId="0" xr:uid="{3BA411D7-4239-45E7-999B-95AEA29CA98F}">
      <text>
        <t>[Threaded comment]
Your version of Excel allows you to read this threaded comment; however, any edits to it will get removed if the file is opened in a newer version of Excel. Learn more: https://go.microsoft.com/fwlink/?linkid=870924
Comment:
    Source: See Data Sources Tab</t>
      </text>
    </comment>
    <comment ref="G30" authorId="44" shapeId="0" xr:uid="{7D10C107-89E8-4407-B7E8-FFA21926E3A3}">
      <text>
        <t>[Threaded comment]
Your version of Excel allows you to read this threaded comment; however, any edits to it will get removed if the file is opened in a newer version of Excel. Learn more: https://go.microsoft.com/fwlink/?linkid=870924
Comment:
    User Assumption</t>
      </text>
    </comment>
    <comment ref="N31" authorId="45" shapeId="0" xr:uid="{EDDBDF8D-D15A-4627-808C-C74F8304B914}">
      <text>
        <t>[Threaded comment]
Your version of Excel allows you to read this threaded comment; however, any edits to it will get removed if the file is opened in a newer version of Excel. Learn more: https://go.microsoft.com/fwlink/?linkid=870924
Comment:
    Source: See Data Sources Tab</t>
      </text>
    </comment>
    <comment ref="C32" authorId="46" shapeId="0" xr:uid="{121B230C-A9DF-4442-8BF1-68A0609C97EA}">
      <text>
        <t>[Threaded comment]
Your version of Excel allows you to read this threaded comment; however, any edits to it will get removed if the file is opened in a newer version of Excel. Learn more: https://go.microsoft.com/fwlink/?linkid=870924
Comment:
    https://www.diva-portal.org/smash/get/diva2:742038/FULLTEXT01.pdf (Page 35)</t>
      </text>
    </comment>
    <comment ref="G32" authorId="47" shapeId="0" xr:uid="{DC3B09DE-353D-40AE-931F-BF4D2BBF650C}">
      <text>
        <t>[Threaded comment]
Your version of Excel allows you to read this threaded comment; however, any edits to it will get removed if the file is opened in a newer version of Excel. Learn more: https://go.microsoft.com/fwlink/?linkid=870924
Comment:
    Source: https://www.sintef.no/globalassets/project/drymeat/presentation2_fermentedmeat_bantle_dryingeconomics.pdf (Page 42) (Assuming same parameter as fish drying)</t>
      </text>
    </comment>
    <comment ref="N32" authorId="48" shapeId="0" xr:uid="{75692AC4-66EB-4CCB-BBC1-B22B3A9F0713}">
      <text>
        <t>[Threaded comment]
Your version of Excel allows you to read this threaded comment; however, any edits to it will get removed if the file is opened in a newer version of Excel. Learn more: https://go.microsoft.com/fwlink/?linkid=870924
Comment:
    Assuming sales reps/distributors are not on the payroll but get remunerated by price mark-ups</t>
      </text>
    </comment>
    <comment ref="C33" authorId="49" shapeId="0" xr:uid="{C798EDD8-9AF5-48EC-B179-583D5CAAD721}">
      <text>
        <t>[Threaded comment]
Your version of Excel allows you to read this threaded comment; however, any edits to it will get removed if the file is opened in a newer version of Excel. Learn more: https://go.microsoft.com/fwlink/?linkid=870924
Comment:
    https://www.diva-portal.org/smash/get/diva2:742038/FULLTEXT01.pdf (Page 35)</t>
      </text>
    </comment>
    <comment ref="G33" authorId="50" shapeId="0" xr:uid="{3F219F43-7C20-479C-B783-A35A88D77AA0}">
      <text>
        <t>[Threaded comment]
Your version of Excel allows you to read this threaded comment; however, any edits to it will get removed if the file is opened in a newer version of Excel. Learn more: https://go.microsoft.com/fwlink/?linkid=870924
Comment:
    Source: http://www.bioline.org.br/pdf?nd12095#:~:text=The%20time%20required%20to%20dry,and%2044%C2%B0C%2C%20respectively. (Page 9)</t>
      </text>
    </comment>
    <comment ref="C34" authorId="51" shapeId="0" xr:uid="{6490BD68-5A82-444D-AE9D-40AEC27819F3}">
      <text>
        <t>[Threaded comment]
Your version of Excel allows you to read this threaded comment; however, any edits to it will get removed if the file is opened in a newer version of Excel. Learn more: https://go.microsoft.com/fwlink/?linkid=870924
Comment:
    https://www.diva-portal.org/smash/get/diva2:742038/FULLTEXT01.pdf (Page 35)</t>
      </text>
    </comment>
    <comment ref="G34" authorId="52" shapeId="0" xr:uid="{7BA00B98-CBE4-49D9-86F6-41433BD124B6}">
      <text>
        <t>[Threaded comment]
Your version of Excel allows you to read this threaded comment; however, any edits to it will get removed if the file is opened in a newer version of Excel. Learn more: https://go.microsoft.com/fwlink/?linkid=870924
Comment:
    User Assumption</t>
      </text>
    </comment>
    <comment ref="C35" authorId="53" shapeId="0" xr:uid="{7AE74549-9AF3-4D45-8423-2A66815CAA39}">
      <text>
        <t>[Threaded comment]
Your version of Excel allows you to read this threaded comment; however, any edits to it will get removed if the file is opened in a newer version of Excel. Learn more: https://go.microsoft.com/fwlink/?linkid=870924
Comment:
    https://www.diva-portal.org/smash/get/diva2:742038/FULLTEXT01.pdf (Page 38)</t>
      </text>
    </comment>
    <comment ref="C36" authorId="54" shapeId="0" xr:uid="{FC3B6759-F4A9-4DD9-9F3A-017072479063}">
      <text>
        <t>[Threaded comment]
Your version of Excel allows you to read this threaded comment; however, any edits to it will get removed if the file is opened in a newer version of Excel. Learn more: https://go.microsoft.com/fwlink/?linkid=870924
Comment:
    https://www.diva-portal.org/smash/get/diva2:742038/FULLTEXT01.pdf (Page 38)</t>
      </text>
    </comment>
    <comment ref="G36" authorId="55" shapeId="0" xr:uid="{73F3837B-EAC6-4440-8F5E-A5A6685F1D21}">
      <text>
        <t>[Threaded comment]
Your version of Excel allows you to read this threaded comment; however, any edits to it will get removed if the file is opened in a newer version of Excel. Learn more: https://go.microsoft.com/fwlink/?linkid=870924
Comment:
    Source: https://www.sciencedirect.com/science/article/pii/S0301479720306629 (The assumed dryer has a max 1-ton per batch capacity)</t>
      </text>
    </comment>
    <comment ref="C37" authorId="56" shapeId="0" xr:uid="{444679E4-AF5F-4B7C-A794-530D68C9CE59}">
      <text>
        <t>[Threaded comment]
Your version of Excel allows you to read this threaded comment; however, any edits to it will get removed if the file is opened in a newer version of Excel. Learn more: https://go.microsoft.com/fwlink/?linkid=870924
Comment:
    https://www.diva-portal.org/smash/get/diva2:742038/FULLTEXT01.pdf (Page 35)</t>
      </text>
    </comment>
    <comment ref="C38" authorId="57" shapeId="0" xr:uid="{F5DB3F55-EB80-425A-BE05-C55D89F665B8}">
      <text>
        <t>[Threaded comment]
Your version of Excel allows you to read this threaded comment; however, any edits to it will get removed if the file is opened in a newer version of Excel. Learn more: https://go.microsoft.com/fwlink/?linkid=870924
Comment:
    https://www.diva-portal.org/smash/get/diva2:742038/FULLTEXT01.pdf (Page 35,38)</t>
      </text>
    </comment>
    <comment ref="G38" authorId="58" shapeId="0" xr:uid="{1E13D249-8C30-449E-8F9C-EDCA631CEEDC}">
      <text>
        <t>[Threaded comment]
Your version of Excel allows you to read this threaded comment; however, any edits to it will get removed if the file is opened in a newer version of Excel. Learn more: https://go.microsoft.com/fwlink/?linkid=870924
Comment:
    User Assumption</t>
      </text>
    </comment>
    <comment ref="M38" authorId="59" shapeId="0" xr:uid="{154589F1-F8F5-4926-8898-2F349357E92A}">
      <text>
        <t>[Threaded comment]
Your version of Excel allows you to read this threaded comment; however, any edits to it will get removed if the file is opened in a newer version of Excel. Learn more: https://go.microsoft.com/fwlink/?linkid=870924
Comment:
    User Assumption</t>
      </text>
    </comment>
    <comment ref="M39" authorId="60" shapeId="0" xr:uid="{1945CD11-3A89-4805-BE3C-21299217E40A}">
      <text>
        <t>[Threaded comment]
Your version of Excel allows you to read this threaded comment; however, any edits to it will get removed if the file is opened in a newer version of Excel. Learn more: https://go.microsoft.com/fwlink/?linkid=870924
Comment:
    http://projects.nri.org/nret/fruitnil.pdf Fruit of the Nile also had only 5 FTEs at some point, although the firm only inspects, sorts, packs and exports.</t>
      </text>
    </comment>
    <comment ref="M40" authorId="61" shapeId="0" xr:uid="{65ECFD8D-5DCA-42F3-880A-8513E0FD808C}">
      <text>
        <t>[Threaded comment]
Your version of Excel allows you to read this threaded comment; however, any edits to it will get removed if the file is opened in a newer version of Excel. Learn more: https://go.microsoft.com/fwlink/?linkid=870924
Comment:
    User Assumption</t>
      </text>
    </comment>
    <comment ref="C42" authorId="62" shapeId="0" xr:uid="{AC0942C3-764A-460A-991A-56081FFA8BE0}">
      <text>
        <t>[Threaded comment]
Your version of Excel allows you to read this threaded comment; however, any edits to it will get removed if the file is opened in a newer version of Excel. Learn more: https://go.microsoft.com/fwlink/?linkid=870924
Comment:
    http://nhb.gov.in/pdf/fruits/mango/man012.pdf</t>
      </text>
    </comment>
    <comment ref="G42" authorId="63" shapeId="0" xr:uid="{90233B2A-8F7B-406B-B375-22C108C20224}">
      <text>
        <t>[Threaded comment]
Your version of Excel allows you to read this threaded comment; however, any edits to it will get removed if the file is opened in a newer version of Excel. Learn more: https://go.microsoft.com/fwlink/?linkid=870924
Comment:
    Source: https://www.sciencedirect.com/science/article/pii/S0301479720306629</t>
      </text>
    </comment>
    <comment ref="M42" authorId="64" shapeId="0" xr:uid="{58DD17A8-CEEF-4610-AE0E-FB6001233E12}">
      <text>
        <t>[Threaded comment]
Your version of Excel allows you to read this threaded comment; however, any edits to it will get removed if the file is opened in a newer version of Excel. Learn more: https://go.microsoft.com/fwlink/?linkid=870924
Comment:
    User Assumption</t>
      </text>
    </comment>
    <comment ref="C43" authorId="65" shapeId="0" xr:uid="{CBE945D3-EEA8-4D0D-84BF-C544CE77DE5F}">
      <text>
        <t>[Threaded comment]
Your version of Excel allows you to read this threaded comment; however, any edits to it will get removed if the file is opened in a newer version of Excel. Learn more: https://go.microsoft.com/fwlink/?linkid=870924
Comment:
    http://www.bioline.org.br/pdf?nd12095#:~:text=The%20time%20required%20to%20dry,and%2044%C2%B0C%2C%20respectively. (Page 9)</t>
      </text>
    </comment>
    <comment ref="G43" authorId="66" shapeId="0" xr:uid="{46B12996-49CB-4A63-B3FD-518FBE8591D6}">
      <text>
        <t>[Threaded comment]
Your version of Excel allows you to read this threaded comment; however, any edits to it will get removed if the file is opened in a newer version of Excel. Learn more: https://go.microsoft.com/fwlink/?linkid=870924
Comment:
    User Assumption</t>
      </text>
    </comment>
    <comment ref="M43" authorId="67" shapeId="0" xr:uid="{862F83D6-B180-456F-97CF-9BC61BBEA0E5}">
      <text>
        <t>[Threaded comment]
Your version of Excel allows you to read this threaded comment; however, any edits to it will get removed if the file is opened in a newer version of Excel. Learn more: https://go.microsoft.com/fwlink/?linkid=870924
Comment:
    Source: http://projects.nri.org/nret/fruitnil.pdf The main periods for drying fruit are May-September and November-February. (So, this means drying is done for 9 months)</t>
      </text>
    </comment>
    <comment ref="G44" authorId="68" shapeId="0" xr:uid="{AA9214A5-011F-47BE-B0CC-11BD156BB1F4}">
      <text>
        <t>[Threaded comment]
Your version of Excel allows you to read this threaded comment; however, any edits to it will get removed if the file is opened in a newer version of Excel. Learn more: https://go.microsoft.com/fwlink/?linkid=870924
Comment:
    User Assumption</t>
      </text>
    </comment>
    <comment ref="C45" authorId="69" shapeId="0" xr:uid="{CBE36E55-C1D1-4182-96D2-E60B2516BCC1}">
      <text>
        <t>[Threaded comment]
Your version of Excel allows you to read this threaded comment; however, any edits to it will get removed if the file is opened in a newer version of Excel. Learn more: https://go.microsoft.com/fwlink/?linkid=870924
Comment:
    Source: https://www.diva-portal.org/smash/get/diva2:742038/FULLTEXT01.pdf (Page 36)</t>
      </text>
    </comment>
    <comment ref="C46" authorId="70" shapeId="0" xr:uid="{094EE5CA-E796-4B97-A460-1D1790D51C92}">
      <text>
        <t>[Threaded comment]
Your version of Excel allows you to read this threaded comment; however, any edits to it will get removed if the file is opened in a newer version of Excel. Learn more: https://go.microsoft.com/fwlink/?linkid=870924
Comment:
    https://www.diva-portal.org/smash/get/diva2:742038/FULLTEXT01.pdf (Page 37)</t>
      </text>
    </comment>
    <comment ref="C47" authorId="71" shapeId="0" xr:uid="{50413B2A-8E8C-47EC-93B1-AE614A279485}">
      <text>
        <t>[Threaded comment]
Your version of Excel allows you to read this threaded comment; however, any edits to it will get removed if the file is opened in a newer version of Excel. Learn more: https://go.microsoft.com/fwlink/?linkid=870924
Comment:
    https://www.diva-portal.org/smash/get/diva2:742038/FULLTEXT01.pdf (Page 37) (Different from source doc because it is assumed that the station will not run for 24hrs per day, all year)</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Koye</author>
    <author>tc={11B39DE6-B7E5-4809-9DF5-EBFE4E82532D}</author>
    <author>tc={92ED955D-4040-4574-98E9-0BBDA30438BB}</author>
    <author>tc={90027BFB-918C-4FFB-9898-B11D8CE43624}</author>
    <author>tc={18C55FF1-02DA-4F5F-9861-342BBCFFA533}</author>
    <author>tc={A43612E1-0F13-4942-B72A-F74B7BA06B59}</author>
    <author>tc={76468B54-E0C5-47CA-ADCB-9CB4F61A6466}</author>
    <author>tc={AC4A6066-3D51-45E3-AC87-0629FF92DA82}</author>
    <author>tc={C4B2966C-89BD-4F1D-AD73-DAEA046B05DA}</author>
    <author>tc={490BC686-1799-4CB7-9FD8-BB01D33127C2}</author>
    <author>tc={347A5663-EA2F-474C-AB0E-423B4FE37C12}</author>
    <author>tc={BC294B85-874A-4A45-B800-A9097FC62FC4}</author>
    <author>tc={7062DA9F-C261-4AC5-8B12-D57DB45F7843}</author>
    <author>tc={72737917-0405-438C-8CFA-48AD9F302C7A}</author>
    <author>tc={7334074D-CC4A-4F17-9D61-C5EB17BE8BCF}</author>
    <author>tc={D1E6185A-8C13-46EE-A119-A8DA7AA486E1}</author>
    <author>tc={80CE35AE-E865-4CB9-8A7F-140090F01133}</author>
    <author>tc={E06E290D-B9DC-4B36-BA3B-9E456784CB14}</author>
    <author>tc={F5B86D68-3843-485D-A1DF-CF8C8582EC8B}</author>
    <author>tc={C2B1F742-7BDD-4AC0-9515-46EDB31C8564}</author>
    <author>tc={DBCBBE8A-82DF-4654-96DB-880AA5CB0A4B}</author>
    <author>tc={787B4FE5-976C-44FB-AA09-3940DE2D25D3}</author>
    <author>tc={AA2A3CCE-9BA2-4E19-8B98-25EE7ED88A46}</author>
    <author>tc={5E4D5E3F-5295-4618-93DD-8CAA6FFAF1A0}</author>
    <author>tc={23917BBF-956C-41C7-B976-07ACB1FC8AE8}</author>
    <author>tc={E34CE6FC-2408-4215-ACE8-4C3A2ADAC5AC}</author>
    <author>tc={3AB1EF9C-CCAC-4141-9889-B36D8AEB5B23}</author>
    <author>tc={A7BF2DF0-6375-438E-9552-63895E3B92BE}</author>
    <author>tc={39F89DE3-A9DA-4CF3-857D-01BD21C1453B}</author>
    <author>tc={FEE46E14-C439-4CC1-9BFD-27FEA6387A21}</author>
    <author>tc={476BDDAB-2A7F-4EA4-83D8-ACC905ADF754}</author>
    <author>tc={4D274629-B9D5-4DB0-AA74-FE55777CC779}</author>
    <author>tc={97AADE6F-FEF0-4D49-9CB6-1541E8BB6A7D}</author>
    <author>tc={0F8EAD5B-2ADC-4E2C-A0B9-F207790D8165}</author>
    <author>tc={9C27D897-6FB7-4730-8C3A-0542354DC28F}</author>
    <author>tc={F7ADA7F9-05BE-42E1-9F93-C2EA4305577C}</author>
    <author>tc={3D0CDAFD-85A2-4BAF-BB2D-F30F321F412A}</author>
    <author>tc={FAE1B11E-97D0-41D3-A2C9-E89EB7EDA1D4}</author>
    <author>tc={EF98B3F8-E630-4C1D-BABD-8D890C8CAB2F}</author>
    <author>tc={0306599E-BB77-4903-9D91-E77E690057FA}</author>
    <author>tc={61474E54-0434-42F8-8BDE-5341F90E1FB2}</author>
    <author>tc={88347A99-F899-4CAB-847F-984D9D2979CA}</author>
    <author>tc={1DECA6D6-AA0B-4AD1-978A-E77606AA40E0}</author>
    <author>tc={764B96F7-D718-4F7F-95C4-B24576D01695}</author>
    <author>tc={C8D1716D-FC50-4772-8128-679CD8D4B3E6}</author>
    <author>tc={25E70AD6-04EC-40CE-A0A3-D9227B60A6C5}</author>
    <author>tc={631F2317-7946-452A-8FB2-0DC75D365C06}</author>
    <author>tc={9BF8A00F-FD74-411D-8F74-89B76502C241}</author>
    <author>tc={1B49329E-8EDB-4AF7-8706-C114B7C4B1CB}</author>
    <author>tc={C5706941-36CC-4811-AD10-7331A91E2591}</author>
    <author>tc={5E72E36A-4285-4217-8063-1D97D6BA9909}</author>
    <author>tc={B6311D9D-C308-4C75-B348-0D0DE8D64549}</author>
    <author>tc={91569CAD-B5AE-4C93-88CD-7BCADD545B86}</author>
    <author>tc={6A3F4A1C-7207-4390-B149-81FD19FF080D}</author>
    <author>tc={D4E59F99-3A71-4379-80E7-69B57C8BDF5A}</author>
    <author>tc={BFFB677A-B08E-456E-A752-D1C4BC438333}</author>
    <author>tc={AA19D63A-27FC-405D-B8AB-8C02F219B576}</author>
    <author>tc={1ECAD4ED-4005-4209-BF4B-8FDCBD9E11CB}</author>
    <author>tc={8341C042-7A9E-4059-9B90-0F8F3D555297}</author>
    <author>tc={62542DAC-FCD4-4FE7-ABD1-7D8D29E62385}</author>
    <author>tc={D114B6E3-D9BC-47EA-8C84-C6FCB38E7D21}</author>
    <author>tc={51638710-C753-4CD0-BE93-E9D75F8B337E}</author>
    <author>tc={3C7C60D7-D80E-4E5A-810C-87E5ECD02125}</author>
    <author>tc={4C2F8F54-2978-48B7-9A00-A45A6B88AB13}</author>
    <author>tc={0D910EE3-4A0E-408A-87E1-0D699C936729}</author>
    <author>tc={6C324A4D-079B-46D5-B4E8-0DE11064E6BB}</author>
    <author>tc={B2594E54-8D27-4148-B819-FC5BA2E3E810}</author>
    <author>tc={ED3CF7FA-C802-47B7-BF9A-3D01166808A1}</author>
    <author>tc={97561AC3-04F5-4513-89C5-91E2D1CE4940}</author>
    <author>tc={B459E022-384B-4CCB-A342-ABF0AD911C26}</author>
    <author>tc={3FCD8A8B-91AC-4DDC-A449-4C58EC1CD160}</author>
  </authors>
  <commentList>
    <comment ref="G6" authorId="0" shapeId="0" xr:uid="{C9D39ABA-F02D-4212-B35A-B12B728811B3}">
      <text>
        <r>
          <rPr>
            <b/>
            <sz val="9"/>
            <color indexed="81"/>
            <rFont val="Tahoma"/>
            <family val="2"/>
          </rPr>
          <t>Commercial Operation Date</t>
        </r>
      </text>
    </comment>
    <comment ref="J7" authorId="1" shapeId="0" xr:uid="{11B39DE6-B7E5-4809-9DF5-EBFE4E82532D}">
      <text>
        <t>[Threaded comment]
Your version of Excel allows you to read this threaded comment; however, any edits to it will get removed if the file is opened in a newer version of Excel. Learn more: https://go.microsoft.com/fwlink/?linkid=870924
Comment:
    Source: See Veg Prices Tab</t>
      </text>
    </comment>
    <comment ref="N7" authorId="2" shapeId="0" xr:uid="{92ED955D-4040-4574-98E9-0BBDA30438BB}">
      <text>
        <t>[Threaded comment]
Your version of Excel allows you to read this threaded comment; however, any edits to it will get removed if the file is opened in a newer version of Excel. Learn more: https://go.microsoft.com/fwlink/?linkid=870924
Comment:
    Source: See Data Sources Tab</t>
      </text>
    </comment>
    <comment ref="J8" authorId="3" shapeId="0" xr:uid="{90027BFB-918C-4FFB-9898-B11D8CE43624}">
      <text>
        <t>[Threaded comment]
Your version of Excel allows you to read this threaded comment; however, any edits to it will get removed if the file is opened in a newer version of Excel. Learn more: https://go.microsoft.com/fwlink/?linkid=870924
Comment:
    Source: See Veg Prices Tab</t>
      </text>
    </comment>
    <comment ref="N8" authorId="4" shapeId="0" xr:uid="{18C55FF1-02DA-4F5F-9861-342BBCFFA533}">
      <text>
        <t>[Threaded comment]
Your version of Excel allows you to read this threaded comment; however, any edits to it will get removed if the file is opened in a newer version of Excel. Learn more: https://go.microsoft.com/fwlink/?linkid=870924
Comment:
    Source: See Data Sources Tab</t>
      </text>
    </comment>
    <comment ref="J9" authorId="5" shapeId="0" xr:uid="{A43612E1-0F13-4942-B72A-F74B7BA06B59}">
      <text>
        <t>[Threaded comment]
Your version of Excel allows you to read this threaded comment; however, any edits to it will get removed if the file is opened in a newer version of Excel. Learn more: https://go.microsoft.com/fwlink/?linkid=870924
Comment:
    User Assumption</t>
      </text>
    </comment>
    <comment ref="N9" authorId="6" shapeId="0" xr:uid="{76468B54-E0C5-47CA-ADCB-9CB4F61A6466}">
      <text>
        <t>[Threaded comment]
Your version of Excel allows you to read this threaded comment; however, any edits to it will get removed if the file is opened in a newer version of Excel. Learn more: https://go.microsoft.com/fwlink/?linkid=870924
Comment:
    Source: https://www.wbdg.org/resources/geothermal-energy-direct-use
Also see: http://www.knowledgebank.irri.org/step-by-step-production/postharvest/drying/economic-aspects-of-drying</t>
      </text>
    </comment>
    <comment ref="J10" authorId="7" shapeId="0" xr:uid="{AC4A6066-3D51-45E3-AC87-0629FF92DA82}">
      <text>
        <t>[Threaded comment]
Your version of Excel allows you to read this threaded comment; however, any edits to it will get removed if the file is opened in a newer version of Excel. Learn more: https://go.microsoft.com/fwlink/?linkid=870924
Comment:
    User Assumption</t>
      </text>
    </comment>
    <comment ref="N10" authorId="8" shapeId="0" xr:uid="{C4B2966C-89BD-4F1D-AD73-DAEA046B05DA}">
      <text>
        <t>[Threaded comment]
Your version of Excel allows you to read this threaded comment; however, any edits to it will get removed if the file is opened in a newer version of Excel. Learn more: https://go.microsoft.com/fwlink/?linkid=870924
Comment:
    Source: See Data Sources Tab</t>
      </text>
    </comment>
    <comment ref="J11" authorId="9" shapeId="0" xr:uid="{490BC686-1799-4CB7-9FD8-BB01D33127C2}">
      <text>
        <t>[Threaded comment]
Your version of Excel allows you to read this threaded comment; however, any edits to it will get removed if the file is opened in a newer version of Excel. Learn more: https://go.microsoft.com/fwlink/?linkid=870924
Comment:
    User Assumption</t>
      </text>
    </comment>
    <comment ref="N12" authorId="10" shapeId="0" xr:uid="{347A5663-EA2F-474C-AB0E-423B4FE37C12}">
      <text>
        <t>[Threaded comment]
Your version of Excel allows you to read this threaded comment; however, any edits to it will get removed if the file is opened in a newer version of Excel. Learn more: https://go.microsoft.com/fwlink/?linkid=870924
Comment:
    Source: See Data Sources Tab</t>
      </text>
    </comment>
    <comment ref="C13" authorId="11" shapeId="0" xr:uid="{BC294B85-874A-4A45-B800-A9097FC62FC4}">
      <text>
        <t>[Threaded comment]
Your version of Excel allows you to read this threaded comment; however, any edits to it will get removed if the file is opened in a newer version of Excel. Learn more: https://go.microsoft.com/fwlink/?linkid=870924
Comment:
    Source: https://www.diva-portal.org/smash/get/diva2:742038/FULLTEXT01.pdf (Page 42) (Assuming one unit is needed per dryer)</t>
      </text>
    </comment>
    <comment ref="N13" authorId="12" shapeId="0" xr:uid="{7062DA9F-C261-4AC5-8B12-D57DB45F7843}">
      <text>
        <t>[Threaded comment]
Your version of Excel allows you to read this threaded comment; however, any edits to it will get removed if the file is opened in a newer version of Excel. Learn more: https://go.microsoft.com/fwlink/?linkid=870924
Comment:
    Assumes that equipment will be purchased and not leased</t>
      </text>
    </comment>
    <comment ref="C14" authorId="13" shapeId="0" xr:uid="{72737917-0405-438C-8CFA-48AD9F302C7A}">
      <text>
        <t>[Threaded comment]
Your version of Excel allows you to read this threaded comment; however, any edits to it will get removed if the file is opened in a newer version of Excel. Learn more: https://go.microsoft.com/fwlink/?linkid=870924
Comment:
    Source: https://www.diva-portal.org/smash/get/diva2:742038/FULLTEXT01.pdf (Page 42)</t>
      </text>
    </comment>
    <comment ref="F14" authorId="14" shapeId="0" xr:uid="{7334074D-CC4A-4F17-9D61-C5EB17BE8BCF}">
      <text>
        <t>[Threaded comment]
Your version of Excel allows you to read this threaded comment; however, any edits to it will get removed if the file is opened in a newer version of Excel. Learn more: https://go.microsoft.com/fwlink/?linkid=870924
Comment:
    User Assumption</t>
      </text>
    </comment>
    <comment ref="J14" authorId="15" shapeId="0" xr:uid="{D1E6185A-8C13-46EE-A119-A8DA7AA486E1}">
      <text>
        <t>[Threaded comment]
Your version of Excel allows you to read this threaded comment; however, any edits to it will get removed if the file is opened in a newer version of Excel. Learn more: https://go.microsoft.com/fwlink/?linkid=870924
Comment:
    Source: See Data Sources Tab</t>
      </text>
    </comment>
    <comment ref="N14" authorId="16" shapeId="0" xr:uid="{80CE35AE-E865-4CB9-8A7F-140090F01133}">
      <text>
        <t>[Threaded comment]
Your version of Excel allows you to read this threaded comment; however, any edits to it will get removed if the file is opened in a newer version of Excel. Learn more: https://go.microsoft.com/fwlink/?linkid=870924
Comment:
    User Assumption. Assuming same cost as Marketing</t>
      </text>
    </comment>
    <comment ref="C15" authorId="17" shapeId="0" xr:uid="{E06E290D-B9DC-4B36-BA3B-9E456784CB14}">
      <text>
        <t>[Threaded comment]
Your version of Excel allows you to read this threaded comment; however, any edits to it will get removed if the file is opened in a newer version of Excel. Learn more: https://go.microsoft.com/fwlink/?linkid=870924
Comment:
    Source: https://www.diva-portal.org/smash/get/diva2:742038/FULLTEXT01.pdf (Page 42)</t>
      </text>
    </comment>
    <comment ref="F15" authorId="18" shapeId="0" xr:uid="{F5B86D68-3843-485D-A1DF-CF8C8582EC8B}">
      <text>
        <t>[Threaded comment]
Your version of Excel allows you to read this threaded comment; however, any edits to it will get removed if the file is opened in a newer version of Excel. Learn more: https://go.microsoft.com/fwlink/?linkid=870924
Comment:
    User Assumption</t>
      </text>
    </comment>
    <comment ref="N15" authorId="19" shapeId="0" xr:uid="{C2B1F742-7BDD-4AC0-9515-46EDB31C8564}">
      <text>
        <t>[Threaded comment]
Your version of Excel allows you to read this threaded comment; however, any edits to it will get removed if the file is opened in a newer version of Excel. Learn more: https://go.microsoft.com/fwlink/?linkid=870924
Comment:
    Source: https://www.business2community.com/marketing/how-much-should-you-spend-on-marketing-your-small-business-02316226 (Assuming Walmart figure)</t>
      </text>
    </comment>
    <comment ref="C16" authorId="20" shapeId="0" xr:uid="{DBCBBE8A-82DF-4654-96DB-880AA5CB0A4B}">
      <text>
        <t>[Threaded comment]
Your version of Excel allows you to read this threaded comment; however, any edits to it will get removed if the file is opened in a newer version of Excel. Learn more: https://go.microsoft.com/fwlink/?linkid=870924
Comment:
    Source: https://www.diva-portal.org/smash/get/diva2:742038/FULLTEXT01.pdf (Page 42)</t>
      </text>
    </comment>
    <comment ref="F16" authorId="21" shapeId="0" xr:uid="{787B4FE5-976C-44FB-AA09-3940DE2D25D3}">
      <text>
        <t>[Threaded comment]
Your version of Excel allows you to read this threaded comment; however, any edits to it will get removed if the file is opened in a newer version of Excel. Learn more: https://go.microsoft.com/fwlink/?linkid=870924
Comment:
    User Assumption</t>
      </text>
    </comment>
    <comment ref="N16" authorId="22" shapeId="0" xr:uid="{AA2A3CCE-9BA2-4E19-8B98-25EE7ED88A46}">
      <text>
        <t>[Threaded comment]
Your version of Excel allows you to read this threaded comment; however, any edits to it will get removed if the file is opened in a newer version of Excel. Learn more: https://go.microsoft.com/fwlink/?linkid=870924
Comment:
    Source: https://www.justbusiness.com/starting-a-small-business/business-startup-costs</t>
      </text>
    </comment>
    <comment ref="C17" authorId="23" shapeId="0" xr:uid="{5E4D5E3F-5295-4618-93DD-8CAA6FFAF1A0}">
      <text>
        <t>[Threaded comment]
Your version of Excel allows you to read this threaded comment; however, any edits to it will get removed if the file is opened in a newer version of Excel. Learn more: https://go.microsoft.com/fwlink/?linkid=870924
Comment:
    Source: https://www.diva-portal.org/smash/get/diva2:742038/FULLTEXT01.pdf (Page 42)</t>
      </text>
    </comment>
    <comment ref="J17" authorId="24" shapeId="0" xr:uid="{23917BBF-956C-41C7-B976-07ACB1FC8AE8}">
      <text>
        <t>[Threaded comment]
Your version of Excel allows you to read this threaded comment; however, any edits to it will get removed if the file is opened in a newer version of Excel. Learn more: https://go.microsoft.com/fwlink/?linkid=870924
Comment:
    Source: "A Guide for the Development of Geothermal Direct – Use Projects in Tanzania" Pg 13</t>
      </text>
    </comment>
    <comment ref="N17" authorId="25" shapeId="0" xr:uid="{E34CE6FC-2408-4215-ACE8-4C3A2ADAC5AC}">
      <text>
        <t>[Threaded comment]
Your version of Excel allows you to read this threaded comment; however, any edits to it will get removed if the file is opened in a newer version of Excel. Learn more: https://go.microsoft.com/fwlink/?linkid=870924
Comment:
    Source: https://www.indiamart.com/proddetail/plastic-packaging-bags-11059930655.html
Assuming twice the cost due to the lighter weight of vegetables</t>
      </text>
    </comment>
    <comment ref="C18" authorId="26" shapeId="0" xr:uid="{3AB1EF9C-CCAC-4141-9889-B36D8AEB5B23}">
      <text>
        <t>[Threaded comment]
Your version of Excel allows you to read this threaded comment; however, any edits to it will get removed if the file is opened in a newer version of Excel. Learn more: https://go.microsoft.com/fwlink/?linkid=870924
Comment:
    Source: http://repository.pauwes-cop.net/bitstream/handle/1/124/MT_ALBERT_KHAMALA.pdf?sequence=1&amp;isAllowed=y (Page 121)</t>
      </text>
    </comment>
    <comment ref="C19" authorId="27" shapeId="0" xr:uid="{A7BF2DF0-6375-438E-9552-63895E3B92BE}">
      <text>
        <t>[Threaded comment]
Your version of Excel allows you to read this threaded comment; however, any edits to it will get removed if the file is opened in a newer version of Excel. Learn more: https://go.microsoft.com/fwlink/?linkid=870924
Comment:
    Source: http://repository.pauwes-cop.net/bitstream/handle/1/124/MT_ALBERT_KHAMALA.pdf?sequence=1&amp;isAllowed=y (Page 121) (Assuming one unit is needed per dryer)</t>
      </text>
    </comment>
    <comment ref="J19" authorId="28" shapeId="0" xr:uid="{39F89DE3-A9DA-4CF3-857D-01BD21C1453B}">
      <text>
        <t>[Threaded comment]
Your version of Excel allows you to read this threaded comment; however, any edits to it will get removed if the file is opened in a newer version of Excel. Learn more: https://go.microsoft.com/fwlink/?linkid=870924
Comment:
    User Assumption</t>
      </text>
    </comment>
    <comment ref="G20" authorId="29" shapeId="0" xr:uid="{FEE46E14-C439-4CC1-9BFD-27FEA6387A21}">
      <text>
        <t>[Threaded comment]
Your version of Excel allows you to read this threaded comment; however, any edits to it will get removed if the file is opened in a newer version of Excel. Learn more: https://go.microsoft.com/fwlink/?linkid=870924
Comment:
    User Assumption</t>
      </text>
    </comment>
    <comment ref="C21" authorId="30" shapeId="0" xr:uid="{476BDDAB-2A7F-4EA4-83D8-ACC905ADF754}">
      <text>
        <t>[Threaded comment]
Your version of Excel allows you to read this threaded comment; however, any edits to it will get removed if the file is opened in a newer version of Excel. Learn more: https://go.microsoft.com/fwlink/?linkid=870924
Comment:
    Source: https://www.tradewheel.com/p/fruit-peeling-cutting-machine-vegetables-642597/</t>
      </text>
    </comment>
    <comment ref="G21" authorId="31" shapeId="0" xr:uid="{4D274629-B9D5-4DB0-AA74-FE55777CC779}">
      <text>
        <t>[Threaded comment]
Your version of Excel allows you to read this threaded comment; however, any edits to it will get removed if the file is opened in a newer version of Excel. Learn more: https://go.microsoft.com/fwlink/?linkid=870924
Comment:
    User Assumption</t>
      </text>
    </comment>
    <comment ref="C22" authorId="32" shapeId="0" xr:uid="{97AADE6F-FEF0-4D49-9CB6-1541E8BB6A7D}">
      <text>
        <t>[Threaded comment]
Your version of Excel allows you to read this threaded comment; however, any edits to it will get removed if the file is opened in a newer version of Excel. Learn more: https://go.microsoft.com/fwlink/?linkid=870924
Comment:
    Source: https://www.tradewheel.com/p/precooling-machinevacuum-vegetable-cooling-machine-6899813/</t>
      </text>
    </comment>
    <comment ref="C23" authorId="33" shapeId="0" xr:uid="{0F8EAD5B-2ADC-4E2C-A0B9-F207790D8165}">
      <text>
        <t>[Threaded comment]
Your version of Excel allows you to read this threaded comment; however, any edits to it will get removed if the file is opened in a newer version of Excel. Learn more: https://go.microsoft.com/fwlink/?linkid=870924
Comment:
    Source: https://m.made-in-china,com/product/Dry-Fruits-Fully-Automatic-Packing-Machine-901463575.html</t>
      </text>
    </comment>
    <comment ref="N23" authorId="34" shapeId="0" xr:uid="{9C27D897-6FB7-4730-8C3A-0542354DC28F}">
      <text>
        <t>[Threaded comment]
Your version of Excel allows you to read this threaded comment; however, any edits to it will get removed if the file is opened in a newer version of Excel. Learn more: https://go.microsoft.com/fwlink/?linkid=870924
Comment:
    User Assumption</t>
      </text>
    </comment>
    <comment ref="G25" authorId="35" shapeId="0" xr:uid="{F7ADA7F9-05BE-42E1-9F93-C2EA4305577C}">
      <text>
        <t>[Threaded comment]
Your version of Excel allows you to read this threaded comment; however, any edits to it will get removed if the file is opened in a newer version of Excel. Learn more: https://go.microsoft.com/fwlink/?linkid=870924
Comment:
    Source: See Data Sources Tab</t>
      </text>
    </comment>
    <comment ref="G26" authorId="36" shapeId="0" xr:uid="{3D0CDAFD-85A2-4BAF-BB2D-F30F321F412A}">
      <text>
        <t>[Threaded comment]
Your version of Excel allows you to read this threaded comment; however, any edits to it will get removed if the file is opened in a newer version of Excel. Learn more: https://go.microsoft.com/fwlink/?linkid=870924
Comment:
    Source: https://iufost.org/wp-content/uploads/2017/08/Drying-Part-2.pdf (using oregano as an example)</t>
      </text>
    </comment>
    <comment ref="G27" authorId="37" shapeId="0" xr:uid="{FAE1B11E-97D0-41D3-A2C9-E89EB7EDA1D4}">
      <text>
        <t>[Threaded comment]
Your version of Excel allows you to read this threaded comment; however, any edits to it will get removed if the file is opened in a newer version of Excel. Learn more: https://go.microsoft.com/fwlink/?linkid=870924
Comment:
    Source: https://iufost.org/wp-content/uploads/2017/08/Drying-Part-2.pdf (using oregano as an example)</t>
      </text>
    </comment>
    <comment ref="N27" authorId="38" shapeId="0" xr:uid="{EF98B3F8-E630-4C1D-BABD-8D890C8CAB2F}">
      <text>
        <t>[Threaded comment]
Your version of Excel allows you to read this threaded comment; however, any edits to it will get removed if the file is opened in a newer version of Excel. Learn more: https://go.microsoft.com/fwlink/?linkid=870924
Comment:
    Source: See Data Sources Tab</t>
      </text>
    </comment>
    <comment ref="N28" authorId="39" shapeId="0" xr:uid="{0306599E-BB77-4903-9D91-E77E690057FA}">
      <text>
        <t>[Threaded comment]
Your version of Excel allows you to read this threaded comment; however, any edits to it will get removed if the file is opened in a newer version of Excel. Learn more: https://go.microsoft.com/fwlink/?linkid=870924
Comment:
    Source: See Data Sources Tab</t>
      </text>
    </comment>
    <comment ref="G29" authorId="40" shapeId="0" xr:uid="{61474E54-0434-42F8-8BDE-5341F90E1FB2}">
      <text>
        <t>[Threaded comment]
Your version of Excel allows you to read this threaded comment; however, any edits to it will get removed if the file is opened in a newer version of Excel. Learn more: https://go.microsoft.com/fwlink/?linkid=870924
Comment:
    http://projects.nri.org/nret/fruitnil.pdf (Page 7)</t>
      </text>
    </comment>
    <comment ref="N29" authorId="41" shapeId="0" xr:uid="{88347A99-F899-4CAB-847F-984D9D2979CA}">
      <text>
        <t>[Threaded comment]
Your version of Excel allows you to read this threaded comment; however, any edits to it will get removed if the file is opened in a newer version of Excel. Learn more: https://go.microsoft.com/fwlink/?linkid=870924
Comment:
    Source: See Data Sources Tab</t>
      </text>
    </comment>
    <comment ref="G30" authorId="42" shapeId="0" xr:uid="{1DECA6D6-AA0B-4AD1-978A-E77606AA40E0}">
      <text>
        <t>[Threaded comment]
Your version of Excel allows you to read this threaded comment; however, any edits to it will get removed if the file is opened in a newer version of Excel. Learn more: https://go.microsoft.com/fwlink/?linkid=870924
Comment:
    User Assumption</t>
      </text>
    </comment>
    <comment ref="N31" authorId="43" shapeId="0" xr:uid="{764B96F7-D718-4F7F-95C4-B24576D01695}">
      <text>
        <t>[Threaded comment]
Your version of Excel allows you to read this threaded comment; however, any edits to it will get removed if the file is opened in a newer version of Excel. Learn more: https://go.microsoft.com/fwlink/?linkid=870924
Comment:
    Source: See Data Sources Tab</t>
      </text>
    </comment>
    <comment ref="C32" authorId="44" shapeId="0" xr:uid="{C8D1716D-FC50-4772-8128-679CD8D4B3E6}">
      <text>
        <t>[Threaded comment]
Your version of Excel allows you to read this threaded comment; however, any edits to it will get removed if the file is opened in a newer version of Excel. Learn more: https://go.microsoft.com/fwlink/?linkid=870924
Comment:
    https://www.diva-portal.org/smash/get/diva2:742038/FULLTEXT01.pdf (Page 35)</t>
      </text>
    </comment>
    <comment ref="G32" authorId="45" shapeId="0" xr:uid="{25E70AD6-04EC-40CE-A0A3-D9227B60A6C5}">
      <text>
        <t>[Threaded comment]
Your version of Excel allows you to read this threaded comment; however, any edits to it will get removed if the file is opened in a newer version of Excel. Learn more: https://go.microsoft.com/fwlink/?linkid=870924
Comment:
    Source: https://www.sintef.no/globalassets/project/drymeat/presentation2_fermentedmeat_bantle_dryingeconomics.pdf (Page 42) (Assuming same parameter as fish drying)</t>
      </text>
    </comment>
    <comment ref="N32" authorId="46" shapeId="0" xr:uid="{631F2317-7946-452A-8FB2-0DC75D365C06}">
      <text>
        <t>[Threaded comment]
Your version of Excel allows you to read this threaded comment; however, any edits to it will get removed if the file is opened in a newer version of Excel. Learn more: https://go.microsoft.com/fwlink/?linkid=870924
Comment:
    Assuming sales reps/distributors are not on the payroll but get remunerated by price mark-ups</t>
      </text>
    </comment>
    <comment ref="C33" authorId="47" shapeId="0" xr:uid="{9BF8A00F-FD74-411D-8F74-89B76502C241}">
      <text>
        <t>[Threaded comment]
Your version of Excel allows you to read this threaded comment; however, any edits to it will get removed if the file is opened in a newer version of Excel. Learn more: https://go.microsoft.com/fwlink/?linkid=870924
Comment:
    https://www.diva-portal.org/smash/get/diva2:742038/FULLTEXT01.pdf (Page 35)</t>
      </text>
    </comment>
    <comment ref="G33" authorId="48" shapeId="0" xr:uid="{1B49329E-8EDB-4AF7-8706-C114B7C4B1CB}">
      <text>
        <t>[Threaded comment]
Your version of Excel allows you to read this threaded comment; however, any edits to it will get removed if the file is opened in a newer version of Excel. Learn more: https://go.microsoft.com/fwlink/?linkid=870924
Comment:
    Source: http://www.fao.org/3/W6864E/w6864e0b.htm</t>
      </text>
    </comment>
    <comment ref="C34" authorId="49" shapeId="0" xr:uid="{C5706941-36CC-4811-AD10-7331A91E2591}">
      <text>
        <t>[Threaded comment]
Your version of Excel allows you to read this threaded comment; however, any edits to it will get removed if the file is opened in a newer version of Excel. Learn more: https://go.microsoft.com/fwlink/?linkid=870924
Comment:
    https://www.diva-portal.org/smash/get/diva2:742038/FULLTEXT01.pdf (Page 35)</t>
      </text>
    </comment>
    <comment ref="G34" authorId="50" shapeId="0" xr:uid="{5E72E36A-4285-4217-8063-1D97D6BA9909}">
      <text>
        <t>[Threaded comment]
Your version of Excel allows you to read this threaded comment; however, any edits to it will get removed if the file is opened in a newer version of Excel. Learn more: https://go.microsoft.com/fwlink/?linkid=870924
Comment:
    Source: https://iufost.org/wp-content/uploads/2017/08/Drying-Part-2.pdf (Page 57) (Assuming Oregano)</t>
      </text>
    </comment>
    <comment ref="C35" authorId="51" shapeId="0" xr:uid="{B6311D9D-C308-4C75-B348-0D0DE8D64549}">
      <text>
        <t>[Threaded comment]
Your version of Excel allows you to read this threaded comment; however, any edits to it will get removed if the file is opened in a newer version of Excel. Learn more: https://go.microsoft.com/fwlink/?linkid=870924
Comment:
    https://www.diva-portal.org/smash/get/diva2:742038/FULLTEXT01.pdf (Page 38)</t>
      </text>
    </comment>
    <comment ref="G35" authorId="52" shapeId="0" xr:uid="{91569CAD-B5AE-4C93-88CD-7BCADD545B86}">
      <text>
        <t>[Threaded comment]
Your version of Excel allows you to read this threaded comment; however, any edits to it will get removed if the file is opened in a newer version of Excel. Learn more: https://go.microsoft.com/fwlink/?linkid=870924
Comment:
    User Assumption</t>
      </text>
    </comment>
    <comment ref="C36" authorId="53" shapeId="0" xr:uid="{6A3F4A1C-7207-4390-B149-81FD19FF080D}">
      <text>
        <t>[Threaded comment]
Your version of Excel allows you to read this threaded comment; however, any edits to it will get removed if the file is opened in a newer version of Excel. Learn more: https://go.microsoft.com/fwlink/?linkid=870924
Comment:
    https://www.diva-portal.org/smash/get/diva2:742038/FULLTEXT01.pdf (Page 38)</t>
      </text>
    </comment>
    <comment ref="C37" authorId="54" shapeId="0" xr:uid="{D4E59F99-3A71-4379-80E7-69B57C8BDF5A}">
      <text>
        <t>[Threaded comment]
Your version of Excel allows you to read this threaded comment; however, any edits to it will get removed if the file is opened in a newer version of Excel. Learn more: https://go.microsoft.com/fwlink/?linkid=870924
Comment:
    https://www.diva-portal.org/smash/get/diva2:742038/FULLTEXT01.pdf (Page 35)</t>
      </text>
    </comment>
    <comment ref="G37" authorId="55" shapeId="0" xr:uid="{BFFB677A-B08E-456E-A752-D1C4BC438333}">
      <text>
        <t>[Threaded comment]
Your version of Excel allows you to read this threaded comment; however, any edits to it will get removed if the file is opened in a newer version of Excel. Learn more: https://go.microsoft.com/fwlink/?linkid=870924
Comment:
    Source: https://www.sciencedirect.com/science/article/pii/S0301479720306629 (The assumed dryer has a max 1-ton per batch capacity)</t>
      </text>
    </comment>
    <comment ref="C38" authorId="56" shapeId="0" xr:uid="{AA19D63A-27FC-405D-B8AB-8C02F219B576}">
      <text>
        <t>[Threaded comment]
Your version of Excel allows you to read this threaded comment; however, any edits to it will get removed if the file is opened in a newer version of Excel. Learn more: https://go.microsoft.com/fwlink/?linkid=870924
Comment:
    https://www.diva-portal.org/smash/get/diva2:742038/FULLTEXT01.pdf (Page 35,38)</t>
      </text>
    </comment>
    <comment ref="M38" authorId="57" shapeId="0" xr:uid="{1ECAD4ED-4005-4209-BF4B-8FDCBD9E11CB}">
      <text>
        <t>[Threaded comment]
Your version of Excel allows you to read this threaded comment; however, any edits to it will get removed if the file is opened in a newer version of Excel. Learn more: https://go.microsoft.com/fwlink/?linkid=870924
Comment:
    User Assumption</t>
      </text>
    </comment>
    <comment ref="G39" authorId="58" shapeId="0" xr:uid="{8341C042-7A9E-4059-9B90-0F8F3D555297}">
      <text>
        <t>[Threaded comment]
Your version of Excel allows you to read this threaded comment; however, any edits to it will get removed if the file is opened in a newer version of Excel. Learn more: https://go.microsoft.com/fwlink/?linkid=870924
Comment:
    User Assumption</t>
      </text>
    </comment>
    <comment ref="M39" authorId="59" shapeId="0" xr:uid="{62542DAC-FCD4-4FE7-ABD1-7D8D29E62385}">
      <text>
        <t>[Threaded comment]
Your version of Excel allows you to read this threaded comment; however, any edits to it will get removed if the file is opened in a newer version of Excel. Learn more: https://go.microsoft.com/fwlink/?linkid=870924
Comment:
    http://projects.nri.org/nret/fruitnil.pdf Fruit of the Nile also had only 5 FTEs at some point, although the firm only inspects, sorts, packs and exports.</t>
      </text>
    </comment>
    <comment ref="M40" authorId="60" shapeId="0" xr:uid="{D114B6E3-D9BC-47EA-8C84-C6FCB38E7D21}">
      <text>
        <t>[Threaded comment]
Your version of Excel allows you to read this threaded comment; however, any edits to it will get removed if the file is opened in a newer version of Excel. Learn more: https://go.microsoft.com/fwlink/?linkid=870924
Comment:
    User Assumption</t>
      </text>
    </comment>
    <comment ref="C42" authorId="61" shapeId="0" xr:uid="{51638710-C753-4CD0-BE93-E9D75F8B337E}">
      <text>
        <t>[Threaded comment]
Your version of Excel allows you to read this threaded comment; however, any edits to it will get removed if the file is opened in a newer version of Excel. Learn more: https://go.microsoft.com/fwlink/?linkid=870924
Comment:
    https://www.gardeningknowhow.com/edible/herbs/oregano/growing-oregano-indoors.htm#:~:text=Indoor%20oregano%20plants%20need%20similar,day%20and%2055%2D60%20F.</t>
      </text>
    </comment>
    <comment ref="M42" authorId="62" shapeId="0" xr:uid="{3C7C60D7-D80E-4E5A-810C-87E5ECD02125}">
      <text>
        <t>[Threaded comment]
Your version of Excel allows you to read this threaded comment; however, any edits to it will get removed if the file is opened in a newer version of Excel. Learn more: https://go.microsoft.com/fwlink/?linkid=870924
Comment:
    User Assumption</t>
      </text>
    </comment>
    <comment ref="C43" authorId="63" shapeId="0" xr:uid="{4C2F8F54-2978-48B7-9A00-A45A6B88AB13}">
      <text>
        <t>[Threaded comment]
Your version of Excel allows you to read this threaded comment; however, any edits to it will get removed if the file is opened in a newer version of Excel. Learn more: https://go.microsoft.com/fwlink/?linkid=870924
Comment:
    https://iufost.org/wp-content/uploads/2017/08/Drying-Part-2.pdf (Page 54) (Assuming Oregano)</t>
      </text>
    </comment>
    <comment ref="G43" authorId="64" shapeId="0" xr:uid="{0D910EE3-4A0E-408A-87E1-0D699C936729}">
      <text>
        <t>[Threaded comment]
Your version of Excel allows you to read this threaded comment; however, any edits to it will get removed if the file is opened in a newer version of Excel. Learn more: https://go.microsoft.com/fwlink/?linkid=870924
Comment:
    Source: https://www.sciencedirect.com/science/article/pii/S0301479720306629</t>
      </text>
    </comment>
    <comment ref="M43" authorId="65" shapeId="0" xr:uid="{6C324A4D-079B-46D5-B4E8-0DE11064E6BB}">
      <text>
        <t>[Threaded comment]
Your version of Excel allows you to read this threaded comment; however, any edits to it will get removed if the file is opened in a newer version of Excel. Learn more: https://go.microsoft.com/fwlink/?linkid=870924
Comment:
    User Assumption. Assuming various types of vegetables will be harvested year round</t>
      </text>
    </comment>
    <comment ref="G44" authorId="66" shapeId="0" xr:uid="{B2594E54-8D27-4148-B819-FC5BA2E3E810}">
      <text>
        <t>[Threaded comment]
Your version of Excel allows you to read this threaded comment; however, any edits to it will get removed if the file is opened in a newer version of Excel. Learn more: https://go.microsoft.com/fwlink/?linkid=870924
Comment:
    User Assumption</t>
      </text>
    </comment>
    <comment ref="C45" authorId="67" shapeId="0" xr:uid="{ED3CF7FA-C802-47B7-BF9A-3D01166808A1}">
      <text>
        <t>[Threaded comment]
Your version of Excel allows you to read this threaded comment; however, any edits to it will get removed if the file is opened in a newer version of Excel. Learn more: https://go.microsoft.com/fwlink/?linkid=870924
Comment:
    Source: https://www.diva-portal.org/smash/get/diva2:742038/FULLTEXT01.pdf (Page 36)</t>
      </text>
    </comment>
    <comment ref="G45" authorId="68" shapeId="0" xr:uid="{97561AC3-04F5-4513-89C5-91E2D1CE4940}">
      <text>
        <t>[Threaded comment]
Your version of Excel allows you to read this threaded comment; however, any edits to it will get removed if the file is opened in a newer version of Excel. Learn more: https://go.microsoft.com/fwlink/?linkid=870924
Comment:
    User Assumption</t>
      </text>
    </comment>
    <comment ref="C46" authorId="69" shapeId="0" xr:uid="{B459E022-384B-4CCB-A342-ABF0AD911C26}">
      <text>
        <t>[Threaded comment]
Your version of Excel allows you to read this threaded comment; however, any edits to it will get removed if the file is opened in a newer version of Excel. Learn more: https://go.microsoft.com/fwlink/?linkid=870924
Comment:
    https://www.diva-portal.org/smash/get/diva2:742038/FULLTEXT01.pdf (Page 37)</t>
      </text>
    </comment>
    <comment ref="C47" authorId="70" shapeId="0" xr:uid="{3FCD8A8B-91AC-4DDC-A449-4C58EC1CD160}">
      <text>
        <t>[Threaded comment]
Your version of Excel allows you to read this threaded comment; however, any edits to it will get removed if the file is opened in a newer version of Excel. Learn more: https://go.microsoft.com/fwlink/?linkid=870924
Comment:
    https://www.diva-portal.org/smash/get/diva2:742038/FULLTEXT01.pdf (Page 37) (Different from source doc because it is assumed that the station will not run for 24hrs per day, all year)</t>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Koye</author>
    <author>tc={DC2FC38E-8338-455E-AFA1-1C74D0DF3DFF}</author>
    <author>tc={6FBA11E1-E294-45AF-A237-063612887899}</author>
    <author>tc={5DC133FE-07FC-487E-939C-F22D260771C4}</author>
    <author>tc={D7257761-5853-4C4D-92BD-C6EBA0B6B07D}</author>
    <author>tc={3783B91F-BB31-4C2E-ADDC-F88528FFF655}</author>
    <author>tc={8CF4B4F2-28A7-4EFC-9148-61CDCEDB64DE}</author>
    <author>tc={A9DC5BB6-CDDE-46B0-9DA6-792590596412}</author>
    <author>tc={27B7482E-70B3-4D9E-AC28-AC24CB6E0655}</author>
    <author>tc={B2BFF11B-7E78-4826-9E1C-90DCFBD9F901}</author>
    <author>tc={1E878C62-436B-4766-B789-BABCAB431591}</author>
    <author>tc={2D73C279-0FC5-4B11-83AE-A4A1FC8077E0}</author>
    <author>tc={2CEB1218-8A9A-4E70-9A19-21E9211633C3}</author>
    <author>tc={826EE641-2EF4-4F97-B9CF-678263809B48}</author>
    <author>tc={EF07031D-BEE4-430E-9628-F1F56F98DA3E}</author>
    <author>tc={9757413A-5921-43B8-9513-28F661948ED7}</author>
    <author>tc={6DF95FA8-745F-4A65-9454-8242B1BF9FD8}</author>
    <author>tc={3E187DE0-0E40-401D-8272-CEC85194F511}</author>
    <author>tc={CDEB199B-29AC-449A-BB0A-FED684826E81}</author>
    <author>tc={401F9D2F-249D-4C25-9824-125B45E70BA8}</author>
    <author>tc={37E2BF97-5898-41FC-9E60-C0084A23944E}</author>
    <author>tc={B7FA89E7-14F7-4AF1-B00C-1F8538E808E3}</author>
    <author>tc={B0999C2C-166A-446C-8E36-5E78E0EEE58B}</author>
    <author>tc={8D63262C-C3AD-460C-8B55-EDCB089925DE}</author>
    <author>tc={BB302EE8-29D4-4A15-AE53-D2BE11FF80FF}</author>
    <author>tc={680DC329-9256-4016-B89D-FE6A34EAB195}</author>
    <author>tc={2F8FC46E-5B66-4C55-9DF4-4425F7CEC665}</author>
    <author>tc={51D08AA8-DAC1-46A5-A3D9-F309B46CFF93}</author>
    <author>tc={29B05514-3F17-4EA2-9099-A7A45A6FE339}</author>
    <author>tc={6F8164CE-4B6C-4C3A-B570-07B1FB37C63D}</author>
    <author>tc={5275C9D1-31A6-4345-A548-963B3E55B445}</author>
    <author>tc={C094F1DB-BF46-45F7-B54A-EF0AC6BD3319}</author>
    <author>tc={AC922D7B-C045-4691-9D4B-E60738AD209A}</author>
    <author>tc={3DEB6FAA-30CB-4C4F-BBD5-7F221BDD488F}</author>
    <author>tc={ABCC8921-FF75-4ABD-9798-5D8FBDA7992A}</author>
    <author>tc={D5A49C68-9439-4EAF-9599-F84B44A42784}</author>
    <author>tc={28A426CB-9C18-4874-9509-365ED36397D0}</author>
    <author>tc={D3565474-83C9-4B47-8D41-14776107D14D}</author>
    <author>tc={AEA74A0A-01C9-499A-8DD0-F9A283BFE41C}</author>
    <author>tc={320AAA4A-10AC-45EA-9D25-7E6A5AF87E99}</author>
    <author>tc={7DA8A149-4FEB-474B-B3FC-BF69881E431B}</author>
    <author>tc={40769C36-1FDA-4E54-BCC3-67787B4F2D2C}</author>
    <author>tc={D68FA59F-8EC0-409A-BDFD-E38107F5C5D6}</author>
    <author>tc={503D43CA-88B2-42A5-850D-931DE3D639D6}</author>
    <author>tc={B0FF8485-DA31-4A63-B5E8-127BB64B3C27}</author>
    <author>tc={3956E9E0-9CF4-4780-AB5C-AE0641A9D8F0}</author>
    <author>tc={DB6CA26D-595C-4BEB-90FA-8F88ABEA51F8}</author>
    <author>tc={4CAB8CCA-3085-41A9-B46D-8DBCAFD276A0}</author>
    <author>tc={03600DA3-E7F7-4968-B2A2-5A719BDF04EA}</author>
    <author>tc={748E2E35-8D80-441A-8A3A-60C6F73E762A}</author>
    <author>tc={BBA76DE8-7FB2-4CA5-AB3D-BFB1AC7DCC4B}</author>
    <author>tc={472C4A36-B535-49DC-8A3F-BC5305D18091}</author>
    <author>tc={995827E9-3B73-4C97-990A-B9681689CBE5}</author>
    <author>tc={32DB0783-9D8F-4D73-AE84-B0155A6D149B}</author>
    <author>tc={6B310C3F-7299-4AED-9798-83298309F3DE}</author>
    <author>tc={E3C817DF-99FB-4BB7-B97F-C8560B255B35}</author>
    <author>tc={CE3939EC-3546-4937-ADDB-DDE00F9FBBE0}</author>
    <author>tc={F96437FE-B532-46CF-8B5A-30B135E61FD5}</author>
    <author>tc={F5684E04-9090-4FB0-84E0-516D88E4421A}</author>
    <author>tc={7CE4B6E4-B91F-4C2C-8700-336803A08578}</author>
    <author>tc={62BCB80D-043C-4E4D-B058-DFDD5B9D2A69}</author>
    <author>tc={242FA102-6E73-4B31-9D63-DA424149DE06}</author>
    <author>tc={CA40F267-F1C9-4F6C-A7E6-BB37C5299ED3}</author>
    <author>tc={D7312D67-962C-4AB9-9DA9-73EB56FFA9BB}</author>
    <author>tc={F37A704A-B105-4222-8BEA-D701B7CE6B5F}</author>
    <author>tc={6CB4B354-2D42-4584-A845-3D6F900BCD9E}</author>
    <author>tc={EFB1E822-7A37-47F7-BFDE-2A2EBDB691CC}</author>
  </authors>
  <commentList>
    <comment ref="G6" authorId="0" shapeId="0" xr:uid="{47B4989D-8EA6-4859-BE87-B21EF1A2C1E0}">
      <text>
        <r>
          <rPr>
            <b/>
            <sz val="9"/>
            <color indexed="81"/>
            <rFont val="Tahoma"/>
            <family val="2"/>
          </rPr>
          <t>Commercial Operation Date</t>
        </r>
      </text>
    </comment>
    <comment ref="J7" authorId="1" shapeId="0" xr:uid="{DC2FC38E-8338-455E-AFA1-1C74D0DF3DFF}">
      <text>
        <t>[Threaded comment]
Your version of Excel allows you to read this threaded comment; however, any edits to it will get removed if the file is opened in a newer version of Excel. Learn more: https://go.microsoft.com/fwlink/?linkid=870924
Comment:
    See Data Sources Tab</t>
      </text>
    </comment>
    <comment ref="N7" authorId="2" shapeId="0" xr:uid="{6FBA11E1-E294-45AF-A237-063612887899}">
      <text>
        <t>[Threaded comment]
Your version of Excel allows you to read this threaded comment; however, any edits to it will get removed if the file is opened in a newer version of Excel. Learn more: https://go.microsoft.com/fwlink/?linkid=870924
Comment:
    Source: See Data Sources Tab</t>
      </text>
    </comment>
    <comment ref="J8" authorId="3" shapeId="0" xr:uid="{5DC133FE-07FC-487E-939C-F22D260771C4}">
      <text>
        <t>[Threaded comment]
Your version of Excel allows you to read this threaded comment; however, any edits to it will get removed if the file is opened in a newer version of Excel. Learn more: https://go.microsoft.com/fwlink/?linkid=870924
Comment:
    Assumes that 100% of production is sold locally as Uganda is a net rice importer. See: https://www.agriculture.go.ug/enhancing-national-food-security-through-increased-rice-production-project/</t>
      </text>
    </comment>
    <comment ref="N8" authorId="4" shapeId="0" xr:uid="{D7257761-5853-4C4D-92BD-C6EBA0B6B07D}">
      <text>
        <t>[Threaded comment]
Your version of Excel allows you to read this threaded comment; however, any edits to it will get removed if the file is opened in a newer version of Excel. Learn more: https://go.microsoft.com/fwlink/?linkid=870924
Comment:
    Source: See Data Sources Tab</t>
      </text>
    </comment>
    <comment ref="J9" authorId="5" shapeId="0" xr:uid="{3783B91F-BB31-4C2E-ADDC-F88528FFF655}">
      <text>
        <t>[Threaded comment]
Your version of Excel allows you to read this threaded comment; however, any edits to it will get removed if the file is opened in a newer version of Excel. Learn more: https://go.microsoft.com/fwlink/?linkid=870924
Comment:
    User Assumption</t>
      </text>
    </comment>
    <comment ref="N9" authorId="6" shapeId="0" xr:uid="{8CF4B4F2-28A7-4EFC-9148-61CDCEDB64DE}">
      <text>
        <t>[Threaded comment]
Your version of Excel allows you to read this threaded comment; however, any edits to it will get removed if the file is opened in a newer version of Excel. Learn more: https://go.microsoft.com/fwlink/?linkid=870924
Comment:
    Source: https://www.wbdg.org/resources/geothermal-energy-direct-use
Also see: http://www.knowledgebank.irri.org/step-by-step-production/postharvest/drying/economic-aspects-of-drying</t>
      </text>
    </comment>
    <comment ref="J10" authorId="7" shapeId="0" xr:uid="{A9DC5BB6-CDDE-46B0-9DA6-792590596412}">
      <text>
        <t>[Threaded comment]
Your version of Excel allows you to read this threaded comment; however, any edits to it will get removed if the file is opened in a newer version of Excel. Learn more: https://go.microsoft.com/fwlink/?linkid=870924
Comment:
    Assumes that 100% of production is sold locally as Uganda is a net rice importer. See: https://www.agriculture.go.ug/enhancing-national-food-security-through-increased-rice-production-project/</t>
      </text>
    </comment>
    <comment ref="N10" authorId="8" shapeId="0" xr:uid="{27B7482E-70B3-4D9E-AC28-AC24CB6E0655}">
      <text>
        <t>[Threaded comment]
Your version of Excel allows you to read this threaded comment; however, any edits to it will get removed if the file is opened in a newer version of Excel. Learn more: https://go.microsoft.com/fwlink/?linkid=870924
Comment:
    Source: See Data Sources Tab</t>
      </text>
    </comment>
    <comment ref="J11" authorId="9" shapeId="0" xr:uid="{B2BFF11B-7E78-4826-9E1C-90DCFBD9F901}">
      <text>
        <t>[Threaded comment]
Your version of Excel allows you to read this threaded comment; however, any edits to it will get removed if the file is opened in a newer version of Excel. Learn more: https://go.microsoft.com/fwlink/?linkid=870924
Comment:
    User Assumption</t>
      </text>
    </comment>
    <comment ref="N12" authorId="10" shapeId="0" xr:uid="{1E878C62-436B-4766-B789-BABCAB431591}">
      <text>
        <t>[Threaded comment]
Your version of Excel allows you to read this threaded comment; however, any edits to it will get removed if the file is opened in a newer version of Excel. Learn more: https://go.microsoft.com/fwlink/?linkid=870924
Comment:
    Source: See Data Sources Tab</t>
      </text>
    </comment>
    <comment ref="C13" authorId="11" shapeId="0" xr:uid="{2D73C279-0FC5-4B11-83AE-A4A1FC8077E0}">
      <text>
        <t>[Threaded comment]
Your version of Excel allows you to read this threaded comment; however, any edits to it will get removed if the file is opened in a newer version of Excel. Learn more: https://go.microsoft.com/fwlink/?linkid=870924
Comment:
    Source: https://www.diva-portal.org/smash/get/diva2:742038/FULLTEXT01.pdf (Page 42) (Assuming one unit is needed per dryer)</t>
      </text>
    </comment>
    <comment ref="N13" authorId="12" shapeId="0" xr:uid="{2CEB1218-8A9A-4E70-9A19-21E9211633C3}">
      <text>
        <t>[Threaded comment]
Your version of Excel allows you to read this threaded comment; however, any edits to it will get removed if the file is opened in a newer version of Excel. Learn more: https://go.microsoft.com/fwlink/?linkid=870924
Comment:
    Assumes that equipment will be purchased and not leased</t>
      </text>
    </comment>
    <comment ref="C14" authorId="13" shapeId="0" xr:uid="{826EE641-2EF4-4F97-B9CF-678263809B48}">
      <text>
        <t>[Threaded comment]
Your version of Excel allows you to read this threaded comment; however, any edits to it will get removed if the file is opened in a newer version of Excel. Learn more: https://go.microsoft.com/fwlink/?linkid=870924
Comment:
    Source: https://www.diva-portal.org/smash/get/diva2:742038/FULLTEXT01.pdf (Page 42)</t>
      </text>
    </comment>
    <comment ref="F14" authorId="14" shapeId="0" xr:uid="{EF07031D-BEE4-430E-9628-F1F56F98DA3E}">
      <text>
        <t>[Threaded comment]
Your version of Excel allows you to read this threaded comment; however, any edits to it will get removed if the file is opened in a newer version of Excel. Learn more: https://go.microsoft.com/fwlink/?linkid=870924
Comment:
    User Assumption</t>
      </text>
    </comment>
    <comment ref="J14" authorId="15" shapeId="0" xr:uid="{9757413A-5921-43B8-9513-28F661948ED7}">
      <text>
        <t>[Threaded comment]
Your version of Excel allows you to read this threaded comment; however, any edits to it will get removed if the file is opened in a newer version of Excel. Learn more: https://go.microsoft.com/fwlink/?linkid=870924
Comment:
    Source: See Data Sources Tab</t>
      </text>
    </comment>
    <comment ref="N14" authorId="16" shapeId="0" xr:uid="{6DF95FA8-745F-4A65-9454-8242B1BF9FD8}">
      <text>
        <t>[Threaded comment]
Your version of Excel allows you to read this threaded comment; however, any edits to it will get removed if the file is opened in a newer version of Excel. Learn more: https://go.microsoft.com/fwlink/?linkid=870924
Comment:
    User Assumption. Assuming same cost as Marketing</t>
      </text>
    </comment>
    <comment ref="C15" authorId="17" shapeId="0" xr:uid="{3E187DE0-0E40-401D-8272-CEC85194F511}">
      <text>
        <t>[Threaded comment]
Your version of Excel allows you to read this threaded comment; however, any edits to it will get removed if the file is opened in a newer version of Excel. Learn more: https://go.microsoft.com/fwlink/?linkid=870924
Comment:
    Source: https://www.diva-portal.org/smash/get/diva2:742038/FULLTEXT01.pdf (Page 42)</t>
      </text>
    </comment>
    <comment ref="F15" authorId="18" shapeId="0" xr:uid="{CDEB199B-29AC-449A-BB0A-FED684826E81}">
      <text>
        <t>[Threaded comment]
Your version of Excel allows you to read this threaded comment; however, any edits to it will get removed if the file is opened in a newer version of Excel. Learn more: https://go.microsoft.com/fwlink/?linkid=870924
Comment:
    User Assumption</t>
      </text>
    </comment>
    <comment ref="N15" authorId="19" shapeId="0" xr:uid="{401F9D2F-249D-4C25-9824-125B45E70BA8}">
      <text>
        <t>[Threaded comment]
Your version of Excel allows you to read this threaded comment; however, any edits to it will get removed if the file is opened in a newer version of Excel. Learn more: https://go.microsoft.com/fwlink/?linkid=870924
Comment:
    Source: https://www.business2community.com/marketing/how-much-should-you-spend-on-marketing-your-small-business-02316226 (Assuming Walmart figure)</t>
      </text>
    </comment>
    <comment ref="C16" authorId="20" shapeId="0" xr:uid="{37E2BF97-5898-41FC-9E60-C0084A23944E}">
      <text>
        <t>[Threaded comment]
Your version of Excel allows you to read this threaded comment; however, any edits to it will get removed if the file is opened in a newer version of Excel. Learn more: https://go.microsoft.com/fwlink/?linkid=870924
Comment:
    Source: https://www.diva-portal.org/smash/get/diva2:742038/FULLTEXT01.pdf (Page 42)</t>
      </text>
    </comment>
    <comment ref="F16" authorId="21" shapeId="0" xr:uid="{B7FA89E7-14F7-4AF1-B00C-1F8538E808E3}">
      <text>
        <t>[Threaded comment]
Your version of Excel allows you to read this threaded comment; however, any edits to it will get removed if the file is opened in a newer version of Excel. Learn more: https://go.microsoft.com/fwlink/?linkid=870924
Comment:
    User Assumption</t>
      </text>
    </comment>
    <comment ref="N16" authorId="22" shapeId="0" xr:uid="{B0999C2C-166A-446C-8E36-5E78E0EEE58B}">
      <text>
        <t>[Threaded comment]
Your version of Excel allows you to read this threaded comment; however, any edits to it will get removed if the file is opened in a newer version of Excel. Learn more: https://go.microsoft.com/fwlink/?linkid=870924
Comment:
    Source: https://www.justbusiness.com/starting-a-small-business/business-startup-costs</t>
      </text>
    </comment>
    <comment ref="C17" authorId="23" shapeId="0" xr:uid="{8D63262C-C3AD-460C-8B55-EDCB089925DE}">
      <text>
        <t>[Threaded comment]
Your version of Excel allows you to read this threaded comment; however, any edits to it will get removed if the file is opened in a newer version of Excel. Learn more: https://go.microsoft.com/fwlink/?linkid=870924
Comment:
    Source: https://www.diva-portal.org/smash/get/diva2:742038/FULLTEXT01.pdf (Page 42)</t>
      </text>
    </comment>
    <comment ref="J17" authorId="24" shapeId="0" xr:uid="{BB302EE8-29D4-4A15-AE53-D2BE11FF80FF}">
      <text>
        <t>[Threaded comment]
Your version of Excel allows you to read this threaded comment; however, any edits to it will get removed if the file is opened in a newer version of Excel. Learn more: https://go.microsoft.com/fwlink/?linkid=870924
Comment:
    Source: "A Guide for the Development of Geothermal Direct – Use Projects in Tanzania" Pg 13</t>
      </text>
    </comment>
    <comment ref="N17" authorId="25" shapeId="0" xr:uid="{680DC329-9256-4016-B89D-FE6A34EAB195}">
      <text>
        <t>[Threaded comment]
Your version of Excel allows you to read this threaded comment; however, any edits to it will get removed if the file is opened in a newer version of Excel. Learn more: https://go.microsoft.com/fwlink/?linkid=870924
Comment:
    Source: https://www.indiamart.com/proddetail/plastic-rice-bags-21486799830.html</t>
      </text>
    </comment>
    <comment ref="C18" authorId="26" shapeId="0" xr:uid="{2F8FC46E-5B66-4C55-9DF4-4425F7CEC665}">
      <text>
        <t>[Threaded comment]
Your version of Excel allows you to read this threaded comment; however, any edits to it will get removed if the file is opened in a newer version of Excel. Learn more: https://go.microsoft.com/fwlink/?linkid=870924
Comment:
    Source: http://repository.pauwes-cop.net/bitstream/handle/1/124/MT_ALBERT_KHAMALA.pdf?sequence=1&amp;isAllowed=y (Page 121)</t>
      </text>
    </comment>
    <comment ref="C19" authorId="27" shapeId="0" xr:uid="{51D08AA8-DAC1-46A5-A3D9-F309B46CFF93}">
      <text>
        <t>[Threaded comment]
Your version of Excel allows you to read this threaded comment; however, any edits to it will get removed if the file is opened in a newer version of Excel. Learn more: https://go.microsoft.com/fwlink/?linkid=870924
Comment:
    Source: http://repository.pauwes-cop.net/bitstream/handle/1/124/MT_ALBERT_KHAMALA.pdf?sequence=1&amp;isAllowed=y (Page 121) (Assuming one unit is needed per dryer)</t>
      </text>
    </comment>
    <comment ref="J19" authorId="28" shapeId="0" xr:uid="{29B05514-3F17-4EA2-9099-A7A45A6FE339}">
      <text>
        <t>[Threaded comment]
Your version of Excel allows you to read this threaded comment; however, any edits to it will get removed if the file is opened in a newer version of Excel. Learn more: https://go.microsoft.com/fwlink/?linkid=870924
Comment:
    User Assumption</t>
      </text>
    </comment>
    <comment ref="C20" authorId="29" shapeId="0" xr:uid="{6F8164CE-4B6C-4C3A-B570-07B1FB37C63D}">
      <text>
        <t>[Threaded comment]
Your version of Excel allows you to read this threaded comment; however, any edits to it will get removed if the file is opened in a newer version of Excel. Learn more: https://go.microsoft.com/fwlink/?linkid=870924
Comment:
    Source: https://m.made-in-china,com/product/Dry-Fruits-Fully-Automatic-Packing-Machine-901463575.html</t>
      </text>
    </comment>
    <comment ref="G20" authorId="30" shapeId="0" xr:uid="{5275C9D1-31A6-4345-A548-963B3E55B445}">
      <text>
        <t>[Threaded comment]
Your version of Excel allows you to read this threaded comment; however, any edits to it will get removed if the file is opened in a newer version of Excel. Learn more: https://go.microsoft.com/fwlink/?linkid=870924
Comment:
    User Assumption</t>
      </text>
    </comment>
    <comment ref="G21" authorId="31" shapeId="0" xr:uid="{C094F1DB-BF46-45F7-B54A-EF0AC6BD3319}">
      <text>
        <t>[Threaded comment]
Your version of Excel allows you to read this threaded comment; however, any edits to it will get removed if the file is opened in a newer version of Excel. Learn more: https://go.microsoft.com/fwlink/?linkid=870924
Comment:
    User Assumption</t>
      </text>
    </comment>
    <comment ref="N23" authorId="32" shapeId="0" xr:uid="{AC922D7B-C045-4691-9D4B-E60738AD209A}">
      <text>
        <t>[Threaded comment]
Your version of Excel allows you to read this threaded comment; however, any edits to it will get removed if the file is opened in a newer version of Excel. Learn more: https://go.microsoft.com/fwlink/?linkid=870924
Comment:
    User Assumption</t>
      </text>
    </comment>
    <comment ref="G25" authorId="33" shapeId="0" xr:uid="{3DEB6FAA-30CB-4C4F-BBD5-7F221BDD488F}">
      <text>
        <t>[Threaded comment]
Your version of Excel allows you to read this threaded comment; however, any edits to it will get removed if the file is opened in a newer version of Excel. Learn more: https://go.microsoft.com/fwlink/?linkid=870924
Comment:
    See Data Sources Tab</t>
      </text>
    </comment>
    <comment ref="G26" authorId="34" shapeId="0" xr:uid="{ABCC8921-FF75-4ABD-9798-5D8FBDA7992A}">
      <text>
        <t>[Threaded comment]
Your version of Excel allows you to read this threaded comment; however, any edits to it will get removed if the file is opened in a newer version of Excel. Learn more: https://go.microsoft.com/fwlink/?linkid=870924
Comment:
    Source: http://www.knowledgebank.irri.org/step-by-step-production/postharvest/drying/economic-aspects-of-drying</t>
      </text>
    </comment>
    <comment ref="G27" authorId="35" shapeId="0" xr:uid="{D5A49C68-9439-4EAF-9599-F84B44A42784}">
      <text>
        <t>[Threaded comment]
Your version of Excel allows you to read this threaded comment; however, any edits to it will get removed if the file is opened in a newer version of Excel. Learn more: https://go.microsoft.com/fwlink/?linkid=870924
Comment:
    Source: http://www.knowledgebank.irri.org/step-by-step-production/postharvest/drying/economic-aspects-of-drying</t>
      </text>
    </comment>
    <comment ref="N27" authorId="36" shapeId="0" xr:uid="{28A426CB-9C18-4874-9509-365ED36397D0}">
      <text>
        <t>[Threaded comment]
Your version of Excel allows you to read this threaded comment; however, any edits to it will get removed if the file is opened in a newer version of Excel. Learn more: https://go.microsoft.com/fwlink/?linkid=870924
Comment:
    Source: See Data Sources Tab</t>
      </text>
    </comment>
    <comment ref="N28" authorId="37" shapeId="0" xr:uid="{D3565474-83C9-4B47-8D41-14776107D14D}">
      <text>
        <t>[Threaded comment]
Your version of Excel allows you to read this threaded comment; however, any edits to it will get removed if the file is opened in a newer version of Excel. Learn more: https://go.microsoft.com/fwlink/?linkid=870924
Comment:
    Source: See Data Sources Tab</t>
      </text>
    </comment>
    <comment ref="N29" authorId="38" shapeId="0" xr:uid="{AEA74A0A-01C9-499A-8DD0-F9A283BFE41C}">
      <text>
        <t>[Threaded comment]
Your version of Excel allows you to read this threaded comment; however, any edits to it will get removed if the file is opened in a newer version of Excel. Learn more: https://go.microsoft.com/fwlink/?linkid=870924
Comment:
    Source: See Data Sources Tab</t>
      </text>
    </comment>
    <comment ref="G30" authorId="39" shapeId="0" xr:uid="{320AAA4A-10AC-45EA-9D25-7E6A5AF87E99}">
      <text>
        <t>[Threaded comment]
Your version of Excel allows you to read this threaded comment; however, any edits to it will get removed if the file is opened in a newer version of Excel. Learn more: https://go.microsoft.com/fwlink/?linkid=870924
Comment:
    Source: https://www.sintef.no/globalassets/project/drymeat/presentation2_fermentedmeat_bantle_dryingeconomics.pdf (Page 42) (Assuming same parameter as fish drying)</t>
      </text>
    </comment>
    <comment ref="G31" authorId="40" shapeId="0" xr:uid="{7DA8A149-4FEB-474B-B3FC-BF69881E431B}">
      <text>
        <t>[Threaded comment]
Your version of Excel allows you to read this threaded comment; however, any edits to it will get removed if the file is opened in a newer version of Excel. Learn more: https://go.microsoft.com/fwlink/?linkid=870924
Comment:
    Source: http://www.knowledgebank.irri.org/step-by-step-production/postharvest/drying/economic-aspects-of-drying</t>
      </text>
    </comment>
    <comment ref="N31" authorId="41" shapeId="0" xr:uid="{40769C36-1FDA-4E54-BCC3-67787B4F2D2C}">
      <text>
        <t>[Threaded comment]
Your version of Excel allows you to read this threaded comment; however, any edits to it will get removed if the file is opened in a newer version of Excel. Learn more: https://go.microsoft.com/fwlink/?linkid=870924
Comment:
    Source: See Data Sources Tab</t>
      </text>
    </comment>
    <comment ref="C32" authorId="42" shapeId="0" xr:uid="{D68FA59F-8EC0-409A-BDFD-E38107F5C5D6}">
      <text>
        <t>[Threaded comment]
Your version of Excel allows you to read this threaded comment; however, any edits to it will get removed if the file is opened in a newer version of Excel. Learn more: https://go.microsoft.com/fwlink/?linkid=870924
Comment:
    https://www.diva-portal.org/smash/get/diva2:742038/FULLTEXT01.pdf (Page 35)</t>
      </text>
    </comment>
    <comment ref="G32" authorId="43" shapeId="0" xr:uid="{503D43CA-88B2-42A5-850D-931DE3D639D6}">
      <text>
        <t>[Threaded comment]
Your version of Excel allows you to read this threaded comment; however, any edits to it will get removed if the file is opened in a newer version of Excel. Learn more: https://go.microsoft.com/fwlink/?linkid=870924
Comment:
    User Assumption</t>
      </text>
    </comment>
    <comment ref="N32" authorId="44" shapeId="0" xr:uid="{B0FF8485-DA31-4A63-B5E8-127BB64B3C27}">
      <text>
        <t>[Threaded comment]
Your version of Excel allows you to read this threaded comment; however, any edits to it will get removed if the file is opened in a newer version of Excel. Learn more: https://go.microsoft.com/fwlink/?linkid=870924
Comment:
    Assuming sales reps/distributors are not on the payroll but get remunerated by price mark-ups</t>
      </text>
    </comment>
    <comment ref="C33" authorId="45" shapeId="0" xr:uid="{3956E9E0-9CF4-4780-AB5C-AE0641A9D8F0}">
      <text>
        <t>[Threaded comment]
Your version of Excel allows you to read this threaded comment; however, any edits to it will get removed if the file is opened in a newer version of Excel. Learn more: https://go.microsoft.com/fwlink/?linkid=870924
Comment:
    https://www.diva-portal.org/smash/get/diva2:742038/FULLTEXT01.pdf (Page 35)</t>
      </text>
    </comment>
    <comment ref="C34" authorId="46" shapeId="0" xr:uid="{DB6CA26D-595C-4BEB-90FA-8F88ABEA51F8}">
      <text>
        <t>[Threaded comment]
Your version of Excel allows you to read this threaded comment; however, any edits to it will get removed if the file is opened in a newer version of Excel. Learn more: https://go.microsoft.com/fwlink/?linkid=870924
Comment:
    https://www.diva-portal.org/smash/get/diva2:742038/FULLTEXT01.pdf (Page 35)</t>
      </text>
    </comment>
    <comment ref="G34" authorId="47" shapeId="0" xr:uid="{4CAB8CCA-3085-41A9-B46D-8DBCAFD276A0}">
      <text>
        <t>[Threaded comment]
Your version of Excel allows you to read this threaded comment; however, any edits to it will get removed if the file is opened in a newer version of Excel. Learn more: https://go.microsoft.com/fwlink/?linkid=870924
Comment:
    Source: http://www.knowledgebank.irri.org/step-by-step-production/postharvest/drying/economic-aspects-of-drying</t>
      </text>
    </comment>
    <comment ref="C35" authorId="48" shapeId="0" xr:uid="{03600DA3-E7F7-4968-B2A2-5A719BDF04EA}">
      <text>
        <t>[Threaded comment]
Your version of Excel allows you to read this threaded comment; however, any edits to it will get removed if the file is opened in a newer version of Excel. Learn more: https://go.microsoft.com/fwlink/?linkid=870924
Comment:
    https://www.diva-portal.org/smash/get/diva2:742038/FULLTEXT01.pdf (Page 38)</t>
      </text>
    </comment>
    <comment ref="G35" authorId="49" shapeId="0" xr:uid="{748E2E35-8D80-441A-8A3A-60C6F73E762A}">
      <text>
        <t>[Threaded comment]
Your version of Excel allows you to read this threaded comment; however, any edits to it will get removed if the file is opened in a newer version of Excel. Learn more: https://go.microsoft.com/fwlink/?linkid=870924
Comment:
    Source: http://www.knowledgebank.irri.org/step-by-step-production/postharvest/drying/economic-aspects-of-drying</t>
      </text>
    </comment>
    <comment ref="C36" authorId="50" shapeId="0" xr:uid="{BBA76DE8-7FB2-4CA5-AB3D-BFB1AC7DCC4B}">
      <text>
        <t>[Threaded comment]
Your version of Excel allows you to read this threaded comment; however, any edits to it will get removed if the file is opened in a newer version of Excel. Learn more: https://go.microsoft.com/fwlink/?linkid=870924
Comment:
    https://www.diva-portal.org/smash/get/diva2:742038/FULLTEXT01.pdf (Page 38)</t>
      </text>
    </comment>
    <comment ref="G36" authorId="51" shapeId="0" xr:uid="{472C4A36-B535-49DC-8A3F-BC5305D18091}">
      <text>
        <t>[Threaded comment]
Your version of Excel allows you to read this threaded comment; however, any edits to it will get removed if the file is opened in a newer version of Excel. Learn more: https://go.microsoft.com/fwlink/?linkid=870924
Comment:
    User Assumption</t>
      </text>
    </comment>
    <comment ref="C37" authorId="52" shapeId="0" xr:uid="{995827E9-3B73-4C97-990A-B9681689CBE5}">
      <text>
        <t>[Threaded comment]
Your version of Excel allows you to read this threaded comment; however, any edits to it will get removed if the file is opened in a newer version of Excel. Learn more: https://go.microsoft.com/fwlink/?linkid=870924
Comment:
    https://www.diva-portal.org/smash/get/diva2:742038/FULLTEXT01.pdf (Page 35)</t>
      </text>
    </comment>
    <comment ref="C38" authorId="53" shapeId="0" xr:uid="{32DB0783-9D8F-4D73-AE84-B0155A6D149B}">
      <text>
        <t>[Threaded comment]
Your version of Excel allows you to read this threaded comment; however, any edits to it will get removed if the file is opened in a newer version of Excel. Learn more: https://go.microsoft.com/fwlink/?linkid=870924
Comment:
    https://www.diva-portal.org/smash/get/diva2:742038/FULLTEXT01.pdf (Page 35,38)</t>
      </text>
    </comment>
    <comment ref="M38" authorId="54" shapeId="0" xr:uid="{6B310C3F-7299-4AED-9798-83298309F3DE}">
      <text>
        <t>[Threaded comment]
Your version of Excel allows you to read this threaded comment; however, any edits to it will get removed if the file is opened in a newer version of Excel. Learn more: https://go.microsoft.com/fwlink/?linkid=870924
Comment:
    User Assumption. http://www.knowledgebank.irri.org/step-by-step-production/postharvest/drying/economic-aspects-of-drying suggests 1.2 manhours per batch</t>
      </text>
    </comment>
    <comment ref="G40" authorId="55" shapeId="0" xr:uid="{E3C817DF-99FB-4BB7-B97F-C8560B255B35}">
      <text>
        <t>[Threaded comment]
Your version of Excel allows you to read this threaded comment; however, any edits to it will get removed if the file is opened in a newer version of Excel. Learn more: https://go.microsoft.com/fwlink/?linkid=870924
Comment:
    User Assumption. Also see http://books.irri.org/LP9_content.pdf</t>
      </text>
    </comment>
    <comment ref="M40" authorId="56" shapeId="0" xr:uid="{CE3939EC-3546-4937-ADDB-DDE00F9FBBE0}">
      <text>
        <t>[Threaded comment]
Your version of Excel allows you to read this threaded comment; however, any edits to it will get removed if the file is opened in a newer version of Excel. Learn more: https://go.microsoft.com/fwlink/?linkid=870924
Comment:
    User Assumption</t>
      </text>
    </comment>
    <comment ref="G41" authorId="57" shapeId="0" xr:uid="{F96437FE-B532-46CF-8B5A-30B135E61FD5}">
      <text>
        <t>[Threaded comment]
Your version of Excel allows you to read this threaded comment; however, any edits to it will get removed if the file is opened in a newer version of Excel. Learn more: https://go.microsoft.com/fwlink/?linkid=870924
Comment:
    User Assumption</t>
      </text>
    </comment>
    <comment ref="M41" authorId="58" shapeId="0" xr:uid="{F5684E04-9090-4FB0-84E0-516D88E4421A}">
      <text>
        <t>[Threaded comment]
Your version of Excel allows you to read this threaded comment; however, any edits to it will get removed if the file is opened in a newer version of Excel. Learn more: https://go.microsoft.com/fwlink/?linkid=870924
Comment:
    User Assumption</t>
      </text>
    </comment>
    <comment ref="C42" authorId="59" shapeId="0" xr:uid="{7CE4B6E4-B91F-4C2C-8700-336803A08578}">
      <text>
        <t>[Threaded comment]
Your version of Excel allows you to read this threaded comment; however, any edits to it will get removed if the file is opened in a newer version of Excel. Learn more: https://go.microsoft.com/fwlink/?linkid=870924
Comment:
    https://www.hindawi.com/journals/ija/2014/846707/</t>
      </text>
    </comment>
    <comment ref="G42" authorId="60" shapeId="0" xr:uid="{62BCB80D-043C-4E4D-B058-DFDD5B9D2A69}">
      <text>
        <t>[Threaded comment]
Your version of Excel allows you to read this threaded comment; however, any edits to it will get removed if the file is opened in a newer version of Excel. Learn more: https://go.microsoft.com/fwlink/?linkid=870924
Comment:
    User Assumption</t>
      </text>
    </comment>
    <comment ref="M42" authorId="61" shapeId="0" xr:uid="{242FA102-6E73-4B31-9D63-DA424149DE06}">
      <text>
        <t>[Threaded comment]
Your version of Excel allows you to read this threaded comment; however, any edits to it will get removed if the file is opened in a newer version of Excel. Learn more: https://go.microsoft.com/fwlink/?linkid=870924
Comment:
    User Assumption</t>
      </text>
    </comment>
    <comment ref="C43" authorId="62" shapeId="0" xr:uid="{CA40F267-F1C9-4F6C-A7E6-BB37C5299ED3}">
      <text>
        <t>[Threaded comment]
Your version of Excel allows you to read this threaded comment; however, any edits to it will get removed if the file is opened in a newer version of Excel. Learn more: https://go.microsoft.com/fwlink/?linkid=870924
Comment:
    http://www.ikisan.com/pb-rice-harvesting-storage.html</t>
      </text>
    </comment>
    <comment ref="M43" authorId="63" shapeId="0" xr:uid="{D7312D67-962C-4AB9-9DA9-73EB56FFA9BB}">
      <text>
        <t>[Threaded comment]
Your version of Excel allows you to read this threaded comment; however, any edits to it will get removed if the file is opened in a newer version of Excel. Learn more: https://go.microsoft.com/fwlink/?linkid=870924
Comment:
    User Assumption</t>
      </text>
    </comment>
    <comment ref="C45" authorId="64" shapeId="0" xr:uid="{F37A704A-B105-4222-8BEA-D701B7CE6B5F}">
      <text>
        <t>[Threaded comment]
Your version of Excel allows you to read this threaded comment; however, any edits to it will get removed if the file is opened in a newer version of Excel. Learn more: https://go.microsoft.com/fwlink/?linkid=870924
Comment:
    Source: https://www.diva-portal.org/smash/get/diva2:742038/FULLTEXT01.pdf (Page 36)</t>
      </text>
    </comment>
    <comment ref="C46" authorId="65" shapeId="0" xr:uid="{6CB4B354-2D42-4584-A845-3D6F900BCD9E}">
      <text>
        <t>[Threaded comment]
Your version of Excel allows you to read this threaded comment; however, any edits to it will get removed if the file is opened in a newer version of Excel. Learn more: https://go.microsoft.com/fwlink/?linkid=870924
Comment:
    https://www.diva-portal.org/smash/get/diva2:742038/FULLTEXT01.pdf (Page 37)</t>
      </text>
    </comment>
    <comment ref="C47" authorId="66" shapeId="0" xr:uid="{EFB1E822-7A37-47F7-BFDE-2A2EBDB691CC}">
      <text>
        <t>[Threaded comment]
Your version of Excel allows you to read this threaded comment; however, any edits to it will get removed if the file is opened in a newer version of Excel. Learn more: https://go.microsoft.com/fwlink/?linkid=870924
Comment:
    https://www.diva-portal.org/smash/get/diva2:742038/FULLTEXT01.pdf (Page 37) (Different from source doc because it is assumed that the station will not run for 24hrs per day, all year)</t>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Koye</author>
    <author>tc={3F04CBFA-0FFA-43C6-B54A-DC41B44A2A0D}</author>
    <author>tc={F31FAD5E-B836-4AE7-83A2-930CCDEEFD14}</author>
    <author>tc={EDCD4EDC-C171-418A-A582-763A3E2925E7}</author>
    <author>tc={4F5AD618-121B-4A10-8104-7E2B0B4FF51E}</author>
    <author>tc={A9CFE712-153B-49DB-AEFD-AE7EBB38690E}</author>
    <author>tc={522CC5D4-5AF4-442E-BF29-238575352C5A}</author>
    <author>tc={DD73970E-77A1-456D-9209-BC3E10D0E6F1}</author>
    <author>tc={40657AAA-E64A-48F6-9A9E-62B1B565A1DE}</author>
    <author>tc={11FB3F7C-9BC2-42D5-BC37-5C6DCEF04DF7}</author>
    <author>tc={68B436C0-DDCB-473D-B65E-E7357B8BC31F}</author>
    <author>tc={B38FDD05-FCDC-416B-AE33-1C307D437FC6}</author>
    <author>tc={D0BEBE93-E476-4808-AC53-5DFA7E3E0038}</author>
    <author>tc={73B61878-9F15-40D1-81A9-7E34668DEEC0}</author>
    <author>tc={BE336B9A-5FFB-4659-AAB7-391A5D8CB129}</author>
    <author>tc={FC0F252B-D250-43E9-BB4A-520CDA4231F6}</author>
    <author>tc={3B2B7315-6DE4-45B5-A547-1CC4A4AE58EA}</author>
    <author>tc={7BA7AB7B-81AC-4C8E-A228-972C7B727924}</author>
    <author>tc={D7C7DB14-648A-4FB9-8A2A-B96E79D8DD4E}</author>
    <author>tc={527589F4-1FE4-4586-A0B0-45078723C818}</author>
    <author>tc={E676BB5A-DCC9-4C07-8911-B298E6DF377E}</author>
    <author>tc={AD35D092-AD5D-4EC7-A2F1-0C48C831B6B3}</author>
    <author>tc={4C6DD776-9404-46E7-AA7F-34F327774891}</author>
    <author>tc={E492B652-C7E7-444F-9408-5100CA984023}</author>
    <author>tc={2E3D7479-B098-4033-80E2-CEE4CC12E166}</author>
    <author>tc={BEF38AA9-67FC-47DE-972A-2B0ED31E324B}</author>
    <author>tc={120E03A6-CB64-4952-9CAC-25DF7DAA733A}</author>
    <author>tc={1B453DF9-AE83-41E3-ACA0-DDBFC3D99DCF}</author>
    <author>tc={4B5995B6-C432-43BB-BD82-906C3EB3C512}</author>
    <author>tc={B84FF942-EAAD-469A-8A64-64BCB535CF00}</author>
    <author>tc={4B937B0D-BBA9-4436-B54B-7610AE0418AB}</author>
    <author>tc={5588E42B-5C67-494D-888D-FF13E587A6F8}</author>
    <author>tc={6E6DC664-7E23-4356-BB8F-55E8D90D51B6}</author>
    <author>tc={6E4EF696-1F54-439A-B8B4-214BF8BF826E}</author>
    <author>tc={22106AB0-43D4-486E-AFA1-B102AF9A1ED6}</author>
    <author>tc={D99F1587-81AB-4604-84E2-14B3A183E330}</author>
    <author>tc={56D31278-B0FE-4F00-931C-80A0D5787067}</author>
    <author>tc={B5FA21CF-B3E9-41ED-A5CA-233D775533B0}</author>
    <author>tc={75660F99-DF54-418F-A79E-A62EE6EA4CCD}</author>
    <author>tc={7290EC89-5A36-4FCF-8E34-97FCCE8D0392}</author>
    <author>tc={1629CC40-739B-43AB-9C49-0D2A56B64D31}</author>
    <author>tc={57490208-1E78-4FF4-B6C5-91ACD78E1EA1}</author>
    <author>tc={67A5833F-D5C2-464C-A58B-316DF7111E97}</author>
    <author>tc={DC1FA9F1-0B44-4BF7-90D9-DF4264AF5D22}</author>
    <author>tc={FB274CF6-5945-44A3-B0F2-238537707EEE}</author>
    <author>tc={303640AD-68AB-4B14-9A2D-56AF8B2E1859}</author>
    <author>tc={185010A7-8D5D-419F-8CDB-C3E98F21E256}</author>
    <author>tc={F0D06A21-2F71-4656-9A51-4CEE92CD7071}</author>
    <author>tc={F0B41338-0C08-4854-AB51-C28EC83B516B}</author>
    <author>tc={8E4959CF-4B28-4782-9265-BF2396FB0BF6}</author>
    <author>tc={C558B2EA-7EF4-43B3-823A-AF10E36E01CC}</author>
    <author>tc={7D3134B3-F9A4-4B06-9FD2-A246F0DA39BE}</author>
    <author>tc={06A7A193-4981-4C4E-A013-D67C80E63634}</author>
    <author>tc={1BD09030-6442-43F3-88CD-881ED9266F71}</author>
    <author>tc={88A543EE-47B4-4F92-8963-63C79FB7B69A}</author>
    <author>tc={07DD039B-5562-4932-996F-3E9B844006C5}</author>
    <author>tc={2B4CD178-D881-4A11-A5C8-C0F295E18848}</author>
    <author>tc={419A74AD-FD44-4581-8009-FA995E8893DB}</author>
    <author>tc={C53BDD3D-84B2-483D-A2BE-F8609E386DA7}</author>
    <author>tc={EC30C828-738C-4412-B6E6-9519F72E2C67}</author>
    <author>tc={44141E09-CF0A-4857-BDF1-BFBF42BC96C7}</author>
    <author>tc={AE780AB8-40E6-4EC8-A224-9580C4D39121}</author>
    <author>tc={C419FBDE-25A2-47D4-93DD-D21D079C8BC3}</author>
    <author>tc={98BDEA92-FE1F-42D4-94A5-46AD506BD959}</author>
    <author>tc={B73829E2-58F8-42FF-A0E1-F581664DDB7E}</author>
    <author>tc={6574F3B9-0116-4DA7-B446-02BFDF559E8B}</author>
    <author>tc={CDDA934A-BEF7-42DE-AC42-66F4E660BD3A}</author>
    <author>tc={8CF35E0C-11E2-4A10-A760-544F97F52CFB}</author>
    <author>tc={385FD204-D1B2-491F-A742-734530322391}</author>
    <author>tc={BA8DF2CD-43C3-4D87-9B59-50405A0AF175}</author>
    <author>tc={0F34F523-21F7-402D-BB73-A32C04A9DAF1}</author>
  </authors>
  <commentList>
    <comment ref="G6" authorId="0" shapeId="0" xr:uid="{31893EDF-1720-411A-8A23-704B22D9E469}">
      <text>
        <r>
          <rPr>
            <b/>
            <sz val="9"/>
            <color indexed="81"/>
            <rFont val="Tahoma"/>
            <family val="2"/>
          </rPr>
          <t>Commercial Operation Date</t>
        </r>
      </text>
    </comment>
    <comment ref="J7" authorId="1" shapeId="0" xr:uid="{3F04CBFA-0FFA-43C6-B54A-DC41B44A2A0D}">
      <text>
        <t>[Threaded comment]
Your version of Excel allows you to read this threaded comment; however, any edits to it will get removed if the file is opened in a newer version of Excel. Learn more: https://go.microsoft.com/fwlink/?linkid=870924
Comment:
    Source: See Data Sources Tab.
Additional data from local experts show max price of dried Pyre at  Ksh200 ($1.84)</t>
      </text>
    </comment>
    <comment ref="N7" authorId="2" shapeId="0" xr:uid="{F31FAD5E-B836-4AE7-83A2-930CCDEEFD14}">
      <text>
        <t>[Threaded comment]
Your version of Excel allows you to read this threaded comment; however, any edits to it will get removed if the file is opened in a newer version of Excel. Learn more: https://go.microsoft.com/fwlink/?linkid=870924
Comment:
    Source: See Data Sources Tab
Additional data from local expert - Lydia shows price of fresh Pyre can be up to Ksh50 ($0.46)</t>
      </text>
    </comment>
    <comment ref="J8" authorId="3" shapeId="0" xr:uid="{EDCD4EDC-C171-418A-A582-763A3E2925E7}">
      <text>
        <t>[Threaded comment]
Your version of Excel allows you to read this threaded comment; however, any edits to it will get removed if the file is opened in a newer version of Excel. Learn more: https://go.microsoft.com/fwlink/?linkid=870924
Comment:
    Assuming same price as local</t>
      </text>
    </comment>
    <comment ref="N8" authorId="4" shapeId="0" xr:uid="{4F5AD618-121B-4A10-8104-7E2B0B4FF51E}">
      <text>
        <t>[Threaded comment]
Your version of Excel allows you to read this threaded comment; however, any edits to it will get removed if the file is opened in a newer version of Excel. Learn more: https://go.microsoft.com/fwlink/?linkid=870924
Comment:
    Source: See Data Sources Tab</t>
      </text>
    </comment>
    <comment ref="J9" authorId="5" shapeId="0" xr:uid="{A9CFE712-153B-49DB-AEFD-AE7EBB38690E}">
      <text>
        <t>[Threaded comment]
Your version of Excel allows you to read this threaded comment; however, any edits to it will get removed if the file is opened in a newer version of Excel. Learn more: https://go.microsoft.com/fwlink/?linkid=870924
Comment:
    User Assumption</t>
      </text>
    </comment>
    <comment ref="N9" authorId="6" shapeId="0" xr:uid="{522CC5D4-5AF4-442E-BF29-238575352C5A}">
      <text>
        <t>[Threaded comment]
Your version of Excel allows you to read this threaded comment; however, any edits to it will get removed if the file is opened in a newer version of Excel. Learn more: https://go.microsoft.com/fwlink/?linkid=870924
Comment:
    Source: https://www.wbdg.org/resources/geothermal-energy-direct-use
Also see: http://www.knowledgebank.irri.org/step-by-step-production/postharvest/drying/economic-aspects-of-drying</t>
      </text>
    </comment>
    <comment ref="J10" authorId="7" shapeId="0" xr:uid="{DD73970E-77A1-456D-9209-BC3E10D0E6F1}">
      <text>
        <t>[Threaded comment]
Your version of Excel allows you to read this threaded comment; however, any edits to it will get removed if the file is opened in a newer version of Excel. Learn more: https://go.microsoft.com/fwlink/?linkid=870924
Comment:
    User Assumption</t>
      </text>
    </comment>
    <comment ref="N10" authorId="8" shapeId="0" xr:uid="{40657AAA-E64A-48F6-9A9E-62B1B565A1DE}">
      <text>
        <t>[Threaded comment]
Your version of Excel allows you to read this threaded comment; however, any edits to it will get removed if the file is opened in a newer version of Excel. Learn more: https://go.microsoft.com/fwlink/?linkid=870924
Comment:
    Source: See Data Sources Tab</t>
      </text>
    </comment>
    <comment ref="J11" authorId="9" shapeId="0" xr:uid="{11FB3F7C-9BC2-42D5-BC37-5C6DCEF04DF7}">
      <text>
        <t>[Threaded comment]
Your version of Excel allows you to read this threaded comment; however, any edits to it will get removed if the file is opened in a newer version of Excel. Learn more: https://go.microsoft.com/fwlink/?linkid=870924
Comment:
    User Assumption</t>
      </text>
    </comment>
    <comment ref="N12" authorId="10" shapeId="0" xr:uid="{68B436C0-DDCB-473D-B65E-E7357B8BC31F}">
      <text>
        <t>[Threaded comment]
Your version of Excel allows you to read this threaded comment; however, any edits to it will get removed if the file is opened in a newer version of Excel. Learn more: https://go.microsoft.com/fwlink/?linkid=870924
Comment:
    Source: See Data Sources Tab</t>
      </text>
    </comment>
    <comment ref="C13" authorId="11" shapeId="0" xr:uid="{B38FDD05-FCDC-416B-AE33-1C307D437FC6}">
      <text>
        <t>[Threaded comment]
Your version of Excel allows you to read this threaded comment; however, any edits to it will get removed if the file is opened in a newer version of Excel. Learn more: https://go.microsoft.com/fwlink/?linkid=870924
Comment:
    Source: https://www.diva-portal.org/smash/get/diva2:742038/FULLTEXT01.pdf (Page 42) (Assuming one unit is needed per dryer)</t>
      </text>
    </comment>
    <comment ref="N13" authorId="12" shapeId="0" xr:uid="{D0BEBE93-E476-4808-AC53-5DFA7E3E0038}">
      <text>
        <t>[Threaded comment]
Your version of Excel allows you to read this threaded comment; however, any edits to it will get removed if the file is opened in a newer version of Excel. Learn more: https://go.microsoft.com/fwlink/?linkid=870924
Comment:
    Assumes that equipment will be purchased and not leased</t>
      </text>
    </comment>
    <comment ref="C14" authorId="13" shapeId="0" xr:uid="{73B61878-9F15-40D1-81A9-7E34668DEEC0}">
      <text>
        <t>[Threaded comment]
Your version of Excel allows you to read this threaded comment; however, any edits to it will get removed if the file is opened in a newer version of Excel. Learn more: https://go.microsoft.com/fwlink/?linkid=870924
Comment:
    Source: https://www.diva-portal.org/smash/get/diva2:742038/FULLTEXT01.pdf (Page 42)</t>
      </text>
    </comment>
    <comment ref="F14" authorId="14" shapeId="0" xr:uid="{BE336B9A-5FFB-4659-AAB7-391A5D8CB129}">
      <text>
        <t>[Threaded comment]
Your version of Excel allows you to read this threaded comment; however, any edits to it will get removed if the file is opened in a newer version of Excel. Learn more: https://go.microsoft.com/fwlink/?linkid=870924
Comment:
    User Assumption</t>
      </text>
    </comment>
    <comment ref="J14" authorId="15" shapeId="0" xr:uid="{FC0F252B-D250-43E9-BB4A-520CDA4231F6}">
      <text>
        <t>[Threaded comment]
Your version of Excel allows you to read this threaded comment; however, any edits to it will get removed if the file is opened in a newer version of Excel. Learn more: https://go.microsoft.com/fwlink/?linkid=870924
Comment:
    Source: See Data Sources Tab</t>
      </text>
    </comment>
    <comment ref="N14" authorId="16" shapeId="0" xr:uid="{3B2B7315-6DE4-45B5-A547-1CC4A4AE58EA}">
      <text>
        <t>[Threaded comment]
Your version of Excel allows you to read this threaded comment; however, any edits to it will get removed if the file is opened in a newer version of Excel. Learn more: https://go.microsoft.com/fwlink/?linkid=870924
Comment:
    User Assumption. Assuming same cost as Marketing</t>
      </text>
    </comment>
    <comment ref="C15" authorId="17" shapeId="0" xr:uid="{7BA7AB7B-81AC-4C8E-A228-972C7B727924}">
      <text>
        <t>[Threaded comment]
Your version of Excel allows you to read this threaded comment; however, any edits to it will get removed if the file is opened in a newer version of Excel. Learn more: https://go.microsoft.com/fwlink/?linkid=870924
Comment:
    Source: https://www.diva-portal.org/smash/get/diva2:742038/FULLTEXT01.pdf (Page 42)</t>
      </text>
    </comment>
    <comment ref="F15" authorId="18" shapeId="0" xr:uid="{D7C7DB14-648A-4FB9-8A2A-B96E79D8DD4E}">
      <text>
        <t>[Threaded comment]
Your version of Excel allows you to read this threaded comment; however, any edits to it will get removed if the file is opened in a newer version of Excel. Learn more: https://go.microsoft.com/fwlink/?linkid=870924
Comment:
    User Assumption</t>
      </text>
    </comment>
    <comment ref="N15" authorId="19" shapeId="0" xr:uid="{527589F4-1FE4-4586-A0B0-45078723C818}">
      <text>
        <t>[Threaded comment]
Your version of Excel allows you to read this threaded comment; however, any edits to it will get removed if the file is opened in a newer version of Excel. Learn more: https://go.microsoft.com/fwlink/?linkid=870924
Comment:
    Source: https://www.business2community.com/marketing/how-much-should-you-spend-on-marketing-your-small-business-02316226 (Assuming Walmart figure)</t>
      </text>
    </comment>
    <comment ref="C16" authorId="20" shapeId="0" xr:uid="{E676BB5A-DCC9-4C07-8911-B298E6DF377E}">
      <text>
        <t>[Threaded comment]
Your version of Excel allows you to read this threaded comment; however, any edits to it will get removed if the file is opened in a newer version of Excel. Learn more: https://go.microsoft.com/fwlink/?linkid=870924
Comment:
    Source: https://www.diva-portal.org/smash/get/diva2:742038/FULLTEXT01.pdf (Page 42)</t>
      </text>
    </comment>
    <comment ref="F16" authorId="21" shapeId="0" xr:uid="{AD35D092-AD5D-4EC7-A2F1-0C48C831B6B3}">
      <text>
        <t>[Threaded comment]
Your version of Excel allows you to read this threaded comment; however, any edits to it will get removed if the file is opened in a newer version of Excel. Learn more: https://go.microsoft.com/fwlink/?linkid=870924
Comment:
    User Assumption</t>
      </text>
    </comment>
    <comment ref="N16" authorId="22" shapeId="0" xr:uid="{4C6DD776-9404-46E7-AA7F-34F327774891}">
      <text>
        <t>[Threaded comment]
Your version of Excel allows you to read this threaded comment; however, any edits to it will get removed if the file is opened in a newer version of Excel. Learn more: https://go.microsoft.com/fwlink/?linkid=870924
Comment:
    Source: https://www.justbusiness.com/starting-a-small-business/business-startup-costs</t>
      </text>
    </comment>
    <comment ref="C17" authorId="23" shapeId="0" xr:uid="{E492B652-C7E7-444F-9408-5100CA984023}">
      <text>
        <t>[Threaded comment]
Your version of Excel allows you to read this threaded comment; however, any edits to it will get removed if the file is opened in a newer version of Excel. Learn more: https://go.microsoft.com/fwlink/?linkid=870924
Comment:
    Source: https://www.diva-portal.org/smash/get/diva2:742038/FULLTEXT01.pdf (Page 42)</t>
      </text>
    </comment>
    <comment ref="J17" authorId="24" shapeId="0" xr:uid="{2E3D7479-B098-4033-80E2-CEE4CC12E166}">
      <text>
        <t>[Threaded comment]
Your version of Excel allows you to read this threaded comment; however, any edits to it will get removed if the file is opened in a newer version of Excel. Learn more: https://go.microsoft.com/fwlink/?linkid=870924
Comment:
    Source: "A Guide for the Development of Geothermal Direct – Use Projects in Tanzania" Pg 13</t>
      </text>
    </comment>
    <comment ref="N17" authorId="25" shapeId="0" xr:uid="{BEF38AA9-67FC-47DE-972A-2B0ED31E324B}">
      <text>
        <t>[Threaded comment]
Your version of Excel allows you to read this threaded comment; however, any edits to it will get removed if the file is opened in a newer version of Excel. Learn more: https://go.microsoft.com/fwlink/?linkid=870924
Comment:
    Source: https://www.indiamart.com/proddetail/plastic-rice-bags-21486799830.html</t>
      </text>
    </comment>
    <comment ref="C18" authorId="26" shapeId="0" xr:uid="{120E03A6-CB64-4952-9CAC-25DF7DAA733A}">
      <text>
        <t>[Threaded comment]
Your version of Excel allows you to read this threaded comment; however, any edits to it will get removed if the file is opened in a newer version of Excel. Learn more: https://go.microsoft.com/fwlink/?linkid=870924
Comment:
    Source: http://repository.pauwes-cop.net/bitstream/handle/1/124/MT_ALBERT_KHAMALA.pdf?sequence=1&amp;isAllowed=y (Page 121)</t>
      </text>
    </comment>
    <comment ref="C19" authorId="27" shapeId="0" xr:uid="{1B453DF9-AE83-41E3-ACA0-DDBFC3D99DCF}">
      <text>
        <t>[Threaded comment]
Your version of Excel allows you to read this threaded comment; however, any edits to it will get removed if the file is opened in a newer version of Excel. Learn more: https://go.microsoft.com/fwlink/?linkid=870924
Comment:
    Source: http://repository.pauwes-cop.net/bitstream/handle/1/124/MT_ALBERT_KHAMALA.pdf?sequence=1&amp;isAllowed=y (Page 121) (Assuming one unit is needed per dryer)</t>
      </text>
    </comment>
    <comment ref="J19" authorId="28" shapeId="0" xr:uid="{4B5995B6-C432-43BB-BD82-906C3EB3C512}">
      <text>
        <t>[Threaded comment]
Your version of Excel allows you to read this threaded comment; however, any edits to it will get removed if the file is opened in a newer version of Excel. Learn more: https://go.microsoft.com/fwlink/?linkid=870924
Comment:
    User Assumption</t>
      </text>
    </comment>
    <comment ref="G20" authorId="29" shapeId="0" xr:uid="{B84FF942-EAAD-469A-8A64-64BCB535CF00}">
      <text>
        <t>[Threaded comment]
Your version of Excel allows you to read this threaded comment; however, any edits to it will get removed if the file is opened in a newer version of Excel. Learn more: https://go.microsoft.com/fwlink/?linkid=870924
Comment:
    User Assumption</t>
      </text>
    </comment>
    <comment ref="C21" authorId="30" shapeId="0" xr:uid="{4B937B0D-BBA9-4436-B54B-7610AE0418AB}">
      <text>
        <t>[Threaded comment]
Your version of Excel allows you to read this threaded comment; however, any edits to it will get removed if the file is opened in a newer version of Excel. Learn more: https://go.microsoft.com/fwlink/?linkid=870924
Comment:
    Source: https://kawiarniapinokio.pl/2020-20-15/16899.html</t>
      </text>
    </comment>
    <comment ref="G21" authorId="31" shapeId="0" xr:uid="{5588E42B-5C67-494D-888D-FF13E587A6F8}">
      <text>
        <t>[Threaded comment]
Your version of Excel allows you to read this threaded comment; however, any edits to it will get removed if the file is opened in a newer version of Excel. Learn more: https://go.microsoft.com/fwlink/?linkid=870924
Comment:
    User Assumption</t>
      </text>
    </comment>
    <comment ref="C22" authorId="32" shapeId="0" xr:uid="{6E6DC664-7E23-4356-BB8F-55E8D90D51B6}">
      <text>
        <t>[Threaded comment]
Your version of Excel allows you to read this threaded comment; however, any edits to it will get removed if the file is opened in a newer version of Excel. Learn more: https://go.microsoft.com/fwlink/?linkid=870924
Comment:
    Source: https://www.tradewheel.com/p/precooling-machinevacuum-vegetable-cooling-machine-6899813/</t>
      </text>
    </comment>
    <comment ref="C23" authorId="33" shapeId="0" xr:uid="{6E4EF696-1F54-439A-B8B4-214BF8BF826E}">
      <text>
        <t>[Threaded comment]
Your version of Excel allows you to read this threaded comment; however, any edits to it will get removed if the file is opened in a newer version of Excel. Learn more: https://go.microsoft.com/fwlink/?linkid=870924
Comment:
    Source: https://m.made-in-china,com/product/Dry-Fruits-Fully-Automatic-Packing-Machine-901463575.html</t>
      </text>
    </comment>
    <comment ref="N23" authorId="34" shapeId="0" xr:uid="{22106AB0-43D4-486E-AFA1-B102AF9A1ED6}">
      <text>
        <t>[Threaded comment]
Your version of Excel allows you to read this threaded comment; however, any edits to it will get removed if the file is opened in a newer version of Excel. Learn more: https://go.microsoft.com/fwlink/?linkid=870924
Comment:
    User Assumption</t>
      </text>
    </comment>
    <comment ref="G25" authorId="35" shapeId="0" xr:uid="{D99F1587-81AB-4604-84E2-14B3A183E330}">
      <text>
        <t>[Threaded comment]
Your version of Excel allows you to read this threaded comment; however, any edits to it will get removed if the file is opened in a newer version of Excel. Learn more: https://go.microsoft.com/fwlink/?linkid=870924
Comment:
    Source: Data sources tab</t>
      </text>
    </comment>
    <comment ref="G26" authorId="36" shapeId="0" xr:uid="{56D31278-B0FE-4F00-931C-80A0D5787067}">
      <text>
        <t>[Threaded comment]
Your version of Excel allows you to read this threaded comment; however, any edits to it will get removed if the file is opened in a newer version of Excel. Learn more: https://go.microsoft.com/fwlink/?linkid=870924
Comment:
    Source: http://erepository.uonbi.ac.ke/handle/11295/18830</t>
      </text>
    </comment>
    <comment ref="G27" authorId="37" shapeId="0" xr:uid="{B5FA21CF-B3E9-41ED-A5CA-233D775533B0}">
      <text>
        <t>[Threaded comment]
Your version of Excel allows you to read this threaded comment; however, any edits to it will get removed if the file is opened in a newer version of Excel. Learn more: https://go.microsoft.com/fwlink/?linkid=870924
Comment:
    http://www.eap.mcgill.ca/agrobio/ab360-02e.htm</t>
      </text>
    </comment>
    <comment ref="N27" authorId="38" shapeId="0" xr:uid="{75660F99-DF54-418F-A79E-A62EE6EA4CCD}">
      <text>
        <t>[Threaded comment]
Your version of Excel allows you to read this threaded comment; however, any edits to it will get removed if the file is opened in a newer version of Excel. Learn more: https://go.microsoft.com/fwlink/?linkid=870924
Comment:
    Source: See Data Sources Tab</t>
      </text>
    </comment>
    <comment ref="N28" authorId="39" shapeId="0" xr:uid="{7290EC89-5A36-4FCF-8E34-97FCCE8D0392}">
      <text>
        <t>[Threaded comment]
Your version of Excel allows you to read this threaded comment; however, any edits to it will get removed if the file is opened in a newer version of Excel. Learn more: https://go.microsoft.com/fwlink/?linkid=870924
Comment:
    Source: See Data Sources Tab</t>
      </text>
    </comment>
    <comment ref="G29" authorId="40" shapeId="0" xr:uid="{1629CC40-739B-43AB-9C49-0D2A56B64D31}">
      <text>
        <t>[Threaded comment]
Your version of Excel allows you to read this threaded comment; however, any edits to it will get removed if the file is opened in a newer version of Excel. Learn more: https://go.microsoft.com/fwlink/?linkid=870924
Comment:
    http://projects.nri.org/nret/fruitnil.pdf (Page 7)</t>
      </text>
    </comment>
    <comment ref="N29" authorId="41" shapeId="0" xr:uid="{57490208-1E78-4FF4-B6C5-91ACD78E1EA1}">
      <text>
        <t>[Threaded comment]
Your version of Excel allows you to read this threaded comment; however, any edits to it will get removed if the file is opened in a newer version of Excel. Learn more: https://go.microsoft.com/fwlink/?linkid=870924
Comment:
    Source: See Data Sources Tab</t>
      </text>
    </comment>
    <comment ref="G30" authorId="42" shapeId="0" xr:uid="{67A5833F-D5C2-464C-A58B-316DF7111E97}">
      <text>
        <t>[Threaded comment]
Your version of Excel allows you to read this threaded comment; however, any edits to it will get removed if the file is opened in a newer version of Excel. Learn more: https://go.microsoft.com/fwlink/?linkid=870924
Comment:
    User Assumption</t>
      </text>
    </comment>
    <comment ref="N31" authorId="43" shapeId="0" xr:uid="{DC1FA9F1-0B44-4BF7-90D9-DF4264AF5D22}">
      <text>
        <t>[Threaded comment]
Your version of Excel allows you to read this threaded comment; however, any edits to it will get removed if the file is opened in a newer version of Excel. Learn more: https://go.microsoft.com/fwlink/?linkid=870924
Comment:
    Source: See Data Sources Tab</t>
      </text>
    </comment>
    <comment ref="C32" authorId="44" shapeId="0" xr:uid="{FB274CF6-5945-44A3-B0F2-238537707EEE}">
      <text>
        <t>[Threaded comment]
Your version of Excel allows you to read this threaded comment; however, any edits to it will get removed if the file is opened in a newer version of Excel. Learn more: https://go.microsoft.com/fwlink/?linkid=870924
Comment:
    https://www.diva-portal.org/smash/get/diva2:742038/FULLTEXT01.pdf (Page 35)</t>
      </text>
    </comment>
    <comment ref="G32" authorId="45" shapeId="0" xr:uid="{303640AD-68AB-4B14-9A2D-56AF8B2E1859}">
      <text>
        <t>[Threaded comment]
Your version of Excel allows you to read this threaded comment; however, any edits to it will get removed if the file is opened in a newer version of Excel. Learn more: https://go.microsoft.com/fwlink/?linkid=870924
Comment:
    Source: https://www.sintef.no/globalassets/project/drymeat/presentation2_fermentedmeat_bantle_dryingeconomics.pdf (Page 42) (Assuming same parameter as fish drying)</t>
      </text>
    </comment>
    <comment ref="N32" authorId="46" shapeId="0" xr:uid="{185010A7-8D5D-419F-8CDB-C3E98F21E256}">
      <text>
        <t>[Threaded comment]
Your version of Excel allows you to read this threaded comment; however, any edits to it will get removed if the file is opened in a newer version of Excel. Learn more: https://go.microsoft.com/fwlink/?linkid=870924
Comment:
    Assuming sales reps/distributors are not on the payroll but get remunerated by price mark-ups</t>
      </text>
    </comment>
    <comment ref="C33" authorId="47" shapeId="0" xr:uid="{F0D06A21-2F71-4656-9A51-4CEE92CD7071}">
      <text>
        <t>[Threaded comment]
Your version of Excel allows you to read this threaded comment; however, any edits to it will get removed if the file is opened in a newer version of Excel. Learn more: https://go.microsoft.com/fwlink/?linkid=870924
Comment:
    https://www.diva-portal.org/smash/get/diva2:742038/FULLTEXT01.pdf (Page 35)</t>
      </text>
    </comment>
    <comment ref="G33" authorId="48" shapeId="0" xr:uid="{F0B41338-0C08-4854-AB51-C28EC83B516B}">
      <text>
        <t>[Threaded comment]
Your version of Excel allows you to read this threaded comment; however, any edits to it will get removed if the file is opened in a newer version of Excel. Learn more: https://go.microsoft.com/fwlink/?linkid=870924
Comment:
    Source: http://www.fao.org/3/W6864E/w6864e0b.htm</t>
      </text>
    </comment>
    <comment ref="C34" authorId="49" shapeId="0" xr:uid="{8E4959CF-4B28-4782-9265-BF2396FB0BF6}">
      <text>
        <t>[Threaded comment]
Your version of Excel allows you to read this threaded comment; however, any edits to it will get removed if the file is opened in a newer version of Excel. Learn more: https://go.microsoft.com/fwlink/?linkid=870924
Comment:
    https://www.diva-portal.org/smash/get/diva2:742038/FULLTEXT01.pdf (Page 35)</t>
      </text>
    </comment>
    <comment ref="G34" authorId="50" shapeId="0" xr:uid="{C558B2EA-7EF4-43B3-823A-AF10E36E01CC}">
      <text>
        <t>[Threaded comment]
Your version of Excel allows you to read this threaded comment; however, any edits to it will get removed if the file is opened in a newer version of Excel. Learn more: https://go.microsoft.com/fwlink/?linkid=870924
Comment:
    https://www.researchgate.net/publication/341356146_Pyrethrum_Chrysanthemum_cinerariifolium_Flowers'_Drying_Conditions_for_Optimum_Extractable_Pyrethrins_Content#:~:text=The%20optimum%20temperature%20and%20time,50%20%C2%BAC%20for%2021%20hrs.&amp;text=C.The%20optimum-,temperature%20and%20time%20for%20drying%20pyrethrum%20flowers%20was%20found%20to,%C2%BAC%20for%2021%20hrs.</t>
      </text>
    </comment>
    <comment ref="C35" authorId="51" shapeId="0" xr:uid="{7D3134B3-F9A4-4B06-9FD2-A246F0DA39BE}">
      <text>
        <t>[Threaded comment]
Your version of Excel allows you to read this threaded comment; however, any edits to it will get removed if the file is opened in a newer version of Excel. Learn more: https://go.microsoft.com/fwlink/?linkid=870924
Comment:
    https://www.diva-portal.org/smash/get/diva2:742038/FULLTEXT01.pdf (Page 38)</t>
      </text>
    </comment>
    <comment ref="G35" authorId="52" shapeId="0" xr:uid="{06A7A193-4981-4C4E-A013-D67C80E63634}">
      <text>
        <t>[Threaded comment]
Your version of Excel allows you to read this threaded comment; however, any edits to it will get removed if the file is opened in a newer version of Excel. Learn more: https://go.microsoft.com/fwlink/?linkid=870924
Comment:
    User Assumption</t>
      </text>
    </comment>
    <comment ref="C36" authorId="53" shapeId="0" xr:uid="{1BD09030-6442-43F3-88CD-881ED9266F71}">
      <text>
        <t>[Threaded comment]
Your version of Excel allows you to read this threaded comment; however, any edits to it will get removed if the file is opened in a newer version of Excel. Learn more: https://go.microsoft.com/fwlink/?linkid=870924
Comment:
    https://www.diva-portal.org/smash/get/diva2:742038/FULLTEXT01.pdf (Page 38)</t>
      </text>
    </comment>
    <comment ref="C37" authorId="54" shapeId="0" xr:uid="{88A543EE-47B4-4F92-8963-63C79FB7B69A}">
      <text>
        <t>[Threaded comment]
Your version of Excel allows you to read this threaded comment; however, any edits to it will get removed if the file is opened in a newer version of Excel. Learn more: https://go.microsoft.com/fwlink/?linkid=870924
Comment:
    https://www.diva-portal.org/smash/get/diva2:742038/FULLTEXT01.pdf (Page 35)</t>
      </text>
    </comment>
    <comment ref="G37" authorId="55" shapeId="0" xr:uid="{07DD039B-5562-4932-996F-3E9B844006C5}">
      <text>
        <t>[Threaded comment]
Your version of Excel allows you to read this threaded comment; however, any edits to it will get removed if the file is opened in a newer version of Excel. Learn more: https://go.microsoft.com/fwlink/?linkid=870924
Comment:
    Source: https://www.sciencedirect.com/science/article/pii/S0301479720306629 (The assumed dryer has a max 1-ton per batch capacity)</t>
      </text>
    </comment>
    <comment ref="C38" authorId="56" shapeId="0" xr:uid="{2B4CD178-D881-4A11-A5C8-C0F295E18848}">
      <text>
        <t>[Threaded comment]
Your version of Excel allows you to read this threaded comment; however, any edits to it will get removed if the file is opened in a newer version of Excel. Learn more: https://go.microsoft.com/fwlink/?linkid=870924
Comment:
    https://www.diva-portal.org/smash/get/diva2:742038/FULLTEXT01.pdf (Page 35,38)</t>
      </text>
    </comment>
    <comment ref="M38" authorId="57" shapeId="0" xr:uid="{419A74AD-FD44-4581-8009-FA995E8893DB}">
      <text>
        <t>[Threaded comment]
Your version of Excel allows you to read this threaded comment; however, any edits to it will get removed if the file is opened in a newer version of Excel. Learn more: https://go.microsoft.com/fwlink/?linkid=870924
Comment:
    User Assumption. Assumes 2 shifts per batch given the long drying time</t>
      </text>
    </comment>
    <comment ref="G39" authorId="58" shapeId="0" xr:uid="{C53BDD3D-84B2-483D-A2BE-F8609E386DA7}">
      <text>
        <t>[Threaded comment]
Your version of Excel allows you to read this threaded comment; however, any edits to it will get removed if the file is opened in a newer version of Excel. Learn more: https://go.microsoft.com/fwlink/?linkid=870924
Comment:
    User Assumption</t>
      </text>
    </comment>
    <comment ref="M39" authorId="59" shapeId="0" xr:uid="{EC30C828-738C-4412-B6E6-9519F72E2C67}">
      <text>
        <t>[Threaded comment]
Your version of Excel allows you to read this threaded comment; however, any edits to it will get removed if the file is opened in a newer version of Excel. Learn more: https://go.microsoft.com/fwlink/?linkid=870924
Comment:
    http://projects.nri.org/nret/fruitnil.pdf Fruit of the Nile also had only 5 FTEs at some point, although the firm only inspects, sorts, packs and exports.</t>
      </text>
    </comment>
    <comment ref="M40" authorId="60" shapeId="0" xr:uid="{44141E09-CF0A-4857-BDF1-BFBF42BC96C7}">
      <text>
        <t>[Threaded comment]
Your version of Excel allows you to read this threaded comment; however, any edits to it will get removed if the file is opened in a newer version of Excel. Learn more: https://go.microsoft.com/fwlink/?linkid=870924
Comment:
    User Assumption</t>
      </text>
    </comment>
    <comment ref="C42" authorId="61" shapeId="0" xr:uid="{AE780AB8-40E6-4EC8-A224-9580C4D39121}">
      <text>
        <t>[Threaded comment]
Your version of Excel allows you to read this threaded comment; however, any edits to it will get removed if the file is opened in a newer version of Excel. Learn more: https://go.microsoft.com/fwlink/?linkid=870924
Comment:
    https://cropnuts.com/wp-content/uploads/2020/03/Pyrethrum-flyer-min.pdf</t>
      </text>
    </comment>
    <comment ref="M42" authorId="62" shapeId="0" xr:uid="{C419FBDE-25A2-47D4-93DD-D21D079C8BC3}">
      <text>
        <t>[Threaded comment]
Your version of Excel allows you to read this threaded comment; however, any edits to it will get removed if the file is opened in a newer version of Excel. Learn more: https://go.microsoft.com/fwlink/?linkid=870924
Comment:
    User Assumption</t>
      </text>
    </comment>
    <comment ref="C43" authorId="63" shapeId="0" xr:uid="{98BDEA92-FE1F-42D4-94A5-46AD506BD959}">
      <text>
        <t>[Threaded comment]
Your version of Excel allows you to read this threaded comment; however, any edits to it will get removed if the file is opened in a newer version of Excel. Learn more: https://go.microsoft.com/fwlink/?linkid=870924
Comment:
    https://www.researchgate.net/publication/341356146_Pyrethrum_Chrysanthemum_cinerariifolium_Flowers'_Drying_Conditions_for_Optimum_Extractable_Pyrethrins_Content#:~:text=The%20optimum%20temperature%20and%20time,50%20%C2%BAC%20for%2021%20hrs.&amp;text=C.The%20optimum-,temperature%20and%20time%20for%20drying%20pyrethrum%20flowers%20was%20found%20to,%C2%BAC%20for%2021%20hrs.</t>
      </text>
    </comment>
    <comment ref="G43" authorId="64" shapeId="0" xr:uid="{B73829E2-58F8-42FF-A0E1-F581664DDB7E}">
      <text>
        <t>[Threaded comment]
Your version of Excel allows you to read this threaded comment; however, any edits to it will get removed if the file is opened in a newer version of Excel. Learn more: https://go.microsoft.com/fwlink/?linkid=870924
Comment:
    Source: https://www.sciencedirect.com/science/article/pii/S0301479720306629</t>
      </text>
    </comment>
    <comment ref="M43" authorId="65" shapeId="0" xr:uid="{6574F3B9-0116-4DA7-B446-02BFDF559E8B}">
      <text>
        <t>[Threaded comment]
Your version of Excel allows you to read this threaded comment; however, any edits to it will get removed if the file is opened in a newer version of Excel. Learn more: https://go.microsoft.com/fwlink/?linkid=870924
Comment:
    https://www.businessdailyafrica.com/bd/lifestyle/society/pyrethrum-s-rich-history-in-kenya-and-old-good-days-2266582 (Assuming the station will have supply for 10 out of 12 months annually)</t>
      </text>
    </comment>
    <comment ref="G44" authorId="66" shapeId="0" xr:uid="{CDDA934A-BEF7-42DE-AC42-66F4E660BD3A}">
      <text>
        <t>[Threaded comment]
Your version of Excel allows you to read this threaded comment; however, any edits to it will get removed if the file is opened in a newer version of Excel. Learn more: https://go.microsoft.com/fwlink/?linkid=870924
Comment:
    User Assumption</t>
      </text>
    </comment>
    <comment ref="C45" authorId="67" shapeId="0" xr:uid="{8CF35E0C-11E2-4A10-A760-544F97F52CFB}">
      <text>
        <t>[Threaded comment]
Your version of Excel allows you to read this threaded comment; however, any edits to it will get removed if the file is opened in a newer version of Excel. Learn more: https://go.microsoft.com/fwlink/?linkid=870924
Comment:
    Source: https://www.diva-portal.org/smash/get/diva2:742038/FULLTEXT01.pdf (Page 36)</t>
      </text>
    </comment>
    <comment ref="G45" authorId="68" shapeId="0" xr:uid="{385FD204-D1B2-491F-A742-734530322391}">
      <text>
        <t>[Threaded comment]
Your version of Excel allows you to read this threaded comment; however, any edits to it will get removed if the file is opened in a newer version of Excel. Learn more: https://go.microsoft.com/fwlink/?linkid=870924
Comment:
    User Assumption</t>
      </text>
    </comment>
    <comment ref="C46" authorId="69" shapeId="0" xr:uid="{BA8DF2CD-43C3-4D87-9B59-50405A0AF175}">
      <text>
        <t>[Threaded comment]
Your version of Excel allows you to read this threaded comment; however, any edits to it will get removed if the file is opened in a newer version of Excel. Learn more: https://go.microsoft.com/fwlink/?linkid=870924
Comment:
    https://www.diva-portal.org/smash/get/diva2:742038/FULLTEXT01.pdf (Page 37)</t>
      </text>
    </comment>
    <comment ref="C47" authorId="70" shapeId="0" xr:uid="{0F34F523-21F7-402D-BB73-A32C04A9DAF1}">
      <text>
        <t>[Threaded comment]
Your version of Excel allows you to read this threaded comment; however, any edits to it will get removed if the file is opened in a newer version of Excel. Learn more: https://go.microsoft.com/fwlink/?linkid=870924
Comment:
    https://www.diva-portal.org/smash/get/diva2:742038/FULLTEXT01.pdf (Page 37) (Different from source doc because it is assumed that the station will not run for 24hrs per day, all year)</t>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Koye</author>
    <author>tc={A0103FCA-03AB-4E09-B1EF-BB1805102C89}</author>
    <author>tc={044B6D64-DC1F-4DAB-80B4-A57D8FDF206E}</author>
    <author>tc={1B0D8CAC-1354-4A14-9EF1-8F7295595CFE}</author>
    <author>tc={1670E60B-DBA9-482E-9D3D-A8A6BE39C9BE}</author>
    <author>tc={8DD4C515-DB00-425B-A427-5F0711F28AD8}</author>
    <author>tc={A573C1F9-DDA7-4A7F-A61E-7F9C04A1CB07}</author>
    <author>tc={4614D11D-606E-4EA2-8F38-EA6E7E54952F}</author>
    <author>tc={5CF104C3-6A1F-404F-B867-B36AB811E5CF}</author>
    <author>tc={440A9EA8-5D50-4F13-9CCA-CD3DB72C9D06}</author>
    <author>tc={2C0D4A58-6670-46AF-8179-2EDB1BFD652A}</author>
    <author>tc={3D7BC2BF-6DB4-4BB4-B325-A3901B417894}</author>
    <author>tc={8103633C-7B87-4B92-91A3-10ED9C3AC080}</author>
    <author>tc={4CB0C77D-FFB4-425A-8D8F-DFD4FD26D6EE}</author>
    <author>tc={8BDCB134-FDD0-40D8-88B5-BAA35D2E8D55}</author>
    <author>tc={A7F93BA4-24BB-4EAE-8B76-ECBFEFADA459}</author>
    <author>tc={2A1D0D43-2515-4E6D-99FB-7BC181852C18}</author>
    <author>tc={C0C3C1F3-6EE9-4C36-BC57-5A19FD949320}</author>
    <author>tc={934C14CD-2748-4AD4-8C86-9CE9FB16C466}</author>
    <author>tc={85C67EA2-6B03-4386-848C-BB22CD62DFD9}</author>
    <author>tc={81620112-0AD2-4B33-9436-68DB0C796A02}</author>
    <author>tc={B007375F-2679-4E8D-BD45-466F6A7BB9D0}</author>
    <author>tc={51D4D479-9E5C-44BC-90EE-327103238BE1}</author>
    <author>tc={EA7FA746-9427-4F52-9D7F-DC8D87C46DC0}</author>
    <author>tc={4EC41BD5-B777-497D-903E-D5BF8E0A0A2E}</author>
    <author>tc={ACF0324D-1913-4E02-92A9-FC94282485A6}</author>
    <author>tc={941B128D-5F90-44EB-B0B8-2969C6C3005D}</author>
    <author>tc={921E0BA6-A295-46CE-A301-2C37372A6263}</author>
    <author>tc={D9AFCDE7-7DBE-4826-A7FF-9DE832350F4B}</author>
    <author>tc={9583DE63-4347-4742-8C14-2679AB5695DE}</author>
    <author>tc={61F31388-E296-45F3-9A49-20301CA70540}</author>
    <author>tc={7F6E3221-60EC-42CA-8A88-B69A62B7C147}</author>
    <author>tc={1C66C5D5-5CB5-42A8-97D4-6DCDDE1344CE}</author>
    <author>tc={16557C7D-9A53-467F-8D66-FE7484725705}</author>
    <author>tc={0004FB1F-4C8E-44B8-BA9A-4EBC76A8C47E}</author>
    <author>tc={548C81C7-7049-43A4-85FC-7CE60767558F}</author>
    <author>tc={AD7FE4B0-A4E8-4772-ADC5-DFCCE0D7A16E}</author>
    <author>tc={179B26BB-B1BA-4973-A1D1-FB3171135BF4}</author>
    <author>tc={0F68D2E7-86AE-417A-AD56-8D21CC4D1F22}</author>
    <author>tc={E5749151-1E18-4950-9095-8BE1E3E69C56}</author>
    <author>tc={D5FFD182-96B5-4677-80A2-A97AC4E139E4}</author>
    <author>tc={BCE54E1C-1071-4EFD-89AD-EEE7ECE601CE}</author>
    <author>tc={71D44DE3-24AB-4BE6-98C0-1B35427AB2B9}</author>
    <author>tc={05F2E0A3-7F15-4604-907B-73DC0C798EFC}</author>
    <author>tc={80C1DCF5-71D1-48C6-AEBF-9F61F03A1361}</author>
    <author>tc={1CDE633E-5E86-44B6-987A-ACA5F1F3A560}</author>
    <author>tc={5E1142AE-3185-496C-A4A1-F22DB14B1CB5}</author>
    <author>tc={9CED971F-3561-4DAA-8675-1185A145C51F}</author>
    <author>tc={C62B1338-3A21-4871-B209-832617B20FB7}</author>
    <author>tc={2E00E69E-EE9C-469E-9CFE-DC88992323F6}</author>
    <author>tc={60CBDECA-8762-4A16-9D0B-E27F021BC763}</author>
    <author>tc={C8F797F8-DC29-48BB-B762-34BCA3659445}</author>
    <author>tc={D7A79D0B-102C-43D1-A945-2B6FFBBFCA66}</author>
    <author>tc={F0C33C69-F4E1-47B0-AAB5-5BB284FA6C66}</author>
    <author>tc={EA8CD552-A0A2-45B8-B17E-1C5B28B2BE35}</author>
  </authors>
  <commentList>
    <comment ref="G6" authorId="0" shapeId="0" xr:uid="{CC74AFE5-24B8-466D-9528-8A9C9FEF2981}">
      <text>
        <r>
          <rPr>
            <b/>
            <sz val="9"/>
            <color indexed="81"/>
            <rFont val="Tahoma"/>
            <family val="2"/>
          </rPr>
          <t>Commercial Operation Date</t>
        </r>
      </text>
    </comment>
    <comment ref="J6" authorId="1" shapeId="0" xr:uid="{A0103FCA-03AB-4E09-B1EF-BB1805102C89}">
      <text>
        <t>[Threaded comment]
Your version of Excel allows you to read this threaded comment; however, any edits to it will get removed if the file is opened in a newer version of Excel. Learn more: https://go.microsoft.com/fwlink/?linkid=870924
Comment:
    See Spa Prices Tab</t>
      </text>
    </comment>
    <comment ref="J7" authorId="2" shapeId="0" xr:uid="{044B6D64-DC1F-4DAB-80B4-A57D8FDF206E}">
      <text>
        <t>[Threaded comment]
Your version of Excel allows you to read this threaded comment; however, any edits to it will get removed if the file is opened in a newer version of Excel. Learn more: https://go.microsoft.com/fwlink/?linkid=870924
Comment:
    See Spa Prices Tab</t>
      </text>
    </comment>
    <comment ref="N7" authorId="3" shapeId="0" xr:uid="{1B0D8CAC-1354-4A14-9EF1-8F7295595CFE}">
      <text>
        <t>[Threaded comment]
Your version of Excel allows you to read this threaded comment; however, any edits to it will get removed if the file is opened in a newer version of Excel. Learn more: https://go.microsoft.com/fwlink/?linkid=870924
Comment:
    Source: https://dir.indiamart.com/impcat/hotel-towel.html</t>
      </text>
    </comment>
    <comment ref="J8" authorId="4" shapeId="0" xr:uid="{1670E60B-DBA9-482E-9D3D-A8A6BE39C9BE}">
      <text>
        <t>[Threaded comment]
Your version of Excel allows you to read this threaded comment; however, any edits to it will get removed if the file is opened in a newer version of Excel. Learn more: https://go.microsoft.com/fwlink/?linkid=870924
Comment:
    See Spa Prices Tab</t>
      </text>
    </comment>
    <comment ref="N8" authorId="5" shapeId="0" xr:uid="{8DD4C515-DB00-425B-A427-5F0711F28AD8}">
      <text>
        <t>[Threaded comment]
Your version of Excel allows you to read this threaded comment; however, any edits to it will get removed if the file is opened in a newer version of Excel. Learn more: https://go.microsoft.com/fwlink/?linkid=870924
Comment:
    Source: See Data Sources Tab</t>
      </text>
    </comment>
    <comment ref="J9" authorId="6" shapeId="0" xr:uid="{A573C1F9-DDA7-4A7F-A61E-7F9C04A1CB07}">
      <text>
        <t>[Threaded comment]
Your version of Excel allows you to read this threaded comment; however, any edits to it will get removed if the file is opened in a newer version of Excel. Learn more: https://go.microsoft.com/fwlink/?linkid=870924
Comment:
    See Spa Prices Tab</t>
      </text>
    </comment>
    <comment ref="N9" authorId="7" shapeId="0" xr:uid="{4614D11D-606E-4EA2-8F38-EA6E7E54952F}">
      <text>
        <t>[Threaded comment]
Your version of Excel allows you to read this threaded comment; however, any edits to it will get removed if the file is opened in a newer version of Excel. Learn more: https://go.microsoft.com/fwlink/?linkid=870924
Comment:
    Source: https://www.wbdg.org/resources/geothermal-energy-direct-use</t>
      </text>
    </comment>
    <comment ref="J10" authorId="8" shapeId="0" xr:uid="{5CF104C3-6A1F-404F-B867-B36AB811E5CF}">
      <text>
        <t>[Threaded comment]
Your version of Excel allows you to read this threaded comment; however, any edits to it will get removed if the file is opened in a newer version of Excel. Learn more: https://go.microsoft.com/fwlink/?linkid=870924
Comment:
    See Spa Prices Tab</t>
      </text>
    </comment>
    <comment ref="N10" authorId="9" shapeId="0" xr:uid="{440A9EA8-5D50-4F13-9CCA-CD3DB72C9D06}">
      <text>
        <t>[Threaded comment]
Your version of Excel allows you to read this threaded comment; however, any edits to it will get removed if the file is opened in a newer version of Excel. Learn more: https://go.microsoft.com/fwlink/?linkid=870924
Comment:
    Source: See Data Sources Tab</t>
      </text>
    </comment>
    <comment ref="J11" authorId="10" shapeId="0" xr:uid="{2C0D4A58-6670-46AF-8179-2EDB1BFD652A}">
      <text>
        <t>[Threaded comment]
Your version of Excel allows you to read this threaded comment; however, any edits to it will get removed if the file is opened in a newer version of Excel. Learn more: https://go.microsoft.com/fwlink/?linkid=870924
Comment:
    See Spa Prices Tab</t>
      </text>
    </comment>
    <comment ref="J12" authorId="11" shapeId="0" xr:uid="{3D7BC2BF-6DB4-4BB4-B325-A3901B417894}">
      <text>
        <t>[Threaded comment]
Your version of Excel allows you to read this threaded comment; however, any edits to it will get removed if the file is opened in a newer version of Excel. Learn more: https://go.microsoft.com/fwlink/?linkid=870924
Comment:
    User Assumption</t>
      </text>
    </comment>
    <comment ref="N12" authorId="12" shapeId="0" xr:uid="{8103633C-7B87-4B92-91A3-10ED9C3AC080}">
      <text>
        <t>[Threaded comment]
Your version of Excel allows you to read this threaded comment; however, any edits to it will get removed if the file is opened in a newer version of Excel. Learn more: https://go.microsoft.com/fwlink/?linkid=870924
Comment:
    Source: See Data Sources Tab</t>
      </text>
    </comment>
    <comment ref="C13" authorId="13" shapeId="0" xr:uid="{4CB0C77D-FFB4-425A-8D8F-DFD4FD26D6EE}">
      <text>
        <t>[Threaded comment]
Your version of Excel allows you to read this threaded comment; however, any edits to it will get removed if the file is opened in a newer version of Excel. Learn more: https://go.microsoft.com/fwlink/?linkid=870924
Comment:
    Source: https://www.diva-portal.org/smash/get/diva2:742038/FULLTEXT01.pdf (Page 42) According to https://orkustofnun.is/gogn/unu-gtp-report/UNU-GTP-2013-09.pdf "A stainless
steel heat exchanger coil is
installed in the cooling pond."</t>
      </text>
    </comment>
    <comment ref="J13" authorId="14" shapeId="0" xr:uid="{8BDCB134-FDD0-40D8-88B5-BAA35D2E8D55}">
      <text>
        <t>[Threaded comment]
Your version of Excel allows you to read this threaded comment; however, any edits to it will get removed if the file is opened in a newer version of Excel. Learn more: https://go.microsoft.com/fwlink/?linkid=870924
Comment:
    User Assumption</t>
      </text>
    </comment>
    <comment ref="N13" authorId="15" shapeId="0" xr:uid="{A7F93BA4-24BB-4EAE-8B76-ECBFEFADA459}">
      <text>
        <t>[Threaded comment]
Your version of Excel allows you to read this threaded comment; however, any edits to it will get removed if the file is opened in a newer version of Excel. Learn more: https://go.microsoft.com/fwlink/?linkid=870924
Comment:
    Assumes that equipment will be purchased and not leased</t>
      </text>
    </comment>
    <comment ref="C14" authorId="16" shapeId="0" xr:uid="{2A1D0D43-2515-4E6D-99FB-7BC181852C18}">
      <text>
        <t>[Threaded comment]
Your version of Excel allows you to read this threaded comment; however, any edits to it will get removed if the file is opened in a newer version of Excel. Learn more: https://go.microsoft.com/fwlink/?linkid=870924
Comment:
    Source: https://www.diva-portal.org/smash/get/diva2:742038/FULLTEXT01.pdf (Page 42)
According to https://orkustofnun.is/gogn/unu-gtp-report/UNU-GTP-2013-09.pdf pg 11 "Three submersible
drainage pumps (Figure 10) are
installed in the bathing pond to recirculate and mix the water"</t>
      </text>
    </comment>
    <comment ref="F14" authorId="17" shapeId="0" xr:uid="{C0C3C1F3-6EE9-4C36-BC57-5A19FD949320}">
      <text>
        <t>[Threaded comment]
Your version of Excel allows you to read this threaded comment; however, any edits to it will get removed if the file is opened in a newer version of Excel. Learn more: https://go.microsoft.com/fwlink/?linkid=870924
Comment:
    User Assumption</t>
      </text>
    </comment>
    <comment ref="J14" authorId="18" shapeId="0" xr:uid="{934C14CD-2748-4AD4-8C86-9CE9FB16C466}">
      <text>
        <t>[Threaded comment]
Your version of Excel allows you to read this threaded comment; however, any edits to it will get removed if the file is opened in a newer version of Excel. Learn more: https://go.microsoft.com/fwlink/?linkid=870924
Comment:
    User Assumption</t>
      </text>
    </comment>
    <comment ref="N14" authorId="19" shapeId="0" xr:uid="{85C67EA2-6B03-4386-848C-BB22CD62DFD9}">
      <text>
        <t>[Threaded comment]
Your version of Excel allows you to read this threaded comment; however, any edits to it will get removed if the file is opened in a newer version of Excel. Learn more: https://go.microsoft.com/fwlink/?linkid=870924
Comment:
    User Assumption. Assuming same cost as Marketing</t>
      </text>
    </comment>
    <comment ref="C15" authorId="20" shapeId="0" xr:uid="{81620112-0AD2-4B33-9436-68DB0C796A02}">
      <text>
        <t>[Threaded comment]
Your version of Excel allows you to read this threaded comment; however, any edits to it will get removed if the file is opened in a newer version of Excel. Learn more: https://go.microsoft.com/fwlink/?linkid=870924
Comment:
    Source: https://orkustofnun.is/gogn/unu-gtp-report/UNU-GTP-2013-09.pdf (Page 10)</t>
      </text>
    </comment>
    <comment ref="F15" authorId="21" shapeId="0" xr:uid="{B007375F-2679-4E8D-BD45-466F6A7BB9D0}">
      <text>
        <t>[Threaded comment]
Your version of Excel allows you to read this threaded comment; however, any edits to it will get removed if the file is opened in a newer version of Excel. Learn more: https://go.microsoft.com/fwlink/?linkid=870924
Comment:
    User Assumption</t>
      </text>
    </comment>
    <comment ref="J15" authorId="22" shapeId="0" xr:uid="{51D4D479-9E5C-44BC-90EE-327103238BE1}">
      <text>
        <t>[Threaded comment]
Your version of Excel allows you to read this threaded comment; however, any edits to it will get removed if the file is opened in a newer version of Excel. Learn more: https://go.microsoft.com/fwlink/?linkid=870924
Comment:
    User Assumption</t>
      </text>
    </comment>
    <comment ref="N15" authorId="23" shapeId="0" xr:uid="{EA7FA746-9427-4F52-9D7F-DC8D87C46DC0}">
      <text>
        <t>[Threaded comment]
Your version of Excel allows you to read this threaded comment; however, any edits to it will get removed if the file is opened in a newer version of Excel. Learn more: https://go.microsoft.com/fwlink/?linkid=870924
Comment:
    Source: https://www.business2community.com/marketing/how-much-should-you-spend-on-marketing-your-small-business-02316226 (Assuming Walmart figure)</t>
      </text>
    </comment>
    <comment ref="C16" authorId="24" shapeId="0" xr:uid="{4EC41BD5-B777-497D-903E-D5BF8E0A0A2E}">
      <text>
        <t>[Threaded comment]
Your version of Excel allows you to read this threaded comment; however, any edits to it will get removed if the file is opened in a newer version of Excel. Learn more: https://go.microsoft.com/fwlink/?linkid=870924
Comment:
    Source: https://www.theeastafrican.co.ke/tea/magazine/kenya-s-286-200-natural-spa--1319036</t>
      </text>
    </comment>
    <comment ref="F16" authorId="25" shapeId="0" xr:uid="{ACF0324D-1913-4E02-92A9-FC94282485A6}">
      <text>
        <t>[Threaded comment]
Your version of Excel allows you to read this threaded comment; however, any edits to it will get removed if the file is opened in a newer version of Excel. Learn more: https://go.microsoft.com/fwlink/?linkid=870924
Comment:
    User Assumption</t>
      </text>
    </comment>
    <comment ref="J16" authorId="26" shapeId="0" xr:uid="{941B128D-5F90-44EB-B0B8-2969C6C3005D}">
      <text>
        <t>[Threaded comment]
Your version of Excel allows you to read this threaded comment; however, any edits to it will get removed if the file is opened in a newer version of Excel. Learn more: https://go.microsoft.com/fwlink/?linkid=870924
Comment:
    User Assumption</t>
      </text>
    </comment>
    <comment ref="N16" authorId="27" shapeId="0" xr:uid="{921E0BA6-A295-46CE-A301-2C37372A6263}">
      <text>
        <t>[Threaded comment]
Your version of Excel allows you to read this threaded comment; however, any edits to it will get removed if the file is opened in a newer version of Excel. Learn more: https://go.microsoft.com/fwlink/?linkid=870924
Comment:
    Source: https://www.justbusiness.com/starting-a-small-business/business-startup-costs</t>
      </text>
    </comment>
    <comment ref="O16" authorId="28" shapeId="0" xr:uid="{D9AFCDE7-7DBE-4826-A7FF-9DE832350F4B}">
      <text>
        <t>[Threaded comment]
Your version of Excel allows you to read this threaded comment; however, any edits to it will get removed if the file is opened in a newer version of Excel. Learn more: https://go.microsoft.com/fwlink/?linkid=870924
Comment:
    Assuming the building covers 5% of total land area</t>
      </text>
    </comment>
    <comment ref="J17" authorId="29" shapeId="0" xr:uid="{9583DE63-4347-4742-8C14-2679AB5695DE}">
      <text>
        <t>[Threaded comment]
Your version of Excel allows you to read this threaded comment; however, any edits to it will get removed if the file is opened in a newer version of Excel. Learn more: https://go.microsoft.com/fwlink/?linkid=870924
Comment:
    User Assumption</t>
      </text>
    </comment>
    <comment ref="J18" authorId="30" shapeId="0" xr:uid="{61F31388-E296-45F3-9A49-20301CA70540}">
      <text>
        <t>[Threaded comment]
Your version of Excel allows you to read this threaded comment; however, any edits to it will get removed if the file is opened in a newer version of Excel. Learn more: https://go.microsoft.com/fwlink/?linkid=870924
Comment:
    User Assumption</t>
      </text>
    </comment>
    <comment ref="G20" authorId="31" shapeId="0" xr:uid="{7F6E3221-60EC-42CA-8A88-B69A62B7C147}">
      <text>
        <t>[Threaded comment]
Your version of Excel allows you to read this threaded comment; however, any edits to it will get removed if the file is opened in a newer version of Excel. Learn more: https://go.microsoft.com/fwlink/?linkid=870924
Comment:
    User Assumption</t>
      </text>
    </comment>
    <comment ref="G21" authorId="32" shapeId="0" xr:uid="{1C66C5D5-5CB5-42A8-97D4-6DCDDE1344CE}">
      <text>
        <t>[Threaded comment]
Your version of Excel allows you to read this threaded comment; however, any edits to it will get removed if the file is opened in a newer version of Excel. Learn more: https://go.microsoft.com/fwlink/?linkid=870924
Comment:
    User Assumption</t>
      </text>
    </comment>
    <comment ref="J21" authorId="33" shapeId="0" xr:uid="{16557C7D-9A53-467F-8D66-FE7484725705}">
      <text>
        <t>[Threaded comment]
Your version of Excel allows you to read this threaded comment; however, any edits to it will get removed if the file is opened in a newer version of Excel. Learn more: https://go.microsoft.com/fwlink/?linkid=870924
Comment:
    Source: See Data Sources Tab</t>
      </text>
    </comment>
    <comment ref="N23" authorId="34" shapeId="0" xr:uid="{0004FB1F-4C8E-44B8-BA9A-4EBC76A8C47E}">
      <text>
        <t>[Threaded comment]
Your version of Excel allows you to read this threaded comment; however, any edits to it will get removed if the file is opened in a newer version of Excel. Learn more: https://go.microsoft.com/fwlink/?linkid=870924
Comment:
    User Assumption</t>
      </text>
    </comment>
    <comment ref="F24" authorId="35" shapeId="0" xr:uid="{548C81C7-7049-43A4-85FC-7CE60767558F}">
      <text>
        <t>[Threaded comment]
Your version of Excel allows you to read this threaded comment; however, any edits to it will get removed if the file is opened in a newer version of Excel. Learn more: https://go.microsoft.com/fwlink/?linkid=870924
Comment:
    Source: https://orkustofnun.is/gogn/unu-gtp-report/UNU-GTP-2015-21.pdf (Page 1). Entry must not exceed maximum annual capacity</t>
      </text>
    </comment>
    <comment ref="J24" authorId="36" shapeId="0" xr:uid="{AD7FE4B0-A4E8-4772-ADC5-DFCCE0D7A16E}">
      <text>
        <t>[Threaded comment]
Your version of Excel allows you to read this threaded comment; however, any edits to it will get removed if the file is opened in a newer version of Excel. Learn more: https://go.microsoft.com/fwlink/?linkid=870924
Comment:
    Source: "A Guide for the Development of Geothermal Direct – Use Projects in Tanzania" Pg 13</t>
      </text>
    </comment>
    <comment ref="F25" authorId="37" shapeId="0" xr:uid="{179B26BB-B1BA-4973-A1D1-FB3171135BF4}">
      <text>
        <t>[Threaded comment]
Your version of Excel allows you to read this threaded comment; however, any edits to it will get removed if the file is opened in a newer version of Excel. Learn more: https://go.microsoft.com/fwlink/?linkid=870924
Comment:
    Source: https://orkustofnun.is/gogn/unu-gtp-report/UNU-GTP-2013-09.pdf</t>
      </text>
    </comment>
    <comment ref="F26" authorId="38" shapeId="0" xr:uid="{0F68D2E7-86AE-417A-AD56-8D21CC4D1F22}">
      <text>
        <t>[Threaded comment]
Your version of Excel allows you to read this threaded comment; however, any edits to it will get removed if the file is opened in a newer version of Excel. Learn more: https://go.microsoft.com/fwlink/?linkid=870924
Comment:
    Source: https://orkustofnun.is/gogn/unu-gtp-report/UNU-GTP-2013-09.pdf</t>
      </text>
    </comment>
    <comment ref="J26" authorId="39" shapeId="0" xr:uid="{E5749151-1E18-4950-9095-8BE1E3E69C56}">
      <text>
        <t>[Threaded comment]
Your version of Excel allows you to read this threaded comment; however, any edits to it will get removed if the file is opened in a newer version of Excel. Learn more: https://go.microsoft.com/fwlink/?linkid=870924
Comment:
    User Assumption</t>
      </text>
    </comment>
    <comment ref="N27" authorId="40" shapeId="0" xr:uid="{D5FFD182-96B5-4677-80A2-A97AC4E139E4}">
      <text>
        <t>[Threaded comment]
Your version of Excel allows you to read this threaded comment; however, any edits to it will get removed if the file is opened in a newer version of Excel. Learn more: https://go.microsoft.com/fwlink/?linkid=870924
Comment:
    Source: See Data Sources Tab</t>
      </text>
    </comment>
    <comment ref="F28" authorId="41" shapeId="0" xr:uid="{BCE54E1C-1071-4EFD-89AD-EEE7ECE601CE}">
      <text>
        <t>[Threaded comment]
Your version of Excel allows you to read this threaded comment; however, any edits to it will get removed if the file is opened in a newer version of Excel. Learn more: https://go.microsoft.com/fwlink/?linkid=870924
Comment:
    Source: https://orkustofnun.is/gogn/unu-gtp-report/UNU-GTP-2013-09.pdf (Page 12)</t>
      </text>
    </comment>
    <comment ref="N28" authorId="42" shapeId="0" xr:uid="{71D44DE3-24AB-4BE6-98C0-1B35427AB2B9}">
      <text>
        <t>[Threaded comment]
Your version of Excel allows you to read this threaded comment; however, any edits to it will get removed if the file is opened in a newer version of Excel. Learn more: https://go.microsoft.com/fwlink/?linkid=870924
Comment:
    Source: See Data Sources Tab</t>
      </text>
    </comment>
    <comment ref="F29" authorId="43" shapeId="0" xr:uid="{05F2E0A3-7F15-4604-907B-73DC0C798EFC}">
      <text>
        <t>[Threaded comment]
Your version of Excel allows you to read this threaded comment; however, any edits to it will get removed if the file is opened in a newer version of Excel. Learn more: https://go.microsoft.com/fwlink/?linkid=870924
Comment:
    Source: https://www.energy.gov/sites/prod/files/2016/02/f29/jemezpueblo05final.pdf (Page 37)</t>
      </text>
    </comment>
    <comment ref="N29" authorId="44" shapeId="0" xr:uid="{80C1DCF5-71D1-48C6-AEBF-9F61F03A1361}">
      <text>
        <t>[Threaded comment]
Your version of Excel allows you to read this threaded comment; however, any edits to it will get removed if the file is opened in a newer version of Excel. Learn more: https://go.microsoft.com/fwlink/?linkid=870924
Comment:
    Source: See Data Sources Tab</t>
      </text>
    </comment>
    <comment ref="F31" authorId="45" shapeId="0" xr:uid="{1CDE633E-5E86-44B6-987A-ACA5F1F3A560}">
      <text>
        <t>[Threaded comment]
Your version of Excel allows you to read this threaded comment; however, any edits to it will get removed if the file is opened in a newer version of Excel. Learn more: https://go.microsoft.com/fwlink/?linkid=870924
Comment:
    Source: https://orkustofnun.is/gogn/unu-gtp-report/UNU-GTP-2013-09.pdf</t>
      </text>
    </comment>
    <comment ref="N31" authorId="46" shapeId="0" xr:uid="{5E1142AE-3185-496C-A4A1-F22DB14B1CB5}">
      <text>
        <t>[Threaded comment]
Your version of Excel allows you to read this threaded comment; however, any edits to it will get removed if the file is opened in a newer version of Excel. Learn more: https://go.microsoft.com/fwlink/?linkid=870924
Comment:
    Source: See Data Sources Tab</t>
      </text>
    </comment>
    <comment ref="N32" authorId="47" shapeId="0" xr:uid="{9CED971F-3561-4DAA-8675-1185A145C51F}">
      <text>
        <t>[Threaded comment]
Your version of Excel allows you to read this threaded comment; however, any edits to it will get removed if the file is opened in a newer version of Excel. Learn more: https://go.microsoft.com/fwlink/?linkid=870924
Comment:
    Assuming sales reps/distributors are not on the payroll but get remunerated by price mark-ups</t>
      </text>
    </comment>
    <comment ref="F33" authorId="48" shapeId="0" xr:uid="{C62B1338-3A21-4871-B209-832617B20FB7}">
      <text>
        <t>[Threaded comment]
Your version of Excel allows you to read this threaded comment; however, any edits to it will get removed if the file is opened in a newer version of Excel. Learn more: https://go.microsoft.com/fwlink/?linkid=870924
Comment:
    Source: https://www.energy.gov/sites/prod/files/2016/02/f29/jemezpueblo05final.pdf (Page 37)</t>
      </text>
    </comment>
    <comment ref="F35" authorId="49" shapeId="0" xr:uid="{2E00E69E-EE9C-469E-9CFE-DC88992323F6}">
      <text>
        <t>[Threaded comment]
Your version of Excel allows you to read this threaded comment; however, any edits to it will get removed if the file is opened in a newer version of Excel. Learn more: https://go.microsoft.com/fwlink/?linkid=870924
Comment:
    User Assumption
See https://orkustofnun.is/gogn/unu-gtp-report/UNU-GTP-2013-09.pdf (Page 3)</t>
      </text>
    </comment>
    <comment ref="M38" authorId="50" shapeId="0" xr:uid="{60CBDECA-8762-4A16-9D0B-E27F021BC763}">
      <text>
        <t>[Threaded comment]
Your version of Excel allows you to read this threaded comment; however, any edits to it will get removed if the file is opened in a newer version of Excel. Learn more: https://go.microsoft.com/fwlink/?linkid=870924
Comment:
    Source: https://arsskyrsla2019.bluelagoon.is/badstadir/; https://arsskyrsla2019.bluelagoon.is/mannaudur/. Blue Lagoon in Iceland had 809 staffs to 968k visitors in 2019. This is cut in half to exlude the hotel, catering, shops staffs</t>
      </text>
    </comment>
    <comment ref="M40" authorId="51" shapeId="0" xr:uid="{C8F797F8-DC29-48BB-B762-34BCA3659445}">
      <text>
        <t>[Threaded comment]
Your version of Excel allows you to read this threaded comment; however, any edits to it will get removed if the file is opened in a newer version of Excel. Learn more: https://go.microsoft.com/fwlink/?linkid=870924
Comment:
    User Assumption</t>
      </text>
    </comment>
    <comment ref="M41" authorId="52" shapeId="0" xr:uid="{D7A79D0B-102C-43D1-A945-2B6FFBBFCA66}">
      <text>
        <t>[Threaded comment]
Your version of Excel allows you to read this threaded comment; however, any edits to it will get removed if the file is opened in a newer version of Excel. Learn more: https://go.microsoft.com/fwlink/?linkid=870924
Comment:
    User Assumption</t>
      </text>
    </comment>
    <comment ref="M42" authorId="53" shapeId="0" xr:uid="{F0C33C69-F4E1-47B0-AAB5-5BB284FA6C66}">
      <text>
        <t>[Threaded comment]
Your version of Excel allows you to read this threaded comment; however, any edits to it will get removed if the file is opened in a newer version of Excel. Learn more: https://go.microsoft.com/fwlink/?linkid=870924
Comment:
    Source: https://orkustofnun.is/gogn/unu-gtp-report/UNU-GTP-2013-09.pdf Pg 17 (330 days/yr)</t>
      </text>
    </comment>
    <comment ref="M43" authorId="54" shapeId="0" xr:uid="{EA8CD552-A0A2-45B8-B17E-1C5B28B2BE35}">
      <text>
        <t>[Threaded comment]
Your version of Excel allows you to read this threaded comment; however, any edits to it will get removed if the file is opened in a newer version of Excel. Learn more: https://go.microsoft.com/fwlink/?linkid=870924
Comment:
    Source: https://orkustofnun.is/gogn/unu-gtp-report/UNU-GTP-2013-09.pdf Pg 17 (330 days/yr)</t>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tc={629BF0FE-3C95-492D-9201-933FC87AF592}</author>
    <author>tc={7F552056-77FB-4B05-930E-5F89171AC3D1}</author>
    <author>tc={1AE641DC-AE22-4663-97FE-BD7334B468E5}</author>
    <author>tc={6BE7C38C-9ABF-46D5-9F21-38C1E899C838}</author>
    <author>tc={4B35FF49-C344-4EBB-9791-1D6E08D68798}</author>
    <author>tc={B2CEDA60-1D00-4F91-9844-ACEC6B52F719}</author>
    <author>Koye</author>
    <author>tc={DF5FB97C-62CC-4C4A-842A-6EFCC4C8E74B}</author>
    <author>tc={F30F10C2-E55B-4F31-B9EB-424AD28B5F1F}</author>
    <author>tc={CB3DB8FF-7DC2-4156-96CF-2678B82A3442}</author>
    <author>tc={F3C22549-9B2F-4A1D-BDC3-809388D3493F}</author>
    <author>tc={3239C7D4-0CC7-4CE2-A585-284037109EA4}</author>
    <author>tc={2074D23D-903F-44A1-B728-B63A076B28CC}</author>
    <author>tc={D67917C3-7B22-4071-82A5-E129C9C2DEA1}</author>
    <author>tc={D91BE274-9358-467A-A35E-83711435A853}</author>
    <author>tc={2F297847-7224-4E4F-9F93-7F3BDBDD0CEA}</author>
    <author>tc={30D506B7-B5B4-4F46-AF4B-403BC21A19A7}</author>
    <author>tc={C38F2301-B3F8-49D7-802D-B13DA25BC885}</author>
    <author>tc={7FD5EE80-B506-470F-B169-0B9B7641AE99}</author>
    <author>tc={654ED7D0-44E5-4393-952B-8AD1C4904337}</author>
    <author>tc={A773FF2E-C51B-4728-BA72-7A8F8099BDDE}</author>
    <author>tc={3F2BC146-C429-411E-BC02-CB432260A995}</author>
    <author>tc={FD3142F9-6984-4800-B1E8-E53290A0DC92}</author>
    <author>tc={1EEFB0AD-FAF1-4ED7-9B9D-25DF7FF85A88}</author>
    <author>tc={958ABFAE-3784-44AA-9DF6-D3FBB5E9562E}</author>
    <author>tc={5C938CF7-AE1C-410F-9CEA-3EE8E8EFAEDC}</author>
    <author>tc={07B4C6A5-90C3-4B94-B25B-145CA072A5DC}</author>
    <author>tc={B4A74468-F637-4967-8723-D050DC923F90}</author>
    <author>tc={36790BA8-7CC7-40A1-A952-82390D6FA318}</author>
    <author>tc={FCA15F5D-0168-41DC-AEC8-5A57D3E78639}</author>
    <author>tc={28DF02BD-816E-42FC-A711-43A472E7FFBA}</author>
    <author>tc={E633D2C9-40D1-4D38-A5F4-CB790DFAEDB9}</author>
    <author>tc={6B9DF018-ABDA-435C-B139-C5D014635D6E}</author>
    <author>tc={E741FDDF-E596-4826-BAEA-EB0D65C93EE6}</author>
    <author>tc={3AB9A9F9-5062-438C-83C1-15D42479D47C}</author>
    <author>tc={22871E56-C27E-41D9-ADD9-F71EC342882C}</author>
    <author>tc={70166652-FA73-4A64-B26D-67E8ADB0039F}</author>
    <author>tc={502672D9-541F-4807-A101-10B5F4250B0A}</author>
    <author>tc={B6B132D0-A226-4585-A8FE-7DE7207F59E2}</author>
    <author>tc={2B2A474E-DB1D-4B55-9A05-8C9ACAD6E56D}</author>
    <author>tc={96D2F985-12D4-4246-8124-A8D850E267EC}</author>
    <author>tc={9C9DB301-6BCD-4ABD-BA85-CFF2C6F77DBE}</author>
    <author>tc={C1D9107C-73FE-4907-B209-04B8A428CBDB}</author>
    <author>tc={9D1BF96D-F211-4ACD-901B-B66D8DCBB1AC}</author>
    <author>tc={51849367-C2D0-49F5-9BA6-164F6C72011B}</author>
    <author>tc={023E48C9-DF9D-44E5-9C21-6C1B46B15F88}</author>
    <author>tc={FCD96986-1782-458B-A5FE-5A269FCBA022}</author>
    <author>tc={3C4B1C34-A79F-4CD8-A7FD-8F8ACF611C78}</author>
    <author>tc={D088CCE4-4E47-4AFE-88BC-6595A717C849}</author>
    <author>tc={A8837375-1D92-4DC9-88EF-19CA0FABB066}</author>
    <author>tc={71080FE3-9F72-461F-A358-3F214A97069C}</author>
    <author>tc={2534DC75-79D4-4836-8F9F-41AF971E81FE}</author>
    <author>tc={24600FFB-A1EB-4CAB-9693-181B54616963}</author>
    <author>tc={62D30132-369B-47CA-AC0E-403BA26E6797}</author>
    <author>tc={AFED6D73-CC27-4BFA-81D6-F10895CAD3AA}</author>
    <author>tc={E6DD734A-7D3F-47AD-812C-272E67450BEC}</author>
    <author>tc={7E2C254B-593D-47A7-AD39-22EC47E66DC9}</author>
    <author>tc={DBD7D55A-7492-4772-A3E9-872C92C27010}</author>
    <author>tc={D01AC084-DF7B-4969-8A8C-92B1ED9C4124}</author>
    <author>tc={E01304A2-8E7E-4644-9EF6-43A020FAA466}</author>
    <author>tc={51523539-B1F3-4AB9-BA1C-952EA463D076}</author>
    <author>tc={DA92993E-695C-4AD5-90FD-A5274C0B698C}</author>
    <author>tc={BACBB79E-FEAA-4D3C-A21F-2E683AC39B8A}</author>
    <author>tc={F8A5DDAC-63D4-4734-8AD1-FA2B92E9F4E7}</author>
    <author>tc={11BD28D3-DFA2-4F4F-B5BB-9DB76D663C85}</author>
    <author>tc={72C5DCEF-6909-4E4B-BD9D-58DAD7FA0EC9}</author>
    <author>tc={AA958282-B252-4F34-A0BD-AC84ADF1A551}</author>
    <author>tc={D0264367-D74B-4FEB-9DCD-EF7445C5F397}</author>
    <author>tc={067700B7-795A-40B2-B228-C8E4AC5CF679}</author>
    <author>tc={0AA2811E-83B5-4052-8DDC-D1B4D22B6B6C}</author>
    <author>tc={7C433364-37C8-4D95-8DF0-34EE7B5BD3C9}</author>
    <author>tc={729B91D9-75FB-4FC2-A145-B4869674FDAF}</author>
    <author>tc={9B4C0A73-F057-4325-A7F6-C864AB5E79FA}</author>
    <author>tc={E1EEE9CE-2E17-49F2-AADE-4FF31A5EDBF3}</author>
    <author>tc={3AD7F8CA-5D1A-49C7-9600-0E38E64E5313}</author>
  </authors>
  <commentList>
    <comment ref="M4" authorId="0" shapeId="0" xr:uid="{629BF0FE-3C95-492D-9201-933FC87AF592}">
      <text>
        <t>[Threaded comment]
Your version of Excel allows you to read this threaded comment; however, any edits to it will get removed if the file is opened in a newer version of Excel. Learn more: https://go.microsoft.com/fwlink/?linkid=870924
Comment:
    Based on model assumption</t>
      </text>
    </comment>
    <comment ref="N4" authorId="1" shapeId="0" xr:uid="{7F552056-77FB-4B05-930E-5F89171AC3D1}">
      <text>
        <t>[Threaded comment]
Your version of Excel allows you to read this threaded comment; however, any edits to it will get removed if the file is opened in a newer version of Excel. Learn more: https://go.microsoft.com/fwlink/?linkid=870924
Comment:
    Based on model assumption</t>
      </text>
    </comment>
    <comment ref="O4" authorId="2" shapeId="0" xr:uid="{1AE641DC-AE22-4663-97FE-BD7334B468E5}">
      <text>
        <t>[Threaded comment]
Your version of Excel allows you to read this threaded comment; however, any edits to it will get removed if the file is opened in a newer version of Excel. Learn more: https://go.microsoft.com/fwlink/?linkid=870924
Comment:
    Based on model assumption</t>
      </text>
    </comment>
    <comment ref="M5" authorId="3" shapeId="0" xr:uid="{6BE7C38C-9ABF-46D5-9F21-38C1E899C838}">
      <text>
        <t>[Threaded comment]
Your version of Excel allows you to read this threaded comment; however, any edits to it will get removed if the file is opened in a newer version of Excel. Learn more: https://go.microsoft.com/fwlink/?linkid=870924
Comment:
    Based on model assumption</t>
      </text>
    </comment>
    <comment ref="N5" authorId="4" shapeId="0" xr:uid="{4B35FF49-C344-4EBB-9791-1D6E08D68798}">
      <text>
        <t>[Threaded comment]
Your version of Excel allows you to read this threaded comment; however, any edits to it will get removed if the file is opened in a newer version of Excel. Learn more: https://go.microsoft.com/fwlink/?linkid=870924
Comment:
    Based on model assumption</t>
      </text>
    </comment>
    <comment ref="O5" authorId="5" shapeId="0" xr:uid="{B2CEDA60-1D00-4F91-9844-ACEC6B52F719}">
      <text>
        <t>[Threaded comment]
Your version of Excel allows you to read this threaded comment; however, any edits to it will get removed if the file is opened in a newer version of Excel. Learn more: https://go.microsoft.com/fwlink/?linkid=870924
Comment:
    Based on model assumption</t>
      </text>
    </comment>
    <comment ref="G6" authorId="6" shapeId="0" xr:uid="{FAE9191B-C0B0-483D-AB8B-EF07B6B9ED52}">
      <text>
        <r>
          <rPr>
            <b/>
            <sz val="9"/>
            <color indexed="81"/>
            <rFont val="Tahoma"/>
            <family val="2"/>
          </rPr>
          <t>Commercial Operation Date</t>
        </r>
      </text>
    </comment>
    <comment ref="J7" authorId="7" shapeId="0" xr:uid="{DF5FB97C-62CC-4C4A-842A-6EFCC4C8E74B}">
      <text>
        <t>[Threaded comment]
Your version of Excel allows you to read this threaded comment; however, any edits to it will get removed if the file is opened in a newer version of Excel. Learn more: https://go.microsoft.com/fwlink/?linkid=870924
Comment:
    Source: See Data Sources Tab</t>
      </text>
    </comment>
    <comment ref="M7" authorId="8" shapeId="0" xr:uid="{F30F10C2-E55B-4F31-B9EB-424AD28B5F1F}">
      <text>
        <t>[Threaded comment]
Your version of Excel allows you to read this threaded comment; however, any edits to it will get removed if the file is opened in a newer version of Excel. Learn more: https://go.microsoft.com/fwlink/?linkid=870924
Comment:
    Based on model assumption</t>
      </text>
    </comment>
    <comment ref="N7" authorId="9" shapeId="0" xr:uid="{CB3DB8FF-7DC2-4156-96CF-2678B82A3442}">
      <text>
        <t>[Threaded comment]
Your version of Excel allows you to read this threaded comment; however, any edits to it will get removed if the file is opened in a newer version of Excel. Learn more: https://go.microsoft.com/fwlink/?linkid=870924
Comment:
    Based on model assumption</t>
      </text>
    </comment>
    <comment ref="O7" authorId="10" shapeId="0" xr:uid="{F3C22549-9B2F-4A1D-BDC3-809388D3493F}">
      <text>
        <t>[Threaded comment]
Your version of Excel allows you to read this threaded comment; however, any edits to it will get removed if the file is opened in a newer version of Excel. Learn more: https://go.microsoft.com/fwlink/?linkid=870924
Comment:
    Based on model assumption</t>
      </text>
    </comment>
    <comment ref="M9" authorId="11" shapeId="0" xr:uid="{3239C7D4-0CC7-4CE2-A585-284037109EA4}">
      <text>
        <t>[Threaded comment]
Your version of Excel allows you to read this threaded comment; however, any edits to it will get removed if the file is opened in a newer version of Excel. Learn more: https://go.microsoft.com/fwlink/?linkid=870924
Comment:
    Source: https://www.alibaba.com/showroom/industrial-boiler-price.html</t>
      </text>
    </comment>
    <comment ref="N9" authorId="12" shapeId="0" xr:uid="{2074D23D-903F-44A1-B728-B63A076B28CC}">
      <text>
        <t>[Threaded comment]
Your version of Excel allows you to read this threaded comment; however, any edits to it will get removed if the file is opened in a newer version of Excel. Learn more: https://go.microsoft.com/fwlink/?linkid=870924
Comment:
    Source: https://www.alibaba.com/showroom/firewood-steam-boiler.html</t>
      </text>
    </comment>
    <comment ref="O9" authorId="13" shapeId="0" xr:uid="{D67917C3-7B22-4071-82A5-E129C9C2DEA1}">
      <text>
        <t>[Threaded comment]
Your version of Excel allows you to read this threaded comment; however, any edits to it will get removed if the file is opened in a newer version of Excel. Learn more: https://go.microsoft.com/fwlink/?linkid=870924
Comment:
    Based on model assumption</t>
      </text>
    </comment>
    <comment ref="J10" authorId="14" shapeId="0" xr:uid="{D91BE274-9358-467A-A35E-83711435A853}">
      <text>
        <t>[Threaded comment]
Your version of Excel allows you to read this threaded comment; however, any edits to it will get removed if the file is opened in a newer version of Excel. Learn more: https://go.microsoft.com/fwlink/?linkid=870924
Comment:
    Source: "A Guide for the Development of Geothermal Direct – Use Projects in Tanzania" Pg 13</t>
      </text>
    </comment>
    <comment ref="M10" authorId="15" shapeId="0" xr:uid="{2F297847-7224-4E4F-9F93-7F3BDBDD0CEA}">
      <text>
        <t>[Threaded comment]
Your version of Excel allows you to read this threaded comment; however, any edits to it will get removed if the file is opened in a newer version of Excel. Learn more: https://go.microsoft.com/fwlink/?linkid=870924
Comment:
    Source: https://nttinc.com/blog/how-long-do-boilers-last/</t>
      </text>
    </comment>
    <comment ref="N10" authorId="16" shapeId="0" xr:uid="{30D506B7-B5B4-4F46-AF4B-403BC21A19A7}">
      <text>
        <t>[Threaded comment]
Your version of Excel allows you to read this threaded comment; however, any edits to it will get removed if the file is opened in a newer version of Excel. Learn more: https://go.microsoft.com/fwlink/?linkid=870924
Comment:
    Source: https://nttinc.com/blog/how-long-do-boilers-last/</t>
      </text>
    </comment>
    <comment ref="O10" authorId="17" shapeId="0" xr:uid="{C38F2301-B3F8-49D7-802D-B13DA25BC885}">
      <text>
        <t>[Threaded comment]
Your version of Excel allows you to read this threaded comment; however, any edits to it will get removed if the file is opened in a newer version of Excel. Learn more: https://go.microsoft.com/fwlink/?linkid=870924
Comment:
    Based on model assumption</t>
      </text>
    </comment>
    <comment ref="J12" authorId="18" shapeId="0" xr:uid="{7FD5EE80-B506-470F-B169-0B9B7641AE99}">
      <text>
        <t>[Threaded comment]
Your version of Excel allows you to read this threaded comment; however, any edits to it will get removed if the file is opened in a newer version of Excel. Learn more: https://go.microsoft.com/fwlink/?linkid=870924
Comment:
    User Assumption</t>
      </text>
    </comment>
    <comment ref="M12" authorId="19" shapeId="0" xr:uid="{654ED7D0-44E5-4393-952B-8AD1C4904337}">
      <text>
        <t>[Threaded comment]
Your version of Excel allows you to read this threaded comment; however, any edits to it will get removed if the file is opened in a newer version of Excel. Learn more: https://go.microsoft.com/fwlink/?linkid=870924
Comment:
    Source: Local Expert</t>
      </text>
    </comment>
    <comment ref="N12" authorId="20" shapeId="0" xr:uid="{A773FF2E-C51B-4728-BA72-7A8F8099BDDE}">
      <text>
        <t>[Threaded comment]
Your version of Excel allows you to read this threaded comment; however, any edits to it will get removed if the file is opened in a newer version of Excel. Learn more: https://go.microsoft.com/fwlink/?linkid=870924
Comment:
    Source: Local Expert</t>
      </text>
    </comment>
    <comment ref="C13" authorId="21" shapeId="0" xr:uid="{3F2BC146-C429-411E-BC02-CB432260A995}">
      <text>
        <t>[Threaded comment]
Your version of Excel allows you to read this threaded comment; however, any edits to it will get removed if the file is opened in a newer version of Excel. Learn more: https://go.microsoft.com/fwlink/?linkid=870924
Comment:
    Source: https://www.diva-portal.org/smash/get/diva2:742038/FULLTEXT01.pdf (Page 42) (Assuming one unit is needed per dryer)</t>
      </text>
    </comment>
    <comment ref="M13" authorId="22" shapeId="0" xr:uid="{FD3142F9-6984-4800-B1E8-E53290A0DC92}">
      <text>
        <t>[Threaded comment]
Your version of Excel allows you to read this threaded comment; however, any edits to it will get removed if the file is opened in a newer version of Excel. Learn more: https://go.microsoft.com/fwlink/?linkid=870924
Comment:
    Source: Local Expert</t>
      </text>
    </comment>
    <comment ref="N13" authorId="23" shapeId="0" xr:uid="{1EEFB0AD-FAF1-4ED7-9B9D-25DF7FF85A88}">
      <text>
        <t>[Threaded comment]
Your version of Excel allows you to read this threaded comment; however, any edits to it will get removed if the file is opened in a newer version of Excel. Learn more: https://go.microsoft.com/fwlink/?linkid=870924
Comment:
    Source: Local Expert</t>
      </text>
    </comment>
    <comment ref="C14" authorId="24" shapeId="0" xr:uid="{958ABFAE-3784-44AA-9DF6-D3FBB5E9562E}">
      <text>
        <t>[Threaded comment]
Your version of Excel allows you to read this threaded comment; however, any edits to it will get removed if the file is opened in a newer version of Excel. Learn more: https://go.microsoft.com/fwlink/?linkid=870924
Comment:
    Source: https://www.diva-portal.org/smash/get/diva2:742038/FULLTEXT01.pdf (Page 42)</t>
      </text>
    </comment>
    <comment ref="F14" authorId="25" shapeId="0" xr:uid="{5C938CF7-AE1C-410F-9CEA-3EE8E8EFAEDC}">
      <text>
        <t>[Threaded comment]
Your version of Excel allows you to read this threaded comment; however, any edits to it will get removed if the file is opened in a newer version of Excel. Learn more: https://go.microsoft.com/fwlink/?linkid=870924
Comment:
    User Assumption</t>
      </text>
    </comment>
    <comment ref="C15" authorId="26" shapeId="0" xr:uid="{07B4C6A5-90C3-4B94-B25B-145CA072A5DC}">
      <text>
        <t>[Threaded comment]
Your version of Excel allows you to read this threaded comment; however, any edits to it will get removed if the file is opened in a newer version of Excel. Learn more: https://go.microsoft.com/fwlink/?linkid=870924
Comment:
    Source: https://www.diva-portal.org/smash/get/diva2:742038/FULLTEXT01.pdf (Page 42)</t>
      </text>
    </comment>
    <comment ref="F15" authorId="27" shapeId="0" xr:uid="{B4A74468-F637-4967-8723-D050DC923F90}">
      <text>
        <t>[Threaded comment]
Your version of Excel allows you to read this threaded comment; however, any edits to it will get removed if the file is opened in a newer version of Excel. Learn more: https://go.microsoft.com/fwlink/?linkid=870924
Comment:
    User Assumption</t>
      </text>
    </comment>
    <comment ref="M15" authorId="28" shapeId="0" xr:uid="{36790BA8-7CC7-40A1-A952-82390D6FA318}">
      <text>
        <t>[Threaded comment]
Your version of Excel allows you to read this threaded comment; however, any edits to it will get removed if the file is opened in a newer version of Excel. Learn more: https://go.microsoft.com/fwlink/?linkid=870924
Comment:
    Source: Local Expert</t>
      </text>
    </comment>
    <comment ref="N15" authorId="29" shapeId="0" xr:uid="{FCA15F5D-0168-41DC-AEC8-5A57D3E78639}">
      <text>
        <t>[Threaded comment]
Your version of Excel allows you to read this threaded comment; however, any edits to it will get removed if the file is opened in a newer version of Excel. Learn more: https://go.microsoft.com/fwlink/?linkid=870924
Comment:
    Source: Local Expert</t>
      </text>
    </comment>
    <comment ref="O15" authorId="30" shapeId="0" xr:uid="{28DF02BD-816E-42FC-A711-43A472E7FFBA}">
      <text>
        <t>[Threaded comment]
Your version of Excel allows you to read this threaded comment; however, any edits to it will get removed if the file is opened in a newer version of Excel. Learn more: https://go.microsoft.com/fwlink/?linkid=870924
Comment:
    Source: Local Expert</t>
      </text>
    </comment>
    <comment ref="C16" authorId="31" shapeId="0" xr:uid="{E633D2C9-40D1-4D38-A5F4-CB790DFAEDB9}">
      <text>
        <t>[Threaded comment]
Your version of Excel allows you to read this threaded comment; however, any edits to it will get removed if the file is opened in a newer version of Excel. Learn more: https://go.microsoft.com/fwlink/?linkid=870924
Comment:
    Source: https://www.diva-portal.org/smash/get/diva2:742038/FULLTEXT01.pdf (Page 42)</t>
      </text>
    </comment>
    <comment ref="F16" authorId="32" shapeId="0" xr:uid="{6B9DF018-ABDA-435C-B139-C5D014635D6E}">
      <text>
        <t>[Threaded comment]
Your version of Excel allows you to read this threaded comment; however, any edits to it will get removed if the file is opened in a newer version of Excel. Learn more: https://go.microsoft.com/fwlink/?linkid=870924
Comment:
    User Assumption</t>
      </text>
    </comment>
    <comment ref="M16" authorId="33" shapeId="0" xr:uid="{E741FDDF-E596-4826-BAEA-EB0D65C93EE6}">
      <text>
        <t>[Threaded comment]
Your version of Excel allows you to read this threaded comment; however, any edits to it will get removed if the file is opened in a newer version of Excel. Learn more: https://go.microsoft.com/fwlink/?linkid=870924
Comment:
    Source: Local Expert</t>
      </text>
    </comment>
    <comment ref="N16" authorId="34" shapeId="0" xr:uid="{3AB9A9F9-5062-438C-83C1-15D42479D47C}">
      <text>
        <t>[Threaded comment]
Your version of Excel allows you to read this threaded comment; however, any edits to it will get removed if the file is opened in a newer version of Excel. Learn more: https://go.microsoft.com/fwlink/?linkid=870924
Comment:
    Source: Local Expert</t>
      </text>
    </comment>
    <comment ref="O16" authorId="35" shapeId="0" xr:uid="{22871E56-C27E-41D9-ADD9-F71EC342882C}">
      <text>
        <t>[Threaded comment]
Your version of Excel allows you to read this threaded comment; however, any edits to it will get removed if the file is opened in a newer version of Excel. Learn more: https://go.microsoft.com/fwlink/?linkid=870924
Comment:
    Source: Local Expert</t>
      </text>
    </comment>
    <comment ref="M18" authorId="36" shapeId="0" xr:uid="{70166652-FA73-4A64-B26D-67E8ADB0039F}">
      <text>
        <t>[Threaded comment]
Your version of Excel allows you to read this threaded comment; however, any edits to it will get removed if the file is opened in a newer version of Excel. Learn more: https://go.microsoft.com/fwlink/?linkid=870924
Comment:
    Assuming non-firewood fuels require 25% less labor</t>
      </text>
    </comment>
    <comment ref="N18" authorId="37" shapeId="0" xr:uid="{502672D9-541F-4807-A101-10B5F4250B0A}">
      <text>
        <t>[Threaded comment]
Your version of Excel allows you to read this threaded comment; however, any edits to it will get removed if the file is opened in a newer version of Excel. Learn more: https://go.microsoft.com/fwlink/?linkid=870924
Comment:
    Source: Local Expert</t>
      </text>
    </comment>
    <comment ref="O18" authorId="38" shapeId="0" xr:uid="{B6B132D0-A226-4585-A8FE-7DE7207F59E2}">
      <text>
        <t>[Threaded comment]
Your version of Excel allows you to read this threaded comment; however, any edits to it will get removed if the file is opened in a newer version of Excel. Learn more: https://go.microsoft.com/fwlink/?linkid=870924
Comment:
    Assuming non-firewood fuels require 25% less labor</t>
      </text>
    </comment>
    <comment ref="G20" authorId="39" shapeId="0" xr:uid="{2B2A474E-DB1D-4B55-9A05-8C9ACAD6E56D}">
      <text>
        <t>[Threaded comment]
Your version of Excel allows you to read this threaded comment; however, any edits to it will get removed if the file is opened in a newer version of Excel. Learn more: https://go.microsoft.com/fwlink/?linkid=870924
Comment:
    User Assumption</t>
      </text>
    </comment>
    <comment ref="M20" authorId="40" shapeId="0" xr:uid="{96D2F985-12D4-4246-8124-A8D850E267EC}">
      <text>
        <t>[Threaded comment]
Your version of Excel allows you to read this threaded comment; however, any edits to it will get removed if the file is opened in a newer version of Excel. Learn more: https://go.microsoft.com/fwlink/?linkid=870924
Comment:
    Source: See Model Data Sources Tab.</t>
      </text>
    </comment>
    <comment ref="N20" authorId="41" shapeId="0" xr:uid="{9C9DB301-6BCD-4ABD-BA85-CFF2C6F77DBE}">
      <text>
        <t>[Threaded comment]
Your version of Excel allows you to read this threaded comment; however, any edits to it will get removed if the file is opened in a newer version of Excel. Learn more: https://go.microsoft.com/fwlink/?linkid=870924
Comment:
    Source: See Model Data Sources Tab.</t>
      </text>
    </comment>
    <comment ref="O20" authorId="42" shapeId="0" xr:uid="{C1D9107C-73FE-4907-B209-04B8A428CBDB}">
      <text>
        <t>[Threaded comment]
Your version of Excel allows you to read this threaded comment; however, any edits to it will get removed if the file is opened in a newer version of Excel. Learn more: https://go.microsoft.com/fwlink/?linkid=870924
Comment:
    Source: See Model Data Sources Tab.</t>
      </text>
    </comment>
    <comment ref="G21" authorId="43" shapeId="0" xr:uid="{9D1BF96D-F211-4ACD-901B-B66D8DCBB1AC}">
      <text>
        <t>[Threaded comment]
Your version of Excel allows you to read this threaded comment; however, any edits to it will get removed if the file is opened in a newer version of Excel. Learn more: https://go.microsoft.com/fwlink/?linkid=870924
Comment:
    User Assumption</t>
      </text>
    </comment>
    <comment ref="M21" authorId="44" shapeId="0" xr:uid="{51849367-C2D0-49F5-9BA6-164F6C72011B}">
      <text>
        <t>[Threaded comment]
Your version of Excel allows you to read this threaded comment; however, any edits to it will get removed if the file is opened in a newer version of Excel. Learn more: https://go.microsoft.com/fwlink/?linkid=870924
Comment:
    Based on model assumption</t>
      </text>
    </comment>
    <comment ref="N21" authorId="45" shapeId="0" xr:uid="{023E48C9-DF9D-44E5-9C21-6C1B46B15F88}">
      <text>
        <t>[Threaded comment]
Your version of Excel allows you to read this threaded comment; however, any edits to it will get removed if the file is opened in a newer version of Excel. Learn more: https://go.microsoft.com/fwlink/?linkid=870924
Comment:
    Based on model assumption</t>
      </text>
    </comment>
    <comment ref="O21" authorId="46" shapeId="0" xr:uid="{FCD96986-1782-458B-A5FE-5A269FCBA022}">
      <text>
        <t>[Threaded comment]
Your version of Excel allows you to read this threaded comment; however, any edits to it will get removed if the file is opened in a newer version of Excel. Learn more: https://go.microsoft.com/fwlink/?linkid=870924
Comment:
    Based on model assumption</t>
      </text>
    </comment>
    <comment ref="M23" authorId="47" shapeId="0" xr:uid="{3C4B1C34-A79F-4CD8-A7FD-8F8ACF611C78}">
      <text>
        <t>[Threaded comment]
Your version of Excel allows you to read this threaded comment; however, any edits to it will get removed if the file is opened in a newer version of Excel. Learn more: https://go.microsoft.com/fwlink/?linkid=870924
Comment:
    Based on model assumption</t>
      </text>
    </comment>
    <comment ref="N23" authorId="48" shapeId="0" xr:uid="{D088CCE4-4E47-4AFE-88BC-6595A717C849}">
      <text>
        <t>[Threaded comment]
Your version of Excel allows you to read this threaded comment; however, any edits to it will get removed if the file is opened in a newer version of Excel. Learn more: https://go.microsoft.com/fwlink/?linkid=870924
Comment:
    Based on model assumption</t>
      </text>
    </comment>
    <comment ref="O23" authorId="49" shapeId="0" xr:uid="{A8837375-1D92-4DC9-88EF-19CA0FABB066}">
      <text>
        <t>[Threaded comment]
Your version of Excel allows you to read this threaded comment; however, any edits to it will get removed if the file is opened in a newer version of Excel. Learn more: https://go.microsoft.com/fwlink/?linkid=870924
Comment:
    Based on model assumption</t>
      </text>
    </comment>
    <comment ref="G25" authorId="50" shapeId="0" xr:uid="{71080FE3-9F72-461F-A358-3F214A97069C}">
      <text>
        <t>[Threaded comment]
Your version of Excel allows you to read this threaded comment; however, any edits to it will get removed if the file is opened in a newer version of Excel. Learn more: https://go.microsoft.com/fwlink/?linkid=870924
Comment:
    Source: See Data Sources Tab</t>
      </text>
    </comment>
    <comment ref="L25" authorId="51" shapeId="0" xr:uid="{2534DC75-79D4-4836-8F9F-41AF971E81FE}">
      <text>
        <t>[Threaded comment]
Your version of Excel allows you to read this threaded comment; however, any edits to it will get removed if the file is opened in a newer version of Excel. Learn more: https://go.microsoft.com/fwlink/?linkid=870924
Comment:
    Pricing in the implicit cost of lost revenue due to inability to charge premium price due to poor taste, quality etc.</t>
      </text>
    </comment>
    <comment ref="G26" authorId="52" shapeId="0" xr:uid="{24600FFB-A1EB-4CAB-9693-181B54616963}">
      <text>
        <t>[Threaded comment]
Your version of Excel allows you to read this threaded comment; however, any edits to it will get removed if the file is opened in a newer version of Excel. Learn more: https://go.microsoft.com/fwlink/?linkid=870924
Comment:
    Source: https://edepot.wur.nl/197258 (Page 20) This refers to moisture content pre-withering, while post-withering is 71% (page 25)
Also, page 5 of https://core.ac.uk/download/pdf/188220067.pdf</t>
      </text>
    </comment>
    <comment ref="G27" authorId="53" shapeId="0" xr:uid="{62D30132-369B-47CA-AC0E-403BA26E6797}">
      <text>
        <t>[Threaded comment]
Your version of Excel allows you to read this threaded comment; however, any edits to it will get removed if the file is opened in a newer version of Excel. Learn more: https://go.microsoft.com/fwlink/?linkid=870924
Comment:
    Source: https://core.ac.uk/download/pdf/188220067.pdf (Page 7); https://www.geothermal-energy.org/pdf/IGAstandard/WGC/2010/2841.pdf (Page 2)</t>
      </text>
    </comment>
    <comment ref="G29" authorId="54" shapeId="0" xr:uid="{AFED6D73-CC27-4BFA-81D6-F10895CAD3AA}">
      <text>
        <t>[Threaded comment]
Your version of Excel allows you to read this threaded comment; however, any edits to it will get removed if the file is opened in a newer version of Excel. Learn more: https://go.microsoft.com/fwlink/?linkid=870924
Comment:
    http://projects.nri.org/nret/fruitnil.pdf (Page 7)</t>
      </text>
    </comment>
    <comment ref="G30" authorId="55" shapeId="0" xr:uid="{E6DD734A-7D3F-47AD-812C-272E67450BEC}">
      <text>
        <t>[Threaded comment]
Your version of Excel allows you to read this threaded comment; however, any edits to it will get removed if the file is opened in a newer version of Excel. Learn more: https://go.microsoft.com/fwlink/?linkid=870924
Comment:
    https://core.ac.uk/download/pdf/188220067.pdf (Pg 15)</t>
      </text>
    </comment>
    <comment ref="C32" authorId="56" shapeId="0" xr:uid="{7E2C254B-593D-47A7-AD39-22EC47E66DC9}">
      <text>
        <t>[Threaded comment]
Your version of Excel allows you to read this threaded comment; however, any edits to it will get removed if the file is opened in a newer version of Excel. Learn more: https://go.microsoft.com/fwlink/?linkid=870924
Comment:
    https://www.diva-portal.org/smash/get/diva2:742038/FULLTEXT01.pdf (Page 35)</t>
      </text>
    </comment>
    <comment ref="G32" authorId="57" shapeId="0" xr:uid="{DBD7D55A-7492-4772-A3E9-872C92C27010}">
      <text>
        <t>[Threaded comment]
Your version of Excel allows you to read this threaded comment; however, any edits to it will get removed if the file is opened in a newer version of Excel. Learn more: https://go.microsoft.com/fwlink/?linkid=870924
Comment:
    Based on Kibiro local expert response</t>
      </text>
    </comment>
    <comment ref="C33" authorId="58" shapeId="0" xr:uid="{D01AC084-DF7B-4969-8A8C-92B1ED9C4124}">
      <text>
        <t>[Threaded comment]
Your version of Excel allows you to read this threaded comment; however, any edits to it will get removed if the file is opened in a newer version of Excel. Learn more: https://go.microsoft.com/fwlink/?linkid=870924
Comment:
    https://www.diva-portal.org/smash/get/diva2:742038/FULLTEXT01.pdf (Page 35)</t>
      </text>
    </comment>
    <comment ref="G33" authorId="59" shapeId="0" xr:uid="{E01304A2-8E7E-4644-9EF6-43A020FAA466}">
      <text>
        <t>[Threaded comment]
Your version of Excel allows you to read this threaded comment; however, any edits to it will get removed if the file is opened in a newer version of Excel. Learn more: https://go.microsoft.com/fwlink/?linkid=870924
Comment:
    Based on Kibiro local expert response</t>
      </text>
    </comment>
    <comment ref="C34" authorId="60" shapeId="0" xr:uid="{51523539-B1F3-4AB9-BA1C-952EA463D076}">
      <text>
        <t>[Threaded comment]
Your version of Excel allows you to read this threaded comment; however, any edits to it will get removed if the file is opened in a newer version of Excel. Learn more: https://go.microsoft.com/fwlink/?linkid=870924
Comment:
    https://www.diva-portal.org/smash/get/diva2:742038/FULLTEXT01.pdf (Page 35)</t>
      </text>
    </comment>
    <comment ref="C35" authorId="61" shapeId="0" xr:uid="{DA92993E-695C-4AD5-90FD-A5274C0B698C}">
      <text>
        <t>[Threaded comment]
Your version of Excel allows you to read this threaded comment; however, any edits to it will get removed if the file is opened in a newer version of Excel. Learn more: https://go.microsoft.com/fwlink/?linkid=870924
Comment:
    https://www.diva-portal.org/smash/get/diva2:742038/FULLTEXT01.pdf (Page 38)</t>
      </text>
    </comment>
    <comment ref="G35" authorId="62" shapeId="0" xr:uid="{BACBB79E-FEAA-4D3C-A21F-2E683AC39B8A}">
      <text>
        <t>[Threaded comment]
Your version of Excel allows you to read this threaded comment; however, any edits to it will get removed if the file is opened in a newer version of Excel. Learn more: https://go.microsoft.com/fwlink/?linkid=870924
Comment:
    Source: Based on Kibiro local expert response</t>
      </text>
    </comment>
    <comment ref="C36" authorId="63" shapeId="0" xr:uid="{F8A5DDAC-63D4-4734-8AD1-FA2B92E9F4E7}">
      <text>
        <t>[Threaded comment]
Your version of Excel allows you to read this threaded comment; however, any edits to it will get removed if the file is opened in a newer version of Excel. Learn more: https://go.microsoft.com/fwlink/?linkid=870924
Comment:
    https://www.diva-portal.org/smash/get/diva2:742038/FULLTEXT01.pdf (Page 38)</t>
      </text>
    </comment>
    <comment ref="G36" authorId="64" shapeId="0" xr:uid="{11BD28D3-DFA2-4F4F-B5BB-9DB76D663C85}">
      <text>
        <t>[Threaded comment]
Your version of Excel allows you to read this threaded comment; however, any edits to it will get removed if the file is opened in a newer version of Excel. Learn more: https://go.microsoft.com/fwlink/?linkid=870924
Comment:
    Based on Kibiro local expert response</t>
      </text>
    </comment>
    <comment ref="C37" authorId="65" shapeId="0" xr:uid="{72C5DCEF-6909-4E4B-BD9D-58DAD7FA0EC9}">
      <text>
        <t>[Threaded comment]
Your version of Excel allows you to read this threaded comment; however, any edits to it will get removed if the file is opened in a newer version of Excel. Learn more: https://go.microsoft.com/fwlink/?linkid=870924
Comment:
    https://www.diva-portal.org/smash/get/diva2:742038/FULLTEXT01.pdf (Page 35)</t>
      </text>
    </comment>
    <comment ref="G37" authorId="66" shapeId="0" xr:uid="{AA958282-B252-4F34-A0BD-AC84ADF1A551}">
      <text>
        <t>[Threaded comment]
Your version of Excel allows you to read this threaded comment; however, any edits to it will get removed if the file is opened in a newer version of Excel. Learn more: https://go.microsoft.com/fwlink/?linkid=870924
Comment:
    Based on Kibiro local expert response</t>
      </text>
    </comment>
    <comment ref="C38" authorId="67" shapeId="0" xr:uid="{D0264367-D74B-4FEB-9DCD-EF7445C5F397}">
      <text>
        <t>[Threaded comment]
Your version of Excel allows you to read this threaded comment; however, any edits to it will get removed if the file is opened in a newer version of Excel. Learn more: https://go.microsoft.com/fwlink/?linkid=870924
Comment:
    https://www.diva-portal.org/smash/get/diva2:742038/FULLTEXT01.pdf (Page 35,38)</t>
      </text>
    </comment>
    <comment ref="G38" authorId="68" shapeId="0" xr:uid="{067700B7-795A-40B2-B228-C8E4AC5CF679}">
      <text>
        <t>[Threaded comment]
Your version of Excel allows you to read this threaded comment; however, any edits to it will get removed if the file is opened in a newer version of Excel. Learn more: https://go.microsoft.com/fwlink/?linkid=870924
Comment:
    Based on Kibiro local expert response</t>
      </text>
    </comment>
    <comment ref="G40" authorId="69" shapeId="0" xr:uid="{0AA2811E-83B5-4052-8DDC-D1B4D22B6B6C}">
      <text>
        <t>[Threaded comment]
Your version of Excel allows you to read this threaded comment; however, any edits to it will get removed if the file is opened in a newer version of Excel. Learn more: https://go.microsoft.com/fwlink/?linkid=870924
Comment:
    Based on Kibiro local expert response</t>
      </text>
    </comment>
    <comment ref="C42" authorId="70" shapeId="0" xr:uid="{7C433364-37C8-4D95-8DF0-34EE7B5BD3C9}">
      <text>
        <t>[Threaded comment]
Your version of Excel allows you to read this threaded comment; however, any edits to it will get removed if the file is opened in a newer version of Excel. Learn more: https://go.microsoft.com/fwlink/?linkid=870924
Comment:
    https://www.researchgate.net/publication/322351481_Environmental_and_nutritional_requirements_for_tea_cultivation/fulltext/5a557af6a6fdcc30f86ba4e5/Environmental-and-nutritional-requirements-for-tea-cultivation.pdf (Pg 6)</t>
      </text>
    </comment>
    <comment ref="C43" authorId="71" shapeId="0" xr:uid="{729B91D9-75FB-4FC2-A145-B4869674FDAF}">
      <text>
        <t>[Threaded comment]
Your version of Excel allows you to read this threaded comment; however, any edits to it will get removed if the file is opened in a newer version of Excel. Learn more: https://go.microsoft.com/fwlink/?linkid=870924
Comment:
    https://www.geothermal-energy.org/pdf/IGAstandard/WGC/2010/2841.pdf (Page 2) and https://cigrjournal.org/index.php/Ejounral/article/download/5048/2902 (Page 7)</t>
      </text>
    </comment>
    <comment ref="C45" authorId="72" shapeId="0" xr:uid="{9B4C0A73-F057-4325-A7F6-C864AB5E79FA}">
      <text>
        <t>[Threaded comment]
Your version of Excel allows you to read this threaded comment; however, any edits to it will get removed if the file is opened in a newer version of Excel. Learn more: https://go.microsoft.com/fwlink/?linkid=870924
Comment:
    Source: https://www.diva-portal.org/smash/get/diva2:742038/FULLTEXT01.pdf (Page 36)</t>
      </text>
    </comment>
    <comment ref="C46" authorId="73" shapeId="0" xr:uid="{E1EEE9CE-2E17-49F2-AADE-4FF31A5EDBF3}">
      <text>
        <t>[Threaded comment]
Your version of Excel allows you to read this threaded comment; however, any edits to it will get removed if the file is opened in a newer version of Excel. Learn more: https://go.microsoft.com/fwlink/?linkid=870924
Comment:
    https://www.diva-portal.org/smash/get/diva2:742038/FULLTEXT01.pdf (Page 37)</t>
      </text>
    </comment>
    <comment ref="C47" authorId="74" shapeId="0" xr:uid="{3AD7F8CA-5D1A-49C7-9600-0E38E64E5313}">
      <text>
        <t>[Threaded comment]
Your version of Excel allows you to read this threaded comment; however, any edits to it will get removed if the file is opened in a newer version of Excel. Learn more: https://go.microsoft.com/fwlink/?linkid=870924
Comment:
    https://www.diva-portal.org/smash/get/diva2:742038/FULLTEXT01.pdf (Page 37) (Different from source doc because it is assumed that the station will not run for 24hrs per day, all year)</t>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tc={637D6063-D02F-404D-8986-61D60551C876}</author>
    <author>tc={BB80F1BD-B689-41DF-87DA-162D4D64144F}</author>
    <author>tc={458498D2-9896-4617-9E56-21525726E7B2}</author>
    <author>tc={956DD004-391A-4D00-9687-4595EAA4F346}</author>
    <author>tc={C709B363-2F67-445C-8250-66870B1682F5}</author>
    <author>tc={D5C8C7AF-9DAF-4600-834F-5A3A21906CA7}</author>
    <author>Koye</author>
    <author>tc={8497C66D-32FC-43E8-80F9-54AA20014FF1}</author>
    <author>tc={374708D6-1B4C-4188-AD0A-5972E6261518}</author>
    <author>tc={B97F1470-B863-4A7D-ADA9-C73C7483FC9D}</author>
    <author>tc={065AE3CF-20C2-438C-A8D4-DEFDD00D6E07}</author>
    <author>tc={06C05CB2-958A-44A7-8FBB-52ED50F4D253}</author>
    <author>tc={923E0FF1-0520-4399-BFB7-D2769D53D2F0}</author>
    <author>tc={89A6F29E-2A29-420F-9019-941643B57517}</author>
    <author>tc={8B2406B5-58BD-415A-8F68-9A90D3C07D48}</author>
    <author>tc={38036088-E947-4B42-99CE-BAF030503D39}</author>
    <author>tc={2E78BC91-5D1B-4A84-B4BB-BD32F9F23B6C}</author>
    <author>tc={15F44C67-804D-40A3-9297-9996C3283E6F}</author>
    <author>tc={8E73CCCA-DF70-4405-8BF0-D8416FD6A25F}</author>
    <author>tc={B3D809CB-5C11-4435-B054-B13E2E1693D1}</author>
    <author>tc={E74AB6CC-C582-49B4-A7BB-8229EF6108FB}</author>
    <author>tc={E1E587C6-3C7A-473E-BBAD-C5CC598B214D}</author>
    <author>tc={86DEE1E8-ED45-497B-8CEB-29F0C89E6EFB}</author>
    <author>tc={974D1262-ACE3-4BC6-84CA-196BE26D7BC7}</author>
    <author>tc={B4B22EDA-E738-4D46-9828-15AA16C550F8}</author>
    <author>tc={0F8C93DE-C1BE-4B0B-8765-FB50459D3A14}</author>
    <author>tc={BC258E72-1F62-4164-8AD5-88842C22EB4D}</author>
    <author>tc={4C07627F-DFED-4F08-9646-8D74B4665D34}</author>
    <author>tc={6E211B9B-EEA3-4C3F-9551-C0E187AEF091}</author>
    <author>tc={AFDF350E-DB61-4F8D-9857-3753CD82670E}</author>
    <author>tc={7B65FB1C-2AB1-46CF-AF41-1CEED3A0258D}</author>
    <author>tc={30622CEE-5FEC-4F75-8CA7-C4692AFBA3BD}</author>
    <author>tc={D928E7F9-CFF3-49DB-B84F-7442C3EA242B}</author>
    <author>tc={08BB84C7-E8D1-499D-B11E-17D0223C2A91}</author>
    <author>tc={CE16351C-986A-4899-AB2B-7183AF0A0A0E}</author>
    <author>tc={FB657840-962F-41B3-B4A4-7A07D997D744}</author>
    <author>tc={FAAA144E-F712-431B-8126-420CB14A29B0}</author>
    <author>tc={75D45998-AF20-4CEC-9861-90DB9204BBFB}</author>
    <author>tc={AD1643FA-61D4-42E5-B079-84CE301D11A3}</author>
    <author>tc={33FAB81A-BB6F-4A2D-BC7F-283586C002C6}</author>
    <author>tc={A76F0954-1636-409E-ABE9-DBABE73FA50A}</author>
    <author>tc={80B41612-3200-48CF-B4C2-3CB9AEA34C37}</author>
    <author>tc={C2546DED-F0C1-40C1-89EE-45B06C5EB4A1}</author>
    <author>tc={8DDA79AF-37AA-4A2A-984B-80A54B318557}</author>
    <author>tc={D04958FF-E086-4B38-AC8E-C02C46817668}</author>
    <author>tc={53A80A19-A8FB-4F5F-B6FF-548E156710A0}</author>
    <author>tc={E60B8437-40B5-479E-A0E1-1BFDA56A77FE}</author>
    <author>tc={D82151AA-D40C-42E8-A478-37E758F2B4D6}</author>
    <author>tc={4397667F-3F4C-4F43-926E-2E67DE68D7AE}</author>
    <author>tc={4547D3F7-16F2-4FFF-9365-4BBE26E7B3EF}</author>
    <author>tc={258AA569-9743-40A6-BF95-5864871CBB21}</author>
    <author>tc={B70E3F67-BEEA-4894-9D1D-AE945BD3B2B0}</author>
    <author>tc={9B05A2C3-8F83-4E4D-BBEC-B2600450C82D}</author>
    <author>tc={C6E9B15B-AF52-44B6-8830-A697D0202154}</author>
    <author>tc={7F38C562-3CB6-4709-A7B1-B482286966A3}</author>
    <author>tc={DBEDCB7A-2201-4E94-BED0-F8060C71FDFC}</author>
    <author>tc={F450137D-8B83-4518-B4CA-43C091F02026}</author>
    <author>tc={4D5FBBBB-923F-4EE0-9D66-3C83E81CD34E}</author>
    <author>tc={CB6A3700-986A-41E4-8983-A3578CEF632A}</author>
    <author>tc={5FA55746-2881-48FD-82DC-D64C4562415B}</author>
    <author>tc={3E31C79D-0356-4468-BE78-4A24136A21C0}</author>
    <author>tc={F3B3C721-671B-4504-81AD-31C4B13C081A}</author>
    <author>tc={CA5DA3CA-9FDE-4A7A-894A-B7BB18319B26}</author>
    <author>tc={69D431CC-A49E-4825-A7BB-F940FAFB8617}</author>
    <author>tc={82EE6C6F-6BE4-4B72-9C38-352869FCE878}</author>
    <author>tc={AB81938C-83B3-48A9-8165-AF5F7485391A}</author>
  </authors>
  <commentList>
    <comment ref="M4" authorId="0" shapeId="0" xr:uid="{637D6063-D02F-404D-8986-61D60551C876}">
      <text>
        <t>[Threaded comment]
Your version of Excel allows you to read this threaded comment; however, any edits to it will get removed if the file is opened in a newer version of Excel. Learn more: https://go.microsoft.com/fwlink/?linkid=870924
Comment:
    Assuming burner, furnace, heat exchanger cost $5,000 per barn
https://www.alibaba.com/showroom/diesel-burner-price.html
https://www.alibaba.com/showroom/furnace-diesel-burner.html</t>
      </text>
    </comment>
    <comment ref="N4" authorId="1" shapeId="0" xr:uid="{BB80F1BD-B689-41DF-87DA-162D4D64144F}">
      <text>
        <t>[Threaded comment]
Your version of Excel allows you to read this threaded comment; however, any edits to it will get removed if the file is opened in a newer version of Excel. Learn more: https://go.microsoft.com/fwlink/?linkid=870924
Comment:
    It is assumed that the CAPEX is 15% higher per barn than that of diesel-fired barns. See below:
When firing solid fuels (coal ,wood,biomass,pellets ) or heavy oil, the barns are hot water supplied i.e. they do not have individual burners on their heat exchangers but their heat exchangers (radiators) are fed with hot water supplied from a central boiler that burns the cheap fuels to heat water which is distributed through piping to several barns (always more than 3 or 4 ).
The cost of the boiler, pumps, piping etc (in order to produce the necessary hot water) is added on the cost of barns which makes the cost per barn ~10-15% higher than barns with individual gas or diesel burners.
https://ventobacco.gr/tobacco-curing-stations/designing-a-tobacco-curing-station/</t>
      </text>
    </comment>
    <comment ref="O4" authorId="2" shapeId="0" xr:uid="{458498D2-9896-4617-9E56-21525726E7B2}">
      <text>
        <t>[Threaded comment]
Your version of Excel allows you to read this threaded comment; however, any edits to it will get removed if the file is opened in a newer version of Excel. Learn more: https://go.microsoft.com/fwlink/?linkid=870924
Comment:
    Based on model assumption</t>
      </text>
    </comment>
    <comment ref="M5" authorId="3" shapeId="0" xr:uid="{956DD004-391A-4D00-9687-4595EAA4F346}">
      <text>
        <t>[Threaded comment]
Your version of Excel allows you to read this threaded comment; however, any edits to it will get removed if the file is opened in a newer version of Excel. Learn more: https://go.microsoft.com/fwlink/?linkid=870924
Comment:
    Source: https://escholarship.org/content/qt76b25769/qt76b25769_noSplash_ba25f2daf2d92c0e6521ee2432d2873a.pdf?t=krn80d (Page 100)</t>
      </text>
    </comment>
    <comment ref="N5" authorId="4" shapeId="0" xr:uid="{C709B363-2F67-445C-8250-66870B1682F5}">
      <text>
        <t>[Threaded comment]
Your version of Excel allows you to read this threaded comment; however, any edits to it will get removed if the file is opened in a newer version of Excel. Learn more: https://go.microsoft.com/fwlink/?linkid=870924
Comment:
    Source: https://escholarship.org/content/qt76b25769/qt76b25769_noSplash_ba25f2daf2d92c0e6521ee2432d2873a.pdf?t=krn80d (Page 100)</t>
      </text>
    </comment>
    <comment ref="O5" authorId="5" shapeId="0" xr:uid="{D5C8C7AF-9DAF-4600-834F-5A3A21906CA7}">
      <text>
        <t>[Threaded comment]
Your version of Excel allows you to read this threaded comment; however, any edits to it will get removed if the file is opened in a newer version of Excel. Learn more: https://go.microsoft.com/fwlink/?linkid=870924
Comment:
    Based on model assumption</t>
      </text>
    </comment>
    <comment ref="G6" authorId="6" shapeId="0" xr:uid="{C1BF3930-86FE-4CFF-9151-A86898C45F97}">
      <text>
        <r>
          <rPr>
            <b/>
            <sz val="9"/>
            <color indexed="81"/>
            <rFont val="Tahoma"/>
            <family val="2"/>
          </rPr>
          <t>Commercial Operation Date</t>
        </r>
      </text>
    </comment>
    <comment ref="J7" authorId="7" shapeId="0" xr:uid="{8497C66D-32FC-43E8-80F9-54AA20014FF1}">
      <text>
        <t>[Threaded comment]
Your version of Excel allows you to read this threaded comment; however, any edits to it will get removed if the file is opened in a newer version of Excel. Learn more: https://go.microsoft.com/fwlink/?linkid=870924
Comment:
    Source: See Data Sources Tab</t>
      </text>
    </comment>
    <comment ref="M7" authorId="8" shapeId="0" xr:uid="{374708D6-1B4C-4188-AD0A-5972E6261518}">
      <text>
        <t>[Threaded comment]
Your version of Excel allows you to read this threaded comment; however, any edits to it will get removed if the file is opened in a newer version of Excel. Learn more: https://go.microsoft.com/fwlink/?linkid=870924
Comment:
    Source: Local Expert</t>
      </text>
    </comment>
    <comment ref="N7" authorId="9" shapeId="0" xr:uid="{B97F1470-B863-4A7D-ADA9-C73C7483FC9D}">
      <text>
        <t>[Threaded comment]
Your version of Excel allows you to read this threaded comment; however, any edits to it will get removed if the file is opened in a newer version of Excel. Learn more: https://go.microsoft.com/fwlink/?linkid=870924
Comment:
    Source: Local Expert</t>
      </text>
    </comment>
    <comment ref="O7" authorId="10" shapeId="0" xr:uid="{065AE3CF-20C2-438C-A8D4-DEFDD00D6E07}">
      <text>
        <t>[Threaded comment]
Your version of Excel allows you to read this threaded comment; however, any edits to it will get removed if the file is opened in a newer version of Excel. Learn more: https://go.microsoft.com/fwlink/?linkid=870924
Comment:
    Source: Local Expert</t>
      </text>
    </comment>
    <comment ref="M8" authorId="11" shapeId="0" xr:uid="{06C05CB2-958A-44A7-8FBB-52ED50F4D253}">
      <text>
        <t>[Threaded comment]
Your version of Excel allows you to read this threaded comment; however, any edits to it will get removed if the file is opened in a newer version of Excel. Learn more: https://go.microsoft.com/fwlink/?linkid=870924
Comment:
    Based on model assumption</t>
      </text>
    </comment>
    <comment ref="N8" authorId="12" shapeId="0" xr:uid="{923E0FF1-0520-4399-BFB7-D2769D53D2F0}">
      <text>
        <t>[Threaded comment]
Your version of Excel allows you to read this threaded comment; however, any edits to it will get removed if the file is opened in a newer version of Excel. Learn more: https://go.microsoft.com/fwlink/?linkid=870924
Comment:
    Based on model assumption</t>
      </text>
    </comment>
    <comment ref="O8" authorId="13" shapeId="0" xr:uid="{89A6F29E-2A29-420F-9019-941643B57517}">
      <text>
        <t>[Threaded comment]
Your version of Excel allows you to read this threaded comment; however, any edits to it will get removed if the file is opened in a newer version of Excel. Learn more: https://go.microsoft.com/fwlink/?linkid=870924
Comment:
    Based on model assumption</t>
      </text>
    </comment>
    <comment ref="J10" authorId="14" shapeId="0" xr:uid="{8B2406B5-58BD-415A-8F68-9A90D3C07D48}">
      <text>
        <t>[Threaded comment]
Your version of Excel allows you to read this threaded comment; however, any edits to it will get removed if the file is opened in a newer version of Excel. Learn more: https://go.microsoft.com/fwlink/?linkid=870924
Comment:
    Source: "A Guide for the Development of Geothermal Direct – Use Projects in Tanzania" Pg 13</t>
      </text>
    </comment>
    <comment ref="M10" authorId="15" shapeId="0" xr:uid="{38036088-E947-4B42-99CE-BAF030503D39}">
      <text>
        <t>[Threaded comment]
Your version of Excel allows you to read this threaded comment; however, any edits to it will get removed if the file is opened in a newer version of Excel. Learn more: https://go.microsoft.com/fwlink/?linkid=870924
Comment:
    Based on model assumption</t>
      </text>
    </comment>
    <comment ref="N10" authorId="16" shapeId="0" xr:uid="{2E78BC91-5D1B-4A84-B4BB-BD32F9F23B6C}">
      <text>
        <t>[Threaded comment]
Your version of Excel allows you to read this threaded comment; however, any edits to it will get removed if the file is opened in a newer version of Excel. Learn more: https://go.microsoft.com/fwlink/?linkid=870924
Comment:
    Based on model assumption</t>
      </text>
    </comment>
    <comment ref="O10" authorId="17" shapeId="0" xr:uid="{15F44C67-804D-40A3-9297-9996C3283E6F}">
      <text>
        <t>[Threaded comment]
Your version of Excel allows you to read this threaded comment; however, any edits to it will get removed if the file is opened in a newer version of Excel. Learn more: https://go.microsoft.com/fwlink/?linkid=870924
Comment:
    Based on model assumption</t>
      </text>
    </comment>
    <comment ref="J12" authorId="18" shapeId="0" xr:uid="{8E73CCCA-DF70-4405-8BF0-D8416FD6A25F}">
      <text>
        <t>[Threaded comment]
Your version of Excel allows you to read this threaded comment; however, any edits to it will get removed if the file is opened in a newer version of Excel. Learn more: https://go.microsoft.com/fwlink/?linkid=870924
Comment:
    User Assumption</t>
      </text>
    </comment>
    <comment ref="C13" authorId="19" shapeId="0" xr:uid="{B3D809CB-5C11-4435-B054-B13E2E1693D1}">
      <text>
        <t>[Threaded comment]
Your version of Excel allows you to read this threaded comment; however, any edits to it will get removed if the file is opened in a newer version of Excel. Learn more: https://go.microsoft.com/fwlink/?linkid=870924
Comment:
    Source: https://www.diva-portal.org/smash/get/diva2:742038/FULLTEXT01.pdf (Page 42) (Assuming one unit is needed per barn)</t>
      </text>
    </comment>
    <comment ref="M13" authorId="20" shapeId="0" xr:uid="{E74AB6CC-C582-49B4-A7BB-8229EF6108FB}">
      <text>
        <t>[Threaded comment]
Your version of Excel allows you to read this threaded comment; however, any edits to it will get removed if the file is opened in a newer version of Excel. Learn more: https://go.microsoft.com/fwlink/?linkid=870924
Comment:
    Source: Local Expert</t>
      </text>
    </comment>
    <comment ref="N13" authorId="21" shapeId="0" xr:uid="{E1E587C6-3C7A-473E-BBAD-C5CC598B214D}">
      <text>
        <t>[Threaded comment]
Your version of Excel allows you to read this threaded comment; however, any edits to it will get removed if the file is opened in a newer version of Excel. Learn more: https://go.microsoft.com/fwlink/?linkid=870924
Comment:
    Source: Local Expert</t>
      </text>
    </comment>
    <comment ref="C14" authorId="22" shapeId="0" xr:uid="{86DEE1E8-ED45-497B-8CEB-29F0C89E6EFB}">
      <text>
        <t>[Threaded comment]
Your version of Excel allows you to read this threaded comment; however, any edits to it will get removed if the file is opened in a newer version of Excel. Learn more: https://go.microsoft.com/fwlink/?linkid=870924
Comment:
    Source: https://www.diva-portal.org/smash/get/diva2:742038/FULLTEXT01.pdf (Page 42)</t>
      </text>
    </comment>
    <comment ref="F14" authorId="23" shapeId="0" xr:uid="{974D1262-ACE3-4BC6-84CA-196BE26D7BC7}">
      <text>
        <t>[Threaded comment]
Your version of Excel allows you to read this threaded comment; however, any edits to it will get removed if the file is opened in a newer version of Excel. Learn more: https://go.microsoft.com/fwlink/?linkid=870924
Comment:
    User Assumption</t>
      </text>
    </comment>
    <comment ref="M14" authorId="24" shapeId="0" xr:uid="{B4B22EDA-E738-4D46-9828-15AA16C550F8}">
      <text>
        <t>[Threaded comment]
Your version of Excel allows you to read this threaded comment; however, any edits to it will get removed if the file is opened in a newer version of Excel. Learn more: https://go.microsoft.com/fwlink/?linkid=870924
Comment:
    Source: Local Expert</t>
      </text>
    </comment>
    <comment ref="N14" authorId="25" shapeId="0" xr:uid="{0F8C93DE-C1BE-4B0B-8765-FB50459D3A14}">
      <text>
        <t>[Threaded comment]
Your version of Excel allows you to read this threaded comment; however, any edits to it will get removed if the file is opened in a newer version of Excel. Learn more: https://go.microsoft.com/fwlink/?linkid=870924
Comment:
    Source: Local Expert</t>
      </text>
    </comment>
    <comment ref="C15" authorId="26" shapeId="0" xr:uid="{BC258E72-1F62-4164-8AD5-88842C22EB4D}">
      <text>
        <t>[Threaded comment]
Your version of Excel allows you to read this threaded comment; however, any edits to it will get removed if the file is opened in a newer version of Excel. Learn more: https://go.microsoft.com/fwlink/?linkid=870924
Comment:
    Source: https://www.diva-portal.org/smash/get/diva2:742038/FULLTEXT01.pdf (Page 42)</t>
      </text>
    </comment>
    <comment ref="F15" authorId="27" shapeId="0" xr:uid="{4C07627F-DFED-4F08-9646-8D74B4665D34}">
      <text>
        <t>[Threaded comment]
Your version of Excel allows you to read this threaded comment; however, any edits to it will get removed if the file is opened in a newer version of Excel. Learn more: https://go.microsoft.com/fwlink/?linkid=870924
Comment:
    User Assumption</t>
      </text>
    </comment>
    <comment ref="C16" authorId="28" shapeId="0" xr:uid="{6E211B9B-EEA3-4C3F-9551-C0E187AEF091}">
      <text>
        <t>[Threaded comment]
Your version of Excel allows you to read this threaded comment; however, any edits to it will get removed if the file is opened in a newer version of Excel. Learn more: https://go.microsoft.com/fwlink/?linkid=870924
Comment:
    Source: https://www.diva-portal.org/smash/get/diva2:742038/FULLTEXT01.pdf (Page 42)</t>
      </text>
    </comment>
    <comment ref="F16" authorId="29" shapeId="0" xr:uid="{AFDF350E-DB61-4F8D-9857-3753CD82670E}">
      <text>
        <t>[Threaded comment]
Your version of Excel allows you to read this threaded comment; however, any edits to it will get removed if the file is opened in a newer version of Excel. Learn more: https://go.microsoft.com/fwlink/?linkid=870924
Comment:
    User Assumption</t>
      </text>
    </comment>
    <comment ref="M16" authorId="30" shapeId="0" xr:uid="{7B65FB1C-2AB1-46CF-AF41-1CEED3A0258D}">
      <text>
        <t>[Threaded comment]
Your version of Excel allows you to read this threaded comment; however, any edits to it will get removed if the file is opened in a newer version of Excel. Learn more: https://go.microsoft.com/fwlink/?linkid=870924
Comment:
    Source: Local Expert</t>
      </text>
    </comment>
    <comment ref="N16" authorId="31" shapeId="0" xr:uid="{30622CEE-5FEC-4F75-8CA7-C4692AFBA3BD}">
      <text>
        <t>[Threaded comment]
Your version of Excel allows you to read this threaded comment; however, any edits to it will get removed if the file is opened in a newer version of Excel. Learn more: https://go.microsoft.com/fwlink/?linkid=870924
Comment:
    Source: Local Expert</t>
      </text>
    </comment>
    <comment ref="O16" authorId="32" shapeId="0" xr:uid="{D928E7F9-CFF3-49DB-B84F-7442C3EA242B}">
      <text>
        <t>[Threaded comment]
Your version of Excel allows you to read this threaded comment; however, any edits to it will get removed if the file is opened in a newer version of Excel. Learn more: https://go.microsoft.com/fwlink/?linkid=870924
Comment:
    Source: Local Expert</t>
      </text>
    </comment>
    <comment ref="C17" authorId="33" shapeId="0" xr:uid="{08BB84C7-E8D1-499D-B11E-17D0223C2A91}">
      <text>
        <t>[Threaded comment]
Your version of Excel allows you to read this threaded comment; however, any edits to it will get removed if the file is opened in a newer version of Excel. Learn more: https://go.microsoft.com/fwlink/?linkid=870924
Comment:
    User Assumption. Assuming the wood-fired barns will require electrical retrofitting</t>
      </text>
    </comment>
    <comment ref="M17" authorId="34" shapeId="0" xr:uid="{CE16351C-986A-4899-AB2B-7183AF0A0A0E}">
      <text>
        <t>[Threaded comment]
Your version of Excel allows you to read this threaded comment; however, any edits to it will get removed if the file is opened in a newer version of Excel. Learn more: https://go.microsoft.com/fwlink/?linkid=870924
Comment:
    Source: See Model Data Sources Tab.</t>
      </text>
    </comment>
    <comment ref="N17" authorId="35" shapeId="0" xr:uid="{FB657840-962F-41B3-B4A4-7A07D997D744}">
      <text>
        <t>[Threaded comment]
Your version of Excel allows you to read this threaded comment; however, any edits to it will get removed if the file is opened in a newer version of Excel. Learn more: https://go.microsoft.com/fwlink/?linkid=870924
Comment:
    Source: See Model Data Sources Tab.</t>
      </text>
    </comment>
    <comment ref="O17" authorId="36" shapeId="0" xr:uid="{FAAA144E-F712-431B-8126-420CB14A29B0}">
      <text>
        <t>[Threaded comment]
Your version of Excel allows you to read this threaded comment; however, any edits to it will get removed if the file is opened in a newer version of Excel. Learn more: https://go.microsoft.com/fwlink/?linkid=870924
Comment:
    Source: See Model Data Sources Tab.</t>
      </text>
    </comment>
    <comment ref="M19" authorId="37" shapeId="0" xr:uid="{75D45998-AF20-4CEC-9861-90DB9204BBFB}">
      <text>
        <t>[Threaded comment]
Your version of Excel allows you to read this threaded comment; however, any edits to it will get removed if the file is opened in a newer version of Excel. Learn more: https://go.microsoft.com/fwlink/?linkid=870924
Comment:
    Based on model assumption</t>
      </text>
    </comment>
    <comment ref="N19" authorId="38" shapeId="0" xr:uid="{AD1643FA-61D4-42E5-B079-84CE301D11A3}">
      <text>
        <t>[Threaded comment]
Your version of Excel allows you to read this threaded comment; however, any edits to it will get removed if the file is opened in a newer version of Excel. Learn more: https://go.microsoft.com/fwlink/?linkid=870924
Comment:
    Based on model assumption</t>
      </text>
    </comment>
    <comment ref="O19" authorId="39" shapeId="0" xr:uid="{33FAB81A-BB6F-4A2D-BC7F-283586C002C6}">
      <text>
        <t>[Threaded comment]
Your version of Excel allows you to read this threaded comment; however, any edits to it will get removed if the file is opened in a newer version of Excel. Learn more: https://go.microsoft.com/fwlink/?linkid=870924
Comment:
    Based on model assumption</t>
      </text>
    </comment>
    <comment ref="G20" authorId="40" shapeId="0" xr:uid="{A76F0954-1636-409E-ABE9-DBABE73FA50A}">
      <text>
        <t>[Threaded comment]
Your version of Excel allows you to read this threaded comment; however, any edits to it will get removed if the file is opened in a newer version of Excel. Learn more: https://go.microsoft.com/fwlink/?linkid=870924
Comment:
    User Assumption</t>
      </text>
    </comment>
    <comment ref="G21" authorId="41" shapeId="0" xr:uid="{80B41612-3200-48CF-B4C2-3CB9AEA34C37}">
      <text>
        <t>[Threaded comment]
Your version of Excel allows you to read this threaded comment; however, any edits to it will get removed if the file is opened in a newer version of Excel. Learn more: https://go.microsoft.com/fwlink/?linkid=870924
Comment:
    User Assumption</t>
      </text>
    </comment>
    <comment ref="G25" authorId="42" shapeId="0" xr:uid="{C2546DED-F0C1-40C1-89EE-45B06C5EB4A1}">
      <text>
        <t>[Threaded comment]
Your version of Excel allows you to read this threaded comment; however, any edits to it will get removed if the file is opened in a newer version of Excel. Learn more: https://go.microsoft.com/fwlink/?linkid=870924
Comment:
    Source: Derived by reverse calculation from the 750 ton/yr cured leaf production level states in Data Sources Tab</t>
      </text>
    </comment>
    <comment ref="G26" authorId="43" shapeId="0" xr:uid="{8DDA79AF-37AA-4A2A-984B-80A54B318557}">
      <text>
        <t>[Threaded comment]
Your version of Excel allows you to read this threaded comment; however, any edits to it will get removed if the file is opened in a newer version of Excel. Learn more: https://go.microsoft.com/fwlink/?linkid=870924
Comment:
    Source: https://link.springer.com/article/10.1007/s10973-018-7312-x</t>
      </text>
    </comment>
    <comment ref="G27" authorId="44" shapeId="0" xr:uid="{D04958FF-E086-4B38-AC8E-C02C46817668}">
      <text>
        <t>[Threaded comment]
Your version of Excel allows you to read this threaded comment; however, any edits to it will get removed if the file is opened in a newer version of Excel. Learn more: https://go.microsoft.com/fwlink/?linkid=870924
Comment:
    Source: https://link.springer.com/article/10.1007/s10973-018-7312-x</t>
      </text>
    </comment>
    <comment ref="G29" authorId="45" shapeId="0" xr:uid="{53A80A19-A8FB-4F5F-B6FF-548E156710A0}">
      <text>
        <t>[Threaded comment]
Your version of Excel allows you to read this threaded comment; however, any edits to it will get removed if the file is opened in a newer version of Excel. Learn more: https://go.microsoft.com/fwlink/?linkid=870924
Comment:
    Source: See Data Sources Tab</t>
      </text>
    </comment>
    <comment ref="G30" authorId="46" shapeId="0" xr:uid="{E60B8437-40B5-479E-A0E1-1BFDA56A77FE}">
      <text>
        <t>[Threaded comment]
Your version of Excel allows you to read this threaded comment; however, any edits to it will get removed if the file is opened in a newer version of Excel. Learn more: https://go.microsoft.com/fwlink/?linkid=870924
Comment:
    User Assumption</t>
      </text>
    </comment>
    <comment ref="C32" authorId="47" shapeId="0" xr:uid="{D82151AA-D40C-42E8-A478-37E758F2B4D6}">
      <text>
        <t>[Threaded comment]
Your version of Excel allows you to read this threaded comment; however, any edits to it will get removed if the file is opened in a newer version of Excel. Learn more: https://go.microsoft.com/fwlink/?linkid=870924
Comment:
    https://www.diva-portal.org/smash/get/diva2:742038/FULLTEXT01.pdf (Page 35)</t>
      </text>
    </comment>
    <comment ref="G32" authorId="48" shapeId="0" xr:uid="{4397667F-3F4C-4F43-926E-2E67DE68D7AE}">
      <text>
        <t>[Threaded comment]
Your version of Excel allows you to read this threaded comment; however, any edits to it will get removed if the file is opened in a newer version of Excel. Learn more: https://go.microsoft.com/fwlink/?linkid=870924
Comment:
    Based on info provided by local expert - Sedekias Almaw</t>
      </text>
    </comment>
    <comment ref="C33" authorId="49" shapeId="0" xr:uid="{4547D3F7-16F2-4FFF-9365-4BBE26E7B3EF}">
      <text>
        <t>[Threaded comment]
Your version of Excel allows you to read this threaded comment; however, any edits to it will get removed if the file is opened in a newer version of Excel. Learn more: https://go.microsoft.com/fwlink/?linkid=870924
Comment:
    https://www.diva-portal.org/smash/get/diva2:742038/FULLTEXT01.pdf (Page 35)</t>
      </text>
    </comment>
    <comment ref="G33" authorId="50" shapeId="0" xr:uid="{258AA569-9743-40A6-BF95-5864871CBB21}">
      <text>
        <t>[Threaded comment]
Your version of Excel allows you to read this threaded comment; however, any edits to it will get removed if the file is opened in a newer version of Excel. Learn more: https://go.microsoft.com/fwlink/?linkid=870924
Comment:
    Based on info provided by local expert - Sedekias Almaw</t>
      </text>
    </comment>
    <comment ref="C34" authorId="51" shapeId="0" xr:uid="{B70E3F67-BEEA-4894-9D1D-AE945BD3B2B0}">
      <text>
        <t>[Threaded comment]
Your version of Excel allows you to read this threaded comment; however, any edits to it will get removed if the file is opened in a newer version of Excel. Learn more: https://go.microsoft.com/fwlink/?linkid=870924
Comment:
    https://www.diva-portal.org/smash/get/diva2:742038/FULLTEXT01.pdf (Page 35)</t>
      </text>
    </comment>
    <comment ref="C35" authorId="52" shapeId="0" xr:uid="{9B05A2C3-8F83-4E4D-BBEC-B2600450C82D}">
      <text>
        <t>[Threaded comment]
Your version of Excel allows you to read this threaded comment; however, any edits to it will get removed if the file is opened in a newer version of Excel. Learn more: https://go.microsoft.com/fwlink/?linkid=870924
Comment:
    https://www.diva-portal.org/smash/get/diva2:742038/FULLTEXT01.pdf (Page 38)</t>
      </text>
    </comment>
    <comment ref="G35" authorId="53" shapeId="0" xr:uid="{C6E9B15B-AF52-44B6-8830-A697D0202154}">
      <text>
        <t>[Threaded comment]
Your version of Excel allows you to read this threaded comment; however, any edits to it will get removed if the file is opened in a newer version of Excel. Learn more: https://go.microsoft.com/fwlink/?linkid=870924
Comment:
    Based on info provided by local expert - Sedekias Almaw. Assuming the electrical barns with 1,200kg cured leaf capacity are converted to geothermal</t>
      </text>
    </comment>
    <comment ref="C36" authorId="54" shapeId="0" xr:uid="{7F38C562-3CB6-4709-A7B1-B482286966A3}">
      <text>
        <t>[Threaded comment]
Your version of Excel allows you to read this threaded comment; however, any edits to it will get removed if the file is opened in a newer version of Excel. Learn more: https://go.microsoft.com/fwlink/?linkid=870924
Comment:
    https://www.diva-portal.org/smash/get/diva2:742038/FULLTEXT01.pdf (Page 38)</t>
      </text>
    </comment>
    <comment ref="G36" authorId="55" shapeId="0" xr:uid="{DBEDCB7A-2201-4E94-BED0-F8060C71FDFC}">
      <text>
        <t>[Threaded comment]
Your version of Excel allows you to read this threaded comment; however, any edits to it will get removed if the file is opened in a newer version of Excel. Learn more: https://go.microsoft.com/fwlink/?linkid=870924
Comment:
    User Assumption</t>
      </text>
    </comment>
    <comment ref="C37" authorId="56" shapeId="0" xr:uid="{F450137D-8B83-4518-B4CA-43C091F02026}">
      <text>
        <t>[Threaded comment]
Your version of Excel allows you to read this threaded comment; however, any edits to it will get removed if the file is opened in a newer version of Excel. Learn more: https://go.microsoft.com/fwlink/?linkid=870924
Comment:
    https://www.diva-portal.org/smash/get/diva2:742038/FULLTEXT01.pdf (Page 35)</t>
      </text>
    </comment>
    <comment ref="G37" authorId="57" shapeId="0" xr:uid="{4D5FBBBB-923F-4EE0-9D66-3C83E81CD34E}">
      <text>
        <t>[Threaded comment]
Your version of Excel allows you to read this threaded comment; however, any edits to it will get removed if the file is opened in a newer version of Excel. Learn more: https://go.microsoft.com/fwlink/?linkid=870924
Comment:
    Based on info provided by local expert - Sedekias Almaw</t>
      </text>
    </comment>
    <comment ref="C38" authorId="58" shapeId="0" xr:uid="{CB6A3700-986A-41E4-8983-A3578CEF632A}">
      <text>
        <t>[Threaded comment]
Your version of Excel allows you to read this threaded comment; however, any edits to it will get removed if the file is opened in a newer version of Excel. Learn more: https://go.microsoft.com/fwlink/?linkid=870924
Comment:
    https://www.diva-portal.org/smash/get/diva2:742038/FULLTEXT01.pdf (Page 35,38)</t>
      </text>
    </comment>
    <comment ref="G38" authorId="59" shapeId="0" xr:uid="{5FA55746-2881-48FD-82DC-D64C4562415B}">
      <text>
        <t>[Threaded comment]
Your version of Excel allows you to read this threaded comment; however, any edits to it will get removed if the file is opened in a newer version of Excel. Learn more: https://go.microsoft.com/fwlink/?linkid=870924
Comment:
    Based on info provided by local expert - Sedekias Almaw</t>
      </text>
    </comment>
    <comment ref="G40" authorId="60" shapeId="0" xr:uid="{3E31C79D-0356-4468-BE78-4A24136A21C0}">
      <text>
        <t>[Threaded comment]
Your version of Excel allows you to read this threaded comment; however, any edits to it will get removed if the file is opened in a newer version of Excel. Learn more: https://go.microsoft.com/fwlink/?linkid=870924
Comment:
    User Assumption</t>
      </text>
    </comment>
    <comment ref="C42" authorId="61" shapeId="0" xr:uid="{F3B3C721-671B-4504-81AD-31C4B13C081A}">
      <text>
        <t>[Threaded comment]
Your version of Excel allows you to read this threaded comment; however, any edits to it will get removed if the file is opened in a newer version of Excel. Learn more: https://go.microsoft.com/fwlink/?linkid=870924
Comment:
    http://www.nzdl.org/cgi-bin/library?e=d-00000-00---off-0hdl--00-0----0-10-0---0---0direct-10---4-------0-1l--11-en-50---20-about---00-0-1-00-0--4----0-0-11-10-0utfZz-8-00&amp;cl=CL1.12&amp;d=HASHfb83ff5b6397f7dd31ae0d.5.6.1&amp;gt=1#:~:text=Optimum%20growing%20temperatures%20are%20between,temperatures%20up%20to%2035%20C.</t>
      </text>
    </comment>
    <comment ref="C43" authorId="62" shapeId="0" xr:uid="{CA5DA3CA-9FDE-4A7A-894A-B7BB18319B26}">
      <text>
        <t>[Threaded comment]
Your version of Excel allows you to read this threaded comment; however, any edits to it will get removed if the file is opened in a newer version of Excel. Learn more: https://go.microsoft.com/fwlink/?linkid=870924
Comment:
    Source: https://link.springer.com/article/10.1007/s10973-018-7312-x</t>
      </text>
    </comment>
    <comment ref="C45" authorId="63" shapeId="0" xr:uid="{69D431CC-A49E-4825-A7BB-F940FAFB8617}">
      <text>
        <t>[Threaded comment]
Your version of Excel allows you to read this threaded comment; however, any edits to it will get removed if the file is opened in a newer version of Excel. Learn more: https://go.microsoft.com/fwlink/?linkid=870924
Comment:
    Source: https://www.diva-portal.org/smash/get/diva2:742038/FULLTEXT01.pdf (Page 36)</t>
      </text>
    </comment>
    <comment ref="C46" authorId="64" shapeId="0" xr:uid="{82EE6C6F-6BE4-4B72-9C38-352869FCE878}">
      <text>
        <t>[Threaded comment]
Your version of Excel allows you to read this threaded comment; however, any edits to it will get removed if the file is opened in a newer version of Excel. Learn more: https://go.microsoft.com/fwlink/?linkid=870924
Comment:
    https://www.diva-portal.org/smash/get/diva2:742038/FULLTEXT01.pdf (Page 37)</t>
      </text>
    </comment>
    <comment ref="C47" authorId="65" shapeId="0" xr:uid="{AB81938C-83B3-48A9-8165-AF5F7485391A}">
      <text>
        <t>[Threaded comment]
Your version of Excel allows you to read this threaded comment; however, any edits to it will get removed if the file is opened in a newer version of Excel. Learn more: https://go.microsoft.com/fwlink/?linkid=870924
Comment:
    https://www.diva-portal.org/smash/get/diva2:742038/FULLTEXT01.pdf (Page 37) (Different from source doc because it is assumed that the station will not run for 24hrs per day, all year)</t>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tc={5724C3D3-809A-4CFB-9D2D-4B67F60A1C9B}</author>
    <author/>
    <author>tc={EF21F77A-1C02-46AD-8982-77E99130137C}</author>
    <author>tc={4971D23E-9A6D-40E0-A104-535380AD67CC}</author>
    <author>tc={4A4FA737-4BA8-4999-9738-146B7C4BB97D}</author>
    <author>tc={4269B0BD-5A00-40F2-83C1-8C885218648D}</author>
    <author>Koye</author>
    <author>tc={5DB8B417-6176-4FE9-9DFA-1ACC3D4F723C}</author>
    <author>tc={8022AE75-0219-4A58-A592-431764E3F3E3}</author>
    <author>tc={B2F530F1-9A4E-4BE3-8B0E-2D5CD3FA1DAF}</author>
    <author>tc={77B4210C-EE9C-40A5-98BB-B2C30C0DA222}</author>
    <author>tc={260C3AE9-0766-41C6-9A0F-4692883961D1}</author>
    <author>tc={9C5241DA-5236-451E-A558-FD5C5D657FC0}</author>
    <author>tc={5DB9EA04-6DCD-4789-BAB4-F797E5AC78F8}</author>
    <author>tc={D5FD5046-6E7B-451E-BD43-D95C5F96BBA4}</author>
    <author>tc={7FA6DAD5-1B4C-4BC6-A625-7D17B02D5757}</author>
    <author>tc={3074C227-DAFB-46C1-BA47-3A1541950982}</author>
    <author>tc={B5ACE219-1B77-4300-8B40-B811F53AA34B}</author>
    <author>tc={9823AFB1-9A5B-45AC-92E9-C626A8F2CAEA}</author>
    <author>tc={8FB01657-374E-4944-9A92-81A21A62DE73}</author>
    <author>tc={EAE7C658-1C80-4CA8-A9A6-871029A5310A}</author>
    <author>tc={64D44619-645D-4534-8229-C518D84AA7D9}</author>
    <author>tc={48131816-DD8E-48C6-A9BC-59587E9CA345}</author>
    <author>tc={05F7643B-6DF8-47F4-8E65-87518CC24DAE}</author>
    <author>tc={89255EAD-AD71-4314-A2E3-DFB930DF471B}</author>
    <author>tc={FC23C4B8-1BDE-4AD0-B975-B3AD64784A66}</author>
    <author>tc={DB2B0C0D-702A-40BD-8059-E2A785BD451F}</author>
    <author>tc={AE97EBBE-A349-4F88-ACF5-6729358AA0E6}</author>
    <author>tc={8004F352-B3DB-46FD-BD91-23241B655065}</author>
    <author>tc={5536A938-E447-462E-B6C4-2FF94E7058AC}</author>
    <author>tc={A5116930-6F79-4E40-93C1-613FFBE8F700}</author>
    <author>tc={A9203E83-DA6E-402C-8E90-895886FC2FD0}</author>
    <author>tc={4F129259-0238-4C9B-AA99-81EDA9C87EB9}</author>
    <author>tc={FE187735-1C7F-419D-921C-9E630154E96C}</author>
    <author>tc={297DFE2F-7B21-43F7-850E-31D6DB54DA53}</author>
    <author>tc={ACE2F964-D2D7-4922-9E27-2149EAA38ADF}</author>
  </authors>
  <commentList>
    <comment ref="M4" authorId="0" shapeId="0" xr:uid="{5724C3D3-809A-4CFB-9D2D-4B67F60A1C9B}">
      <text>
        <t>[Threaded comment]
Your version of Excel allows you to read this threaded comment; however, any edits to it will get removed if the file is opened in a newer version of Excel. Learn more: https://go.microsoft.com/fwlink/?linkid=870924
Comment:
    Source: https://www.alibaba.com/showroom/industrial-boiler-price.html</t>
      </text>
    </comment>
    <comment ref="N4" authorId="1" shapeId="0" xr:uid="{D5CABEAD-053B-4246-BE9B-3761119B3B43}">
      <text>
        <r>
          <rPr>
            <sz val="10"/>
            <color rgb="FF000000"/>
            <rFont val="Arial"/>
            <family val="2"/>
          </rPr>
          <t>Stafford Via: 4/11/21
https://www.climatelinks.org/sites/default/files/asset/document/2018_USAID_E4AS-Technical-Brief-3-Using-Solar-Thermal-to-Lower-Energy-Costs-for-Small-Scale-Dairy-Processors_final.pdf
10,000 liters per day = plant costs of US$300,000 - $350,000. 
Plant size is 120,000 liters per day. 120,000 liters per day/10,000 liters per day = 12
$325,000 x 12 = $3,900,000 capital costs
	-Ezinne Okafor</t>
        </r>
      </text>
    </comment>
    <comment ref="O4" authorId="2" shapeId="0" xr:uid="{EF21F77A-1C02-46AD-8982-77E99130137C}">
      <text>
        <t>[Threaded comment]
Your version of Excel allows you to read this threaded comment; however, any edits to it will get removed if the file is opened in a newer version of Excel. Learn more: https://go.microsoft.com/fwlink/?linkid=870924
Comment:
    Based on model assumption</t>
      </text>
    </comment>
    <comment ref="M5" authorId="3" shapeId="0" xr:uid="{4971D23E-9A6D-40E0-A104-535380AD67CC}">
      <text>
        <t>[Threaded comment]
Your version of Excel allows you to read this threaded comment; however, any edits to it will get removed if the file is opened in a newer version of Excel. Learn more: https://go.microsoft.com/fwlink/?linkid=870924
Comment:
    Source: https://escholarship.org/content/qt76b25769/qt76b25769_noSplash_ba25f2daf2d92c0e6521ee2432d2873a.pdf?t=krn80d (Page 100)</t>
      </text>
    </comment>
    <comment ref="N5" authorId="4" shapeId="0" xr:uid="{4A4FA737-4BA8-4999-9738-146B7C4BB97D}">
      <text>
        <t>[Threaded comment]
Your version of Excel allows you to read this threaded comment; however, any edits to it will get removed if the file is opened in a newer version of Excel. Learn more: https://go.microsoft.com/fwlink/?linkid=870924
Comment:
    Source: https://www.nrel.gov/docs/fy16osti/66215.pdf</t>
      </text>
    </comment>
    <comment ref="O5" authorId="5" shapeId="0" xr:uid="{4269B0BD-5A00-40F2-83C1-8C885218648D}">
      <text>
        <t>[Threaded comment]
Your version of Excel allows you to read this threaded comment; however, any edits to it will get removed if the file is opened in a newer version of Excel. Learn more: https://go.microsoft.com/fwlink/?linkid=870924
Comment:
    Based on model assumption</t>
      </text>
    </comment>
    <comment ref="G6" authorId="6" shapeId="0" xr:uid="{C92EFA13-97F5-4CDA-8048-AEFCA5791EEC}">
      <text>
        <r>
          <rPr>
            <b/>
            <sz val="9"/>
            <color indexed="81"/>
            <rFont val="Tahoma"/>
            <family val="2"/>
          </rPr>
          <t>Commercial Operation Date</t>
        </r>
      </text>
    </comment>
    <comment ref="J7" authorId="7" shapeId="0" xr:uid="{5DB8B417-6176-4FE9-9DFA-1ACC3D4F723C}">
      <text>
        <t>[Threaded comment]
Your version of Excel allows you to read this threaded comment; however, any edits to it will get removed if the file is opened in a newer version of Excel. Learn more: https://go.microsoft.com/fwlink/?linkid=870924
Comment:
    Source: See Data Sources Tab</t>
      </text>
    </comment>
    <comment ref="M7" authorId="8" shapeId="0" xr:uid="{8022AE75-0219-4A58-A592-431764E3F3E3}">
      <text>
        <t>[Threaded comment]
Your version of Excel allows you to read this threaded comment; however, any edits to it will get removed if the file is opened in a newer version of Excel. Learn more: https://go.microsoft.com/fwlink/?linkid=870924
Comment:
    Based on Model Calculation</t>
      </text>
    </comment>
    <comment ref="N7" authorId="9" shapeId="0" xr:uid="{B2F530F1-9A4E-4BE3-8B0E-2D5CD3FA1DAF}">
      <text>
        <t>[Threaded comment]
Your version of Excel allows you to read this threaded comment; however, any edits to it will get removed if the file is opened in a newer version of Excel. Learn more: https://go.microsoft.com/fwlink/?linkid=870924
Comment:
    Based on Model Calculation</t>
      </text>
    </comment>
    <comment ref="O7" authorId="10" shapeId="0" xr:uid="{77B4210C-EE9C-40A5-98BB-B2C30C0DA222}">
      <text>
        <t>[Threaded comment]
Your version of Excel allows you to read this threaded comment; however, any edits to it will get removed if the file is opened in a newer version of Excel. Learn more: https://go.microsoft.com/fwlink/?linkid=870924
Comment:
    Based on Model Calculation</t>
      </text>
    </comment>
    <comment ref="M8" authorId="11" shapeId="0" xr:uid="{260C3AE9-0766-41C6-9A0F-4692883961D1}">
      <text>
        <t>[Threaded comment]
Your version of Excel allows you to read this threaded comment; however, any edits to it will get removed if the file is opened in a newer version of Excel. Learn more: https://go.microsoft.com/fwlink/?linkid=870924
Comment:
    Source: http://theargeo.org/fullpapers/C7/ECONOMICS%20OF%20GEOTHERMAL%20ENERGY%20IN%20DAIRY%20PROCESSING%20INDUSTRY%20IN%20KENYA-converted.pdf (Page 2)</t>
      </text>
    </comment>
    <comment ref="M9" authorId="12" shapeId="0" xr:uid="{9C5241DA-5236-451E-A558-FD5C5D657FC0}">
      <text>
        <t>[Threaded comment]
Your version of Excel allows you to read this threaded comment; however, any edits to it will get removed if the file is opened in a newer version of Excel. Learn more: https://go.microsoft.com/fwlink/?linkid=870924
Comment:
    Source: http://theargeo.org/fullpapers/C7/ECONOMICS%20OF%20GEOTHERMAL%20ENERGY%20IN%20DAIRY%20PROCESSING%20INDUSTRY%20IN%20KENYA-converted.pdf (Page 2)</t>
      </text>
    </comment>
    <comment ref="J10" authorId="13" shapeId="0" xr:uid="{5DB9EA04-6DCD-4789-BAB4-F797E5AC78F8}">
      <text>
        <t>[Threaded comment]
Your version of Excel allows you to read this threaded comment; however, any edits to it will get removed if the file is opened in a newer version of Excel. Learn more: https://go.microsoft.com/fwlink/?linkid=870924
Comment:
    Source: "A Guide for the Development of Geothermal Direct – Use Projects in Tanzania" Pg 13</t>
      </text>
    </comment>
    <comment ref="M11" authorId="14" shapeId="0" xr:uid="{D5FD5046-6E7B-451E-BD43-D95C5F96BBA4}">
      <text>
        <t>[Threaded comment]
Your version of Excel allows you to read this threaded comment; however, any edits to it will get removed if the file is opened in a newer version of Excel. Learn more: https://go.microsoft.com/fwlink/?linkid=870924
Comment:
    Source: See Fuel Data Tab</t>
      </text>
    </comment>
    <comment ref="J12" authorId="15" shapeId="0" xr:uid="{7FA6DAD5-1B4C-4BC6-A625-7D17B02D5757}">
      <text>
        <t>[Threaded comment]
Your version of Excel allows you to read this threaded comment; however, any edits to it will get removed if the file is opened in a newer version of Excel. Learn more: https://go.microsoft.com/fwlink/?linkid=870924
Comment:
    User Assumption</t>
      </text>
    </comment>
    <comment ref="C13" authorId="16" shapeId="0" xr:uid="{3074C227-DAFB-46C1-BA47-3A1541950982}">
      <text>
        <t>[Threaded comment]
Your version of Excel allows you to read this threaded comment; however, any edits to it will get removed if the file is opened in a newer version of Excel. Learn more: https://go.microsoft.com/fwlink/?linkid=870924
Comment:
    Source: https://www.diva-portal.org/smash/get/diva2:742038/FULLTEXT01.pdf (Page 42) (Assuming one unit is needed per dryer)</t>
      </text>
    </comment>
    <comment ref="M13" authorId="17" shapeId="0" xr:uid="{B5ACE219-1B77-4300-8B40-B811F53AA34B}">
      <text>
        <t>[Threaded comment]
Your version of Excel allows you to read this threaded comment; however, any edits to it will get removed if the file is opened in a newer version of Excel. Learn more: https://go.microsoft.com/fwlink/?linkid=870924
Comment:
    Based on model assumption</t>
      </text>
    </comment>
    <comment ref="N13" authorId="18" shapeId="0" xr:uid="{9823AFB1-9A5B-45AC-92E9-C626A8F2CAEA}">
      <text>
        <t>[Threaded comment]
Your version of Excel allows you to read this threaded comment; however, any edits to it will get removed if the file is opened in a newer version of Excel. Learn more: https://go.microsoft.com/fwlink/?linkid=870924
Comment:
    Based on model assumption</t>
      </text>
    </comment>
    <comment ref="O13" authorId="19" shapeId="0" xr:uid="{8FB01657-374E-4944-9A92-81A21A62DE73}">
      <text>
        <t>[Threaded comment]
Your version of Excel allows you to read this threaded comment; however, any edits to it will get removed if the file is opened in a newer version of Excel. Learn more: https://go.microsoft.com/fwlink/?linkid=870924
Comment:
    Based on model assumption</t>
      </text>
    </comment>
    <comment ref="C14" authorId="20" shapeId="0" xr:uid="{EAE7C658-1C80-4CA8-A9A6-871029A5310A}">
      <text>
        <t>[Threaded comment]
Your version of Excel allows you to read this threaded comment; however, any edits to it will get removed if the file is opened in a newer version of Excel. Learn more: https://go.microsoft.com/fwlink/?linkid=870924
Comment:
    Source: https://www.diva-portal.org/smash/get/diva2:742038/FULLTEXT01.pdf (Page 42)</t>
      </text>
    </comment>
    <comment ref="F14" authorId="21" shapeId="0" xr:uid="{64D44619-645D-4534-8229-C518D84AA7D9}">
      <text>
        <t>[Threaded comment]
Your version of Excel allows you to read this threaded comment; however, any edits to it will get removed if the file is opened in a newer version of Excel. Learn more: https://go.microsoft.com/fwlink/?linkid=870924
Comment:
    User Assumption</t>
      </text>
    </comment>
    <comment ref="C15" authorId="22" shapeId="0" xr:uid="{48131816-DD8E-48C6-A9BC-59587E9CA345}">
      <text>
        <t>[Threaded comment]
Your version of Excel allows you to read this threaded comment; however, any edits to it will get removed if the file is opened in a newer version of Excel. Learn more: https://go.microsoft.com/fwlink/?linkid=870924
Comment:
    Source: https://www.diva-portal.org/smash/get/diva2:742038/FULLTEXT01.pdf (Page 42)</t>
      </text>
    </comment>
    <comment ref="F15" authorId="23" shapeId="0" xr:uid="{05F7643B-6DF8-47F4-8E65-87518CC24DAE}">
      <text>
        <t>[Threaded comment]
Your version of Excel allows you to read this threaded comment; however, any edits to it will get removed if the file is opened in a newer version of Excel. Learn more: https://go.microsoft.com/fwlink/?linkid=870924
Comment:
    User Assumption</t>
      </text>
    </comment>
    <comment ref="C16" authorId="24" shapeId="0" xr:uid="{89255EAD-AD71-4314-A2E3-DFB930DF471B}">
      <text>
        <t>[Threaded comment]
Your version of Excel allows you to read this threaded comment; however, any edits to it will get removed if the file is opened in a newer version of Excel. Learn more: https://go.microsoft.com/fwlink/?linkid=870924
Comment:
    Source: https://www.diva-portal.org/smash/get/diva2:742038/FULLTEXT01.pdf (Page 42)</t>
      </text>
    </comment>
    <comment ref="F16" authorId="25" shapeId="0" xr:uid="{FC23C4B8-1BDE-4AD0-B975-B3AD64784A66}">
      <text>
        <t>[Threaded comment]
Your version of Excel allows you to read this threaded comment; however, any edits to it will get removed if the file is opened in a newer version of Excel. Learn more: https://go.microsoft.com/fwlink/?linkid=870924
Comment:
    User Assumption</t>
      </text>
    </comment>
    <comment ref="G20" authorId="26" shapeId="0" xr:uid="{DB2B0C0D-702A-40BD-8059-E2A785BD451F}">
      <text>
        <t>[Threaded comment]
Your version of Excel allows you to read this threaded comment; however, any edits to it will get removed if the file is opened in a newer version of Excel. Learn more: https://go.microsoft.com/fwlink/?linkid=870924
Comment:
    User Assumption</t>
      </text>
    </comment>
    <comment ref="G21" authorId="27" shapeId="0" xr:uid="{AE97EBBE-A349-4F88-ACF5-6729358AA0E6}">
      <text>
        <t>[Threaded comment]
Your version of Excel allows you to read this threaded comment; however, any edits to it will get removed if the file is opened in a newer version of Excel. Learn more: https://go.microsoft.com/fwlink/?linkid=870924
Comment:
    User Assumption</t>
      </text>
    </comment>
    <comment ref="G25" authorId="28" shapeId="0" xr:uid="{8004F352-B3DB-46FD-BD91-23241B655065}">
      <text>
        <t>[Threaded comment]
Your version of Excel allows you to read this threaded comment; however, any edits to it will get removed if the file is opened in a newer version of Excel. Learn more: https://go.microsoft.com/fwlink/?linkid=870924
Comment:
    Source: http://theargeo.org/fullpapers/C7/ECONOMICS%20OF%20GEOTHERMAL%20ENERGY%20IN%20DAIRY%20PROCESSING%20INDUSTRY%20IN%20KENYA-converted.pdf (Page 2)</t>
      </text>
    </comment>
    <comment ref="G26" authorId="29" shapeId="0" xr:uid="{5536A938-E447-462E-B6C4-2FF94E7058AC}">
      <text>
        <t>[Threaded comment]
Your version of Excel allows you to read this threaded comment; however, any edits to it will get removed if the file is opened in a newer version of Excel. Learn more: https://go.microsoft.com/fwlink/?linkid=870924
Comment:
    http://theargeo.org/fullpapers/C7/ECONOMICS%20OF%20GEOTHERMAL%20ENERGY%20IN%20DAIRY%20PROCESSING%20INDUSTRY%20IN%20KENYA-converted.pdf
(Page 2)</t>
      </text>
    </comment>
    <comment ref="G27" authorId="30" shapeId="0" xr:uid="{A5116930-6F79-4E40-93C1-613FFBE8F700}">
      <text>
        <t>[Threaded comment]
Your version of Excel allows you to read this threaded comment; however, any edits to it will get removed if the file is opened in a newer version of Excel. Learn more: https://go.microsoft.com/fwlink/?linkid=870924
Comment:
    http://theargeo.org/fullpapers/C7/ECONOMICS%20OF%20GEOTHERMAL%20ENERGY%20IN%20DAIRY%20PROCESSING%20INDUSTRY%20IN%20KENYA-converted.pdf
(Page 2)</t>
      </text>
    </comment>
    <comment ref="G28" authorId="31" shapeId="0" xr:uid="{A9203E83-DA6E-402C-8E90-895886FC2FD0}">
      <text>
        <t>[Threaded comment]
Your version of Excel allows you to read this threaded comment; however, any edits to it will get removed if the file is opened in a newer version of Excel. Learn more: https://go.microsoft.com/fwlink/?linkid=870924
Comment:
    Source: http://theargeo.org/fullpapers/C7/ECONOMICS%20OF%20GEOTHERMAL%20ENERGY%20IN%20DAIRY%20PROCESSING%20INDUSTRY%20IN%20KENYA-converted.pdf (Page 2)</t>
      </text>
    </comment>
    <comment ref="G29" authorId="32" shapeId="0" xr:uid="{4F129259-0238-4C9B-AA99-81EDA9C87EB9}">
      <text>
        <t>[Threaded comment]
Your version of Excel allows you to read this threaded comment; however, any edits to it will get removed if the file is opened in a newer version of Excel. Learn more: https://go.microsoft.com/fwlink/?linkid=870924
Comment:
    http://theargeo.org/fullpapers/C7/ECONOMICS%20OF%20GEOTHERMAL%20ENERGY%20IN%20DAIRY%20PROCESSING%20INDUSTRY%20IN%20KENYA-converted.pdf
(Page 2)</t>
      </text>
    </comment>
    <comment ref="G32" authorId="33" shapeId="0" xr:uid="{FE187735-1C7F-419D-921C-9E630154E96C}">
      <text>
        <t>[Threaded comment]
Your version of Excel allows you to read this threaded comment; however, any edits to it will get removed if the file is opened in a newer version of Excel. Learn more: https://go.microsoft.com/fwlink/?linkid=870924
Comment:
    Assuming each has a capacity of 1,000,000 BTU</t>
      </text>
    </comment>
    <comment ref="G33" authorId="34" shapeId="0" xr:uid="{297DFE2F-7B21-43F7-850E-31D6DB54DA53}">
      <text>
        <t>[Threaded comment]
Your version of Excel allows you to read this threaded comment; however, any edits to it will get removed if the file is opened in a newer version of Excel. Learn more: https://go.microsoft.com/fwlink/?linkid=870924
Comment:
    User Assumption</t>
      </text>
    </comment>
    <comment ref="G34" authorId="35" shapeId="0" xr:uid="{ACE2F964-D2D7-4922-9E27-2149EAA38ADF}">
      <text>
        <t>[Threaded comment]
Your version of Excel allows you to read this threaded comment; however, any edits to it will get removed if the file is opened in a newer version of Excel. Learn more: https://go.microsoft.com/fwlink/?linkid=870924
Comment:
    User Assumption</t>
      </text>
    </comment>
  </commentList>
</comments>
</file>

<file path=xl/sharedStrings.xml><?xml version="1.0" encoding="utf-8"?>
<sst xmlns="http://schemas.openxmlformats.org/spreadsheetml/2006/main" count="3760" uniqueCount="902">
  <si>
    <t>KEY</t>
  </si>
  <si>
    <t>Calculation</t>
  </si>
  <si>
    <t>Active Input</t>
  </si>
  <si>
    <t>Inactive Input</t>
  </si>
  <si>
    <t>Other 1</t>
  </si>
  <si>
    <t>Other 2</t>
  </si>
  <si>
    <t>Other 3</t>
  </si>
  <si>
    <t>Other 4</t>
  </si>
  <si>
    <t>Other 5</t>
  </si>
  <si>
    <t>Other 6</t>
  </si>
  <si>
    <t>Other 7</t>
  </si>
  <si>
    <t>Other 8</t>
  </si>
  <si>
    <t>Capital Expenses</t>
  </si>
  <si>
    <t>CAPEX</t>
  </si>
  <si>
    <t>Cost (USD)</t>
  </si>
  <si>
    <t>Total CAPEX ($ USD)</t>
  </si>
  <si>
    <t>OPERATING EXPENSES</t>
  </si>
  <si>
    <t>Units</t>
  </si>
  <si>
    <t>% of CAPEX</t>
  </si>
  <si>
    <t>Project COD</t>
  </si>
  <si>
    <t>PROJECT DETAILS</t>
  </si>
  <si>
    <t>User Name</t>
  </si>
  <si>
    <t>Koye Alaba</t>
  </si>
  <si>
    <t>Project Name</t>
  </si>
  <si>
    <t>Location, Country</t>
  </si>
  <si>
    <t>Electricity Costs</t>
  </si>
  <si>
    <t>Other 9</t>
  </si>
  <si>
    <t>Currency Conversion</t>
  </si>
  <si>
    <t>Country</t>
  </si>
  <si>
    <t>Currency</t>
  </si>
  <si>
    <t>Code</t>
  </si>
  <si>
    <t>Djibouti</t>
  </si>
  <si>
    <t>Dj franc</t>
  </si>
  <si>
    <t>DJF</t>
  </si>
  <si>
    <t>USD</t>
  </si>
  <si>
    <t>Ethiopia</t>
  </si>
  <si>
    <t>Birr</t>
  </si>
  <si>
    <t>ETB</t>
  </si>
  <si>
    <t>IRR</t>
  </si>
  <si>
    <t>Kenya</t>
  </si>
  <si>
    <t>K Shilling</t>
  </si>
  <si>
    <t>KES</t>
  </si>
  <si>
    <t>Rwanda</t>
  </si>
  <si>
    <t>R franc</t>
  </si>
  <si>
    <t>RWF</t>
  </si>
  <si>
    <t>Tanzania</t>
  </si>
  <si>
    <t>T Shilling</t>
  </si>
  <si>
    <t>TZS</t>
  </si>
  <si>
    <t>Uganda</t>
  </si>
  <si>
    <t>U Shilling</t>
  </si>
  <si>
    <t xml:space="preserve"> UGX</t>
  </si>
  <si>
    <t>Year</t>
  </si>
  <si>
    <t>Cal Year</t>
  </si>
  <si>
    <t>Const Period</t>
  </si>
  <si>
    <t>Const Start</t>
  </si>
  <si>
    <t>Const End</t>
  </si>
  <si>
    <t>Production Period Start</t>
  </si>
  <si>
    <t>Production Period End</t>
  </si>
  <si>
    <t>Debt term</t>
  </si>
  <si>
    <t>Debt Period Remain</t>
  </si>
  <si>
    <t>All-in rate % p.a</t>
  </si>
  <si>
    <t>Annuity</t>
  </si>
  <si>
    <t>Less: interest</t>
  </si>
  <si>
    <t>Principal repayment</t>
  </si>
  <si>
    <t>Balance b/f</t>
  </si>
  <si>
    <t>Balance c/f</t>
  </si>
  <si>
    <t>Total Debt Service</t>
  </si>
  <si>
    <t>REVENUE</t>
  </si>
  <si>
    <t>Term (Years)</t>
  </si>
  <si>
    <t>N</t>
  </si>
  <si>
    <t>DEPRECIATION</t>
  </si>
  <si>
    <t>Average Dep Life (Yrs)</t>
  </si>
  <si>
    <t>Depreciable Cost</t>
  </si>
  <si>
    <t>Salvage Value</t>
  </si>
  <si>
    <t>$</t>
  </si>
  <si>
    <t>Packaging</t>
  </si>
  <si>
    <t>Insurances</t>
  </si>
  <si>
    <t>Equipment O&amp;M</t>
  </si>
  <si>
    <t>Equipment Leases</t>
  </si>
  <si>
    <t>Payroll</t>
  </si>
  <si>
    <t>Y/N</t>
  </si>
  <si>
    <t>Y</t>
  </si>
  <si>
    <t>CEO</t>
  </si>
  <si>
    <t>Heat Exchanger</t>
  </si>
  <si>
    <t>Pumps</t>
  </si>
  <si>
    <t>Well Drilling</t>
  </si>
  <si>
    <t>Fans</t>
  </si>
  <si>
    <t>Pipes</t>
  </si>
  <si>
    <t>Constr. Of Drying Station</t>
  </si>
  <si>
    <t>Drying Cabinet</t>
  </si>
  <si>
    <t>After Tax Unlevered Return</t>
  </si>
  <si>
    <t>Pre Tax Unlevered Return</t>
  </si>
  <si>
    <t>After Tax Levered Equity Return</t>
  </si>
  <si>
    <t>Pre Tax Levered Equity Return</t>
  </si>
  <si>
    <t>Last Sys Per</t>
  </si>
  <si>
    <t>Avg PPA Esc</t>
  </si>
  <si>
    <t>Avg EBITDA %</t>
  </si>
  <si>
    <t>Avg Net Inc %</t>
  </si>
  <si>
    <t>XIRR</t>
  </si>
  <si>
    <t>XNPV</t>
  </si>
  <si>
    <t>Payback</t>
  </si>
  <si>
    <t>Last CF Per</t>
  </si>
  <si>
    <t>Production</t>
  </si>
  <si>
    <t>Revenue</t>
  </si>
  <si>
    <t>Expenses</t>
  </si>
  <si>
    <t>EBITDA</t>
  </si>
  <si>
    <t>Deprec</t>
  </si>
  <si>
    <t>EBIT</t>
  </si>
  <si>
    <t>Debt Service</t>
  </si>
  <si>
    <t>EBT</t>
  </si>
  <si>
    <t>Taxes</t>
  </si>
  <si>
    <t>Net Income</t>
  </si>
  <si>
    <t>Operating Cash flows</t>
  </si>
  <si>
    <t>Funding</t>
  </si>
  <si>
    <t>Int Income</t>
  </si>
  <si>
    <t>Unlevered Cash Flow</t>
  </si>
  <si>
    <t>CFADS</t>
  </si>
  <si>
    <t xml:space="preserve"> Senior Sched debt service</t>
  </si>
  <si>
    <t>Equity Cash Flow</t>
  </si>
  <si>
    <t>System
Term</t>
  </si>
  <si>
    <t>Interest Earned on Reserve Accounts</t>
  </si>
  <si>
    <t>Total
Revenue</t>
  </si>
  <si>
    <t>Total
Expenses</t>
  </si>
  <si>
    <t>EBITDA Margin</t>
  </si>
  <si>
    <t>Deprec
Applied</t>
  </si>
  <si>
    <t>Debt Service
Interest</t>
  </si>
  <si>
    <t>(EBT) Taxable
Income</t>
  </si>
  <si>
    <t>Net income margin</t>
  </si>
  <si>
    <t>Total Revenue</t>
  </si>
  <si>
    <t>Operating expenditure</t>
  </si>
  <si>
    <t>Operating Cash Flow</t>
  </si>
  <si>
    <t>Total</t>
  </si>
  <si>
    <t>Cash flow before funding</t>
  </si>
  <si>
    <t xml:space="preserve">Equity funding </t>
  </si>
  <si>
    <t>Debt funding</t>
  </si>
  <si>
    <t>Cash flow after funding</t>
  </si>
  <si>
    <t>Interest income</t>
  </si>
  <si>
    <t>Income tax</t>
  </si>
  <si>
    <t xml:space="preserve">Pre Tax Unlevered CF </t>
  </si>
  <si>
    <t xml:space="preserve">After Tax Unlevered CF </t>
  </si>
  <si>
    <t>Senior Debt Balance b/f</t>
  </si>
  <si>
    <t>Senior Debt Balance c/f</t>
  </si>
  <si>
    <t>Interest</t>
  </si>
  <si>
    <t>DSCR</t>
  </si>
  <si>
    <t>Cash flow available to equity</t>
  </si>
  <si>
    <t>Pre Tax CF to Equity</t>
  </si>
  <si>
    <t>After Tax Distributions to Equity</t>
  </si>
  <si>
    <t>Net Cash flow</t>
  </si>
  <si>
    <t>Cum CF to Equity</t>
  </si>
  <si>
    <t>Disc CF Check</t>
  </si>
  <si>
    <t>Straight Amortization</t>
  </si>
  <si>
    <t>Avg SDSCR</t>
  </si>
  <si>
    <t>Min SDSCR</t>
  </si>
  <si>
    <t>Senior Debt Coverage</t>
  </si>
  <si>
    <t>Straight Deprec Schedule</t>
  </si>
  <si>
    <t>%</t>
  </si>
  <si>
    <t>Depr</t>
  </si>
  <si>
    <t>SOURCES</t>
  </si>
  <si>
    <t>% of Total</t>
  </si>
  <si>
    <t>Senior Debt</t>
  </si>
  <si>
    <t>Equity</t>
  </si>
  <si>
    <t>Grants/Rebate</t>
  </si>
  <si>
    <t>TOTAL</t>
  </si>
  <si>
    <t>Deprec p.a</t>
  </si>
  <si>
    <t>SENIOR DEBT</t>
  </si>
  <si>
    <t>TAXES</t>
  </si>
  <si>
    <t>Tax Rate (% pa)</t>
  </si>
  <si>
    <t>Fish Drying Plant</t>
  </si>
  <si>
    <t>CURRENCY CONVERSION</t>
  </si>
  <si>
    <t>Local Currency</t>
  </si>
  <si>
    <t>Local Currency Code</t>
  </si>
  <si>
    <t>US$/Kg</t>
  </si>
  <si>
    <t>1st Year (USD)</t>
  </si>
  <si>
    <t>Cost/Unit</t>
  </si>
  <si>
    <t>US$/Yr</t>
  </si>
  <si>
    <t>Opex Annual Inflator (%)</t>
  </si>
  <si>
    <t>Price Escalation (Annual)</t>
  </si>
  <si>
    <t>TECHNICAL INPUTS</t>
  </si>
  <si>
    <t>% of Dry Fish Exported</t>
  </si>
  <si>
    <t>% of Dry Fish Sold Locally</t>
  </si>
  <si>
    <t>Price of Dry Fish - Local (USD/Kg)</t>
  </si>
  <si>
    <t>Price of Dry Fish - Export (USD/Kg)</t>
  </si>
  <si>
    <t>All-in Interest Rate p.a</t>
  </si>
  <si>
    <t>Labor (Non-payroll)</t>
  </si>
  <si>
    <t>Asst. Manager</t>
  </si>
  <si>
    <t>US$/yr</t>
  </si>
  <si>
    <t>Plant Labor</t>
  </si>
  <si>
    <t>Shifts/day</t>
  </si>
  <si>
    <t>Hrs/shift</t>
  </si>
  <si>
    <t>Man Hrs/day</t>
  </si>
  <si>
    <t>US$/hr</t>
  </si>
  <si>
    <t>Plant Labor reqd per shift</t>
  </si>
  <si>
    <t>Plant Useful Life (Yrs)</t>
  </si>
  <si>
    <t>Avg Moisture Content of Fresh Fish</t>
  </si>
  <si>
    <t>Desired Moisture Content of Dried fish</t>
  </si>
  <si>
    <t>Value</t>
  </si>
  <si>
    <t>Kg/Yr</t>
  </si>
  <si>
    <t>Quantity of Fresh Fish Processed</t>
  </si>
  <si>
    <t>Amt of Moisture to be Removed</t>
  </si>
  <si>
    <t>Quantity of Electricity required</t>
  </si>
  <si>
    <t>Kwh/kg</t>
  </si>
  <si>
    <t>US$/kwh</t>
  </si>
  <si>
    <t>Quantity of Dried Fish Produced</t>
  </si>
  <si>
    <t>N/A</t>
  </si>
  <si>
    <t>Plant Op Time (Weeks/Yr)</t>
  </si>
  <si>
    <t>Plant Op Time (Days/Week)</t>
  </si>
  <si>
    <t>Man Hrs/Yr</t>
  </si>
  <si>
    <t>Base Dried Fish
Production
(kg)</t>
  </si>
  <si>
    <t>Plant
Degrad
Factor</t>
  </si>
  <si>
    <t>Actual Dried Fish
Production
(kg)</t>
  </si>
  <si>
    <t>Local
Sales</t>
  </si>
  <si>
    <t>Export
Revenue</t>
  </si>
  <si>
    <t>Price Escalator</t>
  </si>
  <si>
    <t>Avg Local Price</t>
  </si>
  <si>
    <t>Avg Export Price</t>
  </si>
  <si>
    <t>Total capital expenditure</t>
  </si>
  <si>
    <t>Total CF to Equity</t>
  </si>
  <si>
    <t>Net CF to Equity</t>
  </si>
  <si>
    <t>Cash on Cash Return</t>
  </si>
  <si>
    <t>Payback Year</t>
  </si>
  <si>
    <t>After Tax Project IRR</t>
  </si>
  <si>
    <t>After Tax Equity IRR</t>
  </si>
  <si>
    <t>NPV Check</t>
  </si>
  <si>
    <t>XNPV Check</t>
  </si>
  <si>
    <t>Sources:</t>
  </si>
  <si>
    <t>G4A Model</t>
  </si>
  <si>
    <t>Balneotherapy/spas</t>
  </si>
  <si>
    <t>Pyrethrum</t>
  </si>
  <si>
    <t>Greenhouse heating</t>
  </si>
  <si>
    <t xml:space="preserve">Fish </t>
  </si>
  <si>
    <t>Estimated cost of fruits is 1200 TSH and for vegetables it is 600 TSH</t>
  </si>
  <si>
    <t>https://mywage.org/tanzania/career/business-tax-and-levies#:~:text=What%20is%20Corporation%20tax%3F,usually%20paid%20in%20two%20stages.</t>
  </si>
  <si>
    <t>https://www2.deloitte.com/content/dam/Deloitte/tz/Documents/tax/Tax_Budget%20Highlights%202015_TZ.pdf</t>
  </si>
  <si>
    <t>https://taxsummaries.pwc.com/uganda/corporate/taxes-on-corporate-income#:~:text=The%20income%20tax%20rate%20applicable,tax%20applies%20(see%20below).</t>
  </si>
  <si>
    <t>https://www.gtuganda.co.ug/globalassets/_markets_/uga/media/doing_business_in_uganda_taxation.pdf</t>
  </si>
  <si>
    <t>https://oxfordbusinessgroup.com/overview/bottom-line-comprehensive-guide-country%E2%80%99s-tax-laws#:~:text=The%20tax%20rate%20on%20business%20profits%20is%2025%25.</t>
  </si>
  <si>
    <t>1% of gross turnover (below UGX50m revenue)</t>
  </si>
  <si>
    <t>1% of sales (with a minimum charge of DJF120,000)</t>
  </si>
  <si>
    <t>Corporate Tax Rate</t>
  </si>
  <si>
    <t>Varies</t>
  </si>
  <si>
    <t>https://www.2merkato.com/articles/tax/types/62-business-income-tax-in-ethiopia-rates-deductions-and-exemptions</t>
  </si>
  <si>
    <t>3% of turnover (for small businesses whose turnover is between RWF 12 - 20 million)</t>
  </si>
  <si>
    <t>https://taxsummaries.pwc.com/rwanda/corporate/taxes-on-corporate-income#:~:text=However%2C%20micro%2Denterprise%20companies%20(,rate%20of%203%25%20of%20turnover.</t>
  </si>
  <si>
    <t>https://mnetax.com/kenya-passes-corporate-tax-rate-cut-modifies-turnover-tax-other-measures-38395; https://www.bdo-ea.com/en-gb/microsites/doing-business-and-investing-in-kenya/tax/page-elements/taxation-in-kenya/corporate-tax#:~:text=The%20current%20corporate%20tax%20rate,Kenya%20is%20taxed%20at%2037.5%25.</t>
  </si>
  <si>
    <t>1% of turnover for MSMEs whose annual turnover does not exceed KES 1 to 50million</t>
  </si>
  <si>
    <t>Tax Rate for Very Small Businesses</t>
  </si>
  <si>
    <t>Rice/grains</t>
  </si>
  <si>
    <t>Tea leaves</t>
  </si>
  <si>
    <t>Chicken hatcheries</t>
  </si>
  <si>
    <t>Tobacco leaves</t>
  </si>
  <si>
    <t>Fruits/vegetables</t>
  </si>
  <si>
    <t>Milk pasteurization/Dairy processing</t>
  </si>
  <si>
    <t>Fish Production Level (Kg/Yr)</t>
  </si>
  <si>
    <t>Bilatie tobacco farm is growing 500 to 600ha tobacco per year and producing 750 ton to 1000 ton cured tobacco leaf per year.</t>
  </si>
  <si>
    <t>Raw milk production level (Litres/Yr)</t>
  </si>
  <si>
    <t>Cost of raw milk is 600 – 1000 TSH. There is one big ranch called Kitulo ranch producing 1500 litres of milk per day. Other than that, there are about 18,000 households each producing about 11 litres of milk per day. Cost of pasteurized milk is 2000 TSH.</t>
  </si>
  <si>
    <t>There is only one greenhouse (8x30 metres in size) in the area that can use a geothermal resources</t>
  </si>
  <si>
    <t>Households spend about 72,000 TSH ($30) – 300,000 ($129) per month on relaxation. Cost of acquiring land for setting up a spa is 5,000 TSH per sq. m. There are a few tourist sites and about 300 tourists visit the area every year.</t>
  </si>
  <si>
    <t>Cost of harvested fresh tea leaves is 100 TSH/kg. There are 3219 tea farmers covering a total area of 2933 hectares.</t>
  </si>
  <si>
    <t>The price of freshwater fish is 5000 – 12000 TSH and that of dried fish is 10,000-16,000 per kilo. There are 700-1200 fisherman in the community each harvesting about 90-150 kg of fish per month. About 875 kg of fresh fish is consumed every day and about 2625 kg of dried fish is consumed every day.  Post-harvest loss of fish is high because of no cold storage chain to transport fish to the market. There is a demand for dried fish even in the local community of about 15 kg per month per family.</t>
  </si>
  <si>
    <t>Cost of harvested fresh tea leaves ($/kg)</t>
  </si>
  <si>
    <t>Cost of raw milk ($/Litre)</t>
  </si>
  <si>
    <t>Price of pasteurized milk ($/Litre)</t>
  </si>
  <si>
    <t>Cost of raw fruits ($/kg)</t>
  </si>
  <si>
    <t>Cost of raw Vegs ($/kg)</t>
  </si>
  <si>
    <t>Tea Production Level (Kg/Yr)</t>
  </si>
  <si>
    <t>Fresh Fish Consumption Level (Kg/Yr)</t>
  </si>
  <si>
    <t>Fish Production to be Dried (Kg/Yr)</t>
  </si>
  <si>
    <t>Price of Fresh Fish ($/kg)</t>
  </si>
  <si>
    <t>Price of Dried Fish ($/kg)</t>
  </si>
  <si>
    <t>Price of Fresh Rice ($/kg)</t>
  </si>
  <si>
    <t>Rice Production Level (Kg/Yr)</t>
  </si>
  <si>
    <t>Price of Dried Rice ($/kg)</t>
  </si>
  <si>
    <t>Price of processed tea ($/kg)</t>
  </si>
  <si>
    <t>Cost of greenhouse produce is 5,000 UGX ($1.35)/kg. Sunflower and tomatoes are grown in greenhouses in the region.</t>
  </si>
  <si>
    <t>Price of Greenhouse Produce ($/kg)</t>
  </si>
  <si>
    <t>Existing Greenhouse size (sqm)</t>
  </si>
  <si>
    <t>NA</t>
  </si>
  <si>
    <t>Little or no fishing activity. The price of fresh fish is estimated at 300 FDJ</t>
  </si>
  <si>
    <t>Cost of raw milk is 550 FDJ per litre and price of pasteurized milk is 550 FDJ per litre;  The estimated cost of raw milk is 500 FDJ per liters, and the number of farms producing raw milk around the geothermal resource area is 60-65 farms. The price of pasteurized milk is 600 FDJ per liters. The local level of consumption of pasteurized milk per household is 3 liters/day (90 liters per month)</t>
  </si>
  <si>
    <t>Land can be allocated free of cost as part of an investment project by a Ministerial decree. Tourist sites in the district are White Sand, Randa, Fore de Day, Bankouale Doora, etc. The amounts invoiced on these sites are 7000 FDJ per tourist. In winter, there are about 100 tourists per weekend. The region is easily accessible to tourists and has the availability of critical infrastructure. The number of tourists to the region is estimated to be 100 per weekend in the cool season.</t>
  </si>
  <si>
    <t>Local Rice Consumption (kg/Yr)</t>
  </si>
  <si>
    <t>Price of fresh harvested tea is UGX 500-600 ($0.13-$0.14). UGX 5,000 ($1.36)/kg is the price of processed tea.; Cost of harvested fresh tea leaves is 600 UGX ($0.163)/kg. UGX 20,000 ($5.45)/kg is the price of processed tea. There are many small farms (~1 acre) over an area of 500 acres. Each family consumes about 1/2kg of processed tea per month.</t>
  </si>
  <si>
    <t>Local Tea Consumption (kg/Yr)</t>
  </si>
  <si>
    <t>Estimated cost of dried fruit is 5,000 UGX ($1.35)/kg. Cost of fruits 1500-2500 UGX 0.3-0.6 USD per kg; Estimated cost of fruits is 4000 UGX ($1.09) per Kg and for vegetables it is 2000 UGX (0.54) per kg.; Estimated cost of fresh fruit is 700 UGX ($0.19) and that of vegetables is 500 UGX ($0.135). Estimated cost of fruits is 4000 UGX ($1.09) per Kg and for vegetables it is 2000 UGX (0.54) per kg.</t>
  </si>
  <si>
    <t>The price of freshwater fish is 15000 UGX ($4) and that of dried fish is 20,000 UGX ($5.4) per kg; The price of freshwater fish is 15000 UGX ($4.07) per kg and that of dried fish is 25,000 – 30,000 UGX ($6.79 - $8.15) per kg.; The price of freshwater fish is 15000 UGX ($15,000) and that of dried fish is 25,000 UGX ($6.79) per kg. An average household sells 30kg of fish per month at 15,000 UGX. There are more than 10,000 small fishermen in the greater Panyimur area/fishing community.</t>
  </si>
  <si>
    <t>Estimated price of fresh rice is UGX 4000 ($1.08). Rice is grown by ~50,000 smallholder farmers on small pieces of land of about 5 acres in size. Price of dried rice would be UGX 4000 ($1.08) per kg. The cost of grains is 1000-2000 UGX 0.27-0.54 USD per kg.; Estimated price of fresh rice is UGX 3000 ($0.8). Price of dried rice would be UGX 6000 ($1.63) per kg. Local demand for rice is 60 kgs per month per family. Rice is grown only on small pieces of land of about ½ to 1 acre in size. Each acre produces about 15000 kgs of rice.; Estimated price of fresh rice is UGX 3500 ($0.95). average yield per 2-3 acre plantation/farm is 1500 kgs per year</t>
  </si>
  <si>
    <t>Cost of raw milk is 2000 UGX per liter for small milk producers and 2000 – 2500 UGX ($0.54) for large sale commercial milk producers. There are ~10,000 small milk producers and 10 large milk farms (&gt;10 acres in size). Cost of pasteurized milk is 4000 UGX ($1.08) per litre; Cost of raw milk is 600 – 1000 UGX ($0.163 – 0.27) per litre for small milk producers and 2000 – 2500 UGX ($0.54 - $0.68) per litre for large sale commercial milk producers. Cost of pasteurized milk is 2,000 – 2,500 UGX  ($0.54 - $0.68) per litre. Local consumption of milk is 30 litres/month per household.; Cost of raw milk is 2000 UGX ($0.54  ).</t>
  </si>
  <si>
    <t>Households spend about 20,000 ($5.4) per month on relaxation. There are a few tourist sites around hot springs, salt mines and the game reserve with about 20,000 – 50,000 tourists visiting every year. There are hotels in the area and the area is easily accessible by road. Cost of acquiring land for setting up a spa is UGX 10,000,000 ($2600). This would be per spa, assuming land required for spa is  approx. ¼ acre.; Households spend about 30,000 ($8) per month on relaxation. There are a few tourist sites around hot springs including those for bird watching with about 16,000 tourists visiting every year. Cost of acquiring land for setting up a spa is UGX 100,000 ,000 ($26,500) for 2 acres; The cost of acquiring land for setting up a spa is UGX 80-100 million ($22,000-26,500) for a facility with lodges and recreation facilities.</t>
  </si>
  <si>
    <t>The price of freshwater fish is 1500 – 2500 RWF and that of dried fish is 6000 RWF per kilo. There are 364 fishermanfishermen in the community each harvesting about 72 kg of tilapia per month and 8000-9000 of other small fish per month.</t>
  </si>
  <si>
    <t>Cost of raw milk is 220 RWF per litre. Quantity of milk produced per day is 30,000 – 60,000 litres. Cost of pasteurized milk is 300 – 350 RWF and local consumption of milk is 80 litres/month per household. There is an export demand for pasteurized milk of up to 90,000 litres per month.</t>
  </si>
  <si>
    <t>Export Demand (Litres/Yr)</t>
  </si>
  <si>
    <t>Local Milk Consumption (Litres/Yr)</t>
  </si>
  <si>
    <t>Vegetable Production Level (Kg/Yr)</t>
  </si>
  <si>
    <t>Flowers are sold in Addis Ababa for about ETB 5-10 per stem</t>
  </si>
  <si>
    <t>Cost of acquiring land for a spa is ETB 1000/m2</t>
  </si>
  <si>
    <t>There are ~38,000 small farmers and an average plot size of 0.1 hectares. Cost of common fresh fruits is ETB 25/kg and that of fresh vegetables is ETB 12/kg. 14,000 tonnes of grains and lentils, 550 tonnes of vegetables are produced in a season; Cost of common fresh fruits is ETB 75-120/kg and that of fresh vegetables is ETB 20-45/kg; Cost of common fresh fruits is ETB 150/kg and that of fresh vegetables is ETB 100/kg. Estimated local demand for dried fruits 15kg/month and that for dried vegetables 30 kg/month per family</t>
  </si>
  <si>
    <t>Cost of fresh fish is ETB 200-400 per kg and that of dry fish is ETB 200-400 per kg. About 2500 kg of fish is harvested by one fisherman per year and there are thousands of fishermen in the community; Cost of fresh fish is ETB 100 per kg and that of dry fish is ETB 120 per kg. About 250 kg of fish is harvested by one fisherman in a month and there are 25 fisherman in the community. Dried fish consumption stands at 15 kg/month; Cost of fresh fish is ETB 120-250 per kg and that of dry fish is ETB 120 per kg. Dried fish consumption stands at 20 kg/month</t>
  </si>
  <si>
    <t>Cost of raw milk is ETB 30-40/litre and that of pasteurized milk is ETB 40 per litre; Cost of raw milk is ETB 80-100/litre and that of pasteurized milk is ETB 125 per litre. Estimated demand of milk per household is 90 litres/month; Cost of raw milk is ETB 40/litre and that of pasteurized milk is ETB 25 per litre. Estimated demand of milk per household is 30 litres/month.</t>
  </si>
  <si>
    <t>Tilapia and Common Carp are common fish types and are sold for anywhere between 50 – 1000 Kenyan Shillings.</t>
  </si>
  <si>
    <t>Pyrethrum Production Level (Kg/Yr)</t>
  </si>
  <si>
    <t>8-9 tonnes per month of pyrethrum is being currently produced and with a potential target of 15 tonnes. Pyrethrum is dried twice a month. Pyrethrum dried with geothermal leads to higher quality and leads to a higher revenue.</t>
  </si>
  <si>
    <t>Approximate cost of acquiring land for setting up a green house is 4 million Kenyan Shilling</t>
  </si>
  <si>
    <t>Farmers get about 7-8 litres from 2-4 cows.; Milk production is on a small- scale basis with an average of one milk-producing cow per household.</t>
  </si>
  <si>
    <t>Cost of fresh pyrethrum ($/kg)</t>
  </si>
  <si>
    <t>Price of dried pyrethrum ($/kg)</t>
  </si>
  <si>
    <t>Price of Dried fruits ($/kg)</t>
  </si>
  <si>
    <t>Price of Dried Vegs ($/kg)</t>
  </si>
  <si>
    <t>Fruit Production Level (Kg/Yr)</t>
  </si>
  <si>
    <t>Cost of fresh Tobacco ($/kg)</t>
  </si>
  <si>
    <t>Price of dried Tobacco ($/kg)</t>
  </si>
  <si>
    <t>Can use the dryer in hatcheries instead of using electric steam leading to a cheaper process cost</t>
  </si>
  <si>
    <t>Electricity Prices (LCY/kWh)</t>
  </si>
  <si>
    <t>https://www.reg.rw/customer-service/tariffs/</t>
  </si>
  <si>
    <t>https://www.africanews.com/2016/04/06/djibouti-slashes-electricity-prices-in-a-bid-to-power-growth//#:~:text=Djibouti's%20government%20has%20announced%20a,55%20Djiboutian%20francs%20per%20kilowatt; http://country.eiu.com/article.aspx?articleid=1924116576&amp;Country=Djibouti&amp;topic=Economy&amp;subtopic=_3</t>
  </si>
  <si>
    <t>Electricity Prices ($/kWh)</t>
  </si>
  <si>
    <t>https://energyeconomicgrowth.org/node/236#:~:text=According%20to%20information%20from%20the,%240.04%20and%20%240.06%20per%20kWh.; https://core.ac.uk/download/pdf/157815645.pdf</t>
  </si>
  <si>
    <t>https://www.epra.go.ke/wp-content/uploads/2018/06/Approved-Tariffs-Aug-2018.pdf</t>
  </si>
  <si>
    <t>https://www.monitor.co.ug/uganda/business/markets/electricity-tariffs-reduce-by-1-2--1868566</t>
  </si>
  <si>
    <t>https://www.ewura.go.tz/wp-content/uploads/2019/03/TANESCO-Order-No.-2010-010_29-03-2016_English.pdf</t>
  </si>
  <si>
    <t>Labor Costs ($/hr)</t>
  </si>
  <si>
    <t>https://africapay.org/kenya/salary/minimum-wages/2214-all-other-areas-neither-cities-nor-municipalities</t>
  </si>
  <si>
    <t>https://www.globalization-partners.com/globalpedia/djibouti-employer-of-record/compensation/#:~:text=Djibouti%20Compensation%20Laws&amp;text=Now%2C%20employers%20and%20employees%20set,or%20about%20%24198%20a%20month.</t>
  </si>
  <si>
    <t>http://www.salaryexplorer.com/salary-survey.php?loc=214&amp;loctype=1&amp;job=33&amp;jobtype=1</t>
  </si>
  <si>
    <t>http://www.salaryexplorer.com/salary-survey.php?loc=225&amp;loctype=1&amp;job=33&amp;jobtype=1</t>
  </si>
  <si>
    <t>http://www.salaryexplorer.com/salary-survey.php?loc=180&amp;loctype=1&amp;job=33&amp;jobtype=1</t>
  </si>
  <si>
    <t>http://www.salaryexplorer.com/salary-survey.php?loc=69&amp;loctype=1&amp;job=33&amp;jobtype=1</t>
  </si>
  <si>
    <t>Labor Costs (LCY/day)</t>
  </si>
  <si>
    <t>Labor Costs ($/day)</t>
  </si>
  <si>
    <t>Tobacco Cured Leaf Production (Kg/Yr)</t>
  </si>
  <si>
    <t>Drying of fruits and vegetables</t>
  </si>
  <si>
    <t>https://pangea.stanford.edu/ERE/pdf/IGAstandard/ISS/2003Turkey/s.p.vasilevska.pdf</t>
  </si>
  <si>
    <t>https://www.sica.int/download/?124297</t>
  </si>
  <si>
    <t>https://www.osti.gov/biblio/6765757</t>
  </si>
  <si>
    <t>http://citeseerx.ist.psu.edu/viewdoc/download?doi=10.1.1.510.6103&amp;rep=rep1&amp;type=pdf</t>
  </si>
  <si>
    <t>Greenhouses</t>
  </si>
  <si>
    <t>Spas</t>
  </si>
  <si>
    <t>https://orkustofnun.is/gogn/unu-gtp-report/UNU-GTP-2013-09.pdf</t>
  </si>
  <si>
    <t>https://www.energy.gov/sites/prod/files/2016/02/f29/jemezpueblo05final.pdf</t>
  </si>
  <si>
    <t>Some rice drying links:</t>
  </si>
  <si>
    <t>http://www.knowledgebank.irri.org/step-by-step-production/postharvest/drying#traditional-drying-systems</t>
  </si>
  <si>
    <t>https://www.uaex.edu/farm-ranch/crops-commercial-horticulture/Grain_drying_and_storage/rice_drying_and_storage.aspx#:~:text=Air%20temperature%20and%20relative%20humidity,of%20equilibrium%20with%20the%20environment.</t>
  </si>
  <si>
    <t>http://www.knowledgebank.irri.org/step-by-step-production/postharvest/drying/economic-aspects-of-drying</t>
  </si>
  <si>
    <t>Cost of Fresh Fish (incl. Transport)</t>
  </si>
  <si>
    <t>Fruit Drying Plant</t>
  </si>
  <si>
    <t>Quantity of Fresh Fruit Processed</t>
  </si>
  <si>
    <t>Avg Moisture Content of Fresh Fruit</t>
  </si>
  <si>
    <t>Desired Moisture Content of Dried Fruit</t>
  </si>
  <si>
    <t>Quantity of Dried Fruit Produced</t>
  </si>
  <si>
    <t>Price of Dry Fruit - Local (USD/Kg)</t>
  </si>
  <si>
    <t>Price of Dry Fruit - Export (USD/Kg)</t>
  </si>
  <si>
    <t>% of Dry Fruit Sold Locally</t>
  </si>
  <si>
    <t>% of Dry Fruit Exported</t>
  </si>
  <si>
    <t>Cost of Fresh Fruit (incl. Transport)</t>
  </si>
  <si>
    <t>Veg Drying Plant</t>
  </si>
  <si>
    <t>Quantity of Fresh Veg Processed</t>
  </si>
  <si>
    <t>Avg Moisture Content of Fresh Veg</t>
  </si>
  <si>
    <t>Desired Moisture Content of Dried Veg</t>
  </si>
  <si>
    <t>Quantity of Dried Veg Produced</t>
  </si>
  <si>
    <t>Price of Dry Veg - Local (USD/Kg)</t>
  </si>
  <si>
    <t>Price of Dry Veg - Export (USD/Kg)</t>
  </si>
  <si>
    <t>% of Dry Veg Sold Locally</t>
  </si>
  <si>
    <t>% of Dry Veg Exported</t>
  </si>
  <si>
    <t>Pyrethrum Drying Plant</t>
  </si>
  <si>
    <t>Quantity of Fresh Pyrethrum Processed</t>
  </si>
  <si>
    <t>Quantity of Dried Pyrethrum Produced</t>
  </si>
  <si>
    <t>Desired Moisture Content of Dried Pyrethrum</t>
  </si>
  <si>
    <t>Avg Moisture Content of Fresh Pyrethrum</t>
  </si>
  <si>
    <t>Quantity of Fresh Tobacco Processed</t>
  </si>
  <si>
    <t>Avg Moisture Content of Fresh Tobacco</t>
  </si>
  <si>
    <t>Desired Moisture Content of Dried Tobacco</t>
  </si>
  <si>
    <t>Quantity of Dried Tobacco Produced</t>
  </si>
  <si>
    <t>Quantity of Fresh Tea Processed</t>
  </si>
  <si>
    <t>Avg Moisture Content of Fresh Tea</t>
  </si>
  <si>
    <t>Desired Moisture Content of Dried Tea</t>
  </si>
  <si>
    <t>Quantity of Dried Tea Produced</t>
  </si>
  <si>
    <t>Rice Drying Plant</t>
  </si>
  <si>
    <t>Quantity of Fresh Rice Processed</t>
  </si>
  <si>
    <t>Avg Moisture Content of Fresh Rice</t>
  </si>
  <si>
    <t>Desired Moisture Content of Dried Rice</t>
  </si>
  <si>
    <t>Quantity of Dried Rice Produced</t>
  </si>
  <si>
    <t>Price of Dry Rice - Local (USD/Kg)</t>
  </si>
  <si>
    <t>Price of Dry Rice - Export (USD/Kg)</t>
  </si>
  <si>
    <t>% of Dry Rice Sold Locally</t>
  </si>
  <si>
    <t>% of Dry Rice Exported</t>
  </si>
  <si>
    <t>Cost of Fresh Rice (incl. Transport)</t>
  </si>
  <si>
    <t>Sales &amp; Marketing Manager</t>
  </si>
  <si>
    <t>Station/Plant Manager</t>
  </si>
  <si>
    <t>Sales Reps</t>
  </si>
  <si>
    <t>Office and Admin Expenses</t>
  </si>
  <si>
    <t>the average yield of tobacco leaves is about 2.5 Mg per hectare (source: www.mdpi.com)</t>
  </si>
  <si>
    <t>Abaya District</t>
  </si>
  <si>
    <t>Hoima &amp; Pakwach</t>
  </si>
  <si>
    <t>Chicken Hatchery</t>
  </si>
  <si>
    <t>Olkaria &amp; Eburru</t>
  </si>
  <si>
    <t>Eburru</t>
  </si>
  <si>
    <t>Kiejo-Mbaka</t>
  </si>
  <si>
    <t>Quantity of Fresh Milk Processed</t>
  </si>
  <si>
    <t>Ltr/Yr</t>
  </si>
  <si>
    <t>Karago – Nyabihu</t>
  </si>
  <si>
    <t>Gisenyi</t>
  </si>
  <si>
    <t>Aluto-Langano</t>
  </si>
  <si>
    <t>Fruit peeling machine</t>
  </si>
  <si>
    <t>Fruit Slicing Machine</t>
  </si>
  <si>
    <t>Dehydrator</t>
  </si>
  <si>
    <t>Blanching machine</t>
  </si>
  <si>
    <t>Precooling machine</t>
  </si>
  <si>
    <t>Packaging equipment</t>
  </si>
  <si>
    <t>$3500-$3200</t>
  </si>
  <si>
    <t>$1300-$1500</t>
  </si>
  <si>
    <t>$20000-$30000</t>
  </si>
  <si>
    <t>$1000-$3000</t>
  </si>
  <si>
    <t>$17550-$30000</t>
  </si>
  <si>
    <t>$6000-$10970</t>
  </si>
  <si>
    <t>https://www.tradewheel.com/p/fruit-peeling-cutting-machine-vegetables-642597/</t>
  </si>
  <si>
    <t>https://www.tradewheel.com/p/high-quality-stainless-steel-304-food-689846/</t>
  </si>
  <si>
    <t>https://m.alibaba.com/amp/product/60760387059.html</t>
  </si>
  <si>
    <t>https://www.tradewheel.com/p/precooling-machinevacuum-vegetable-cooling-machine-6899813/</t>
  </si>
  <si>
    <t>https://m.made-in-china,com/product/Dry-Fruits-Fully-Automatic-Packing-Machine-901463575.html</t>
  </si>
  <si>
    <t>Post Drying</t>
  </si>
  <si>
    <t xml:space="preserve">        Pre Drying</t>
  </si>
  <si>
    <t>FRUITS</t>
  </si>
  <si>
    <t>Weight (KG)</t>
  </si>
  <si>
    <t>Prices (Shillings)</t>
  </si>
  <si>
    <t>Weight(kg)</t>
  </si>
  <si>
    <t>Links</t>
  </si>
  <si>
    <t>Apple</t>
  </si>
  <si>
    <t>https://2vegetable.com/2019/07/09/apple-fruit-suppliers-in-kenya-fresh-fruits-wholesalers-suppliers/</t>
  </si>
  <si>
    <t>https://africabusinesscommunities.com/news/rural-kenya-farmers-tripple-incomes-drying-fruits-and-vegetables-in-sun/</t>
  </si>
  <si>
    <t>Banana</t>
  </si>
  <si>
    <t>https://www.numbeo.com/cost-of-living/in/Nairobi</t>
  </si>
  <si>
    <t>https://www.selinawamucii.com/insights/prices/kenya/bananas/</t>
  </si>
  <si>
    <t>Pineapple</t>
  </si>
  <si>
    <t>https://selinawamucii.com/insights/prices/kenya/pineapples/</t>
  </si>
  <si>
    <t>https://www.azurihealth.co.ke/marketing-services</t>
  </si>
  <si>
    <t>Mango</t>
  </si>
  <si>
    <t>https://www.knbs.or.ke/?wpdmpro=consumer-price-indices-and-inflation-rates-for-march-2020</t>
  </si>
  <si>
    <t>www.oxfarmorganic.com/our-products/mangoes/export-opportunities-for-mangoes/</t>
  </si>
  <si>
    <t>Passion Fruit</t>
  </si>
  <si>
    <t>https:www.freshplaza.com/article/9122670/Kenya-passion-fruit-farmer-created-profitable-venture/</t>
  </si>
  <si>
    <t>VEGETABLES</t>
  </si>
  <si>
    <t>Tomato</t>
  </si>
  <si>
    <t>Pumpkin leaves</t>
  </si>
  <si>
    <t>https://www.google.com/amp/s/www.businessdailyafrica.com/corporate/enterprise/Graduate-finds-joy-in-pumpkin-farming-/4003126-4786454-view-asAMP-8jf47kz/index.html</t>
  </si>
  <si>
    <t>Spinach</t>
  </si>
  <si>
    <t>Carrot</t>
  </si>
  <si>
    <t>https://sokodirectory.com/2019/05/cabbages-retailing-at-ksh--20-per-kilogram-across-most-towns/</t>
  </si>
  <si>
    <t>Sweet Potatoes</t>
  </si>
  <si>
    <t>Cabbage</t>
  </si>
  <si>
    <t>Amaranthus</t>
  </si>
  <si>
    <t>https://farmbizafrica.com/profit-boosters/2468-health-benefits-driving-the-growing-amaranth-enterprise-in-kenya</t>
  </si>
  <si>
    <t>Kale</t>
  </si>
  <si>
    <t xml:space="preserve">https://sokodirectory.com/2020/01/food-and-transport-hike-pushes-december-inflation-to-5-82/ </t>
  </si>
  <si>
    <t>Beetroot</t>
  </si>
  <si>
    <t>https://farmersbasketkenya.com/product/beetroot</t>
  </si>
  <si>
    <t>Onion</t>
  </si>
  <si>
    <t xml:space="preserve"> </t>
  </si>
  <si>
    <t>Kunde (Cowpea leaves)</t>
  </si>
  <si>
    <t>https://www.farmers.co.ke/article/2001352127/how-to-thrive-in-vegetables-and-traditional-vegetables-farming</t>
  </si>
  <si>
    <t>okra</t>
  </si>
  <si>
    <t>https://farmersbasketkenya.com/product-category/leafy-vegetables/</t>
  </si>
  <si>
    <t>Egg plant</t>
  </si>
  <si>
    <t>Mangu (Africa night shade)</t>
  </si>
  <si>
    <t>https://www.google.com/amp/s/www.tuko.co.ke/amp/293417-how-profitable-managu-farming-kenya-.html</t>
  </si>
  <si>
    <t xml:space="preserve">OTHER INPUTS </t>
  </si>
  <si>
    <t>Transportation (Air freight)</t>
  </si>
  <si>
    <t>https://www.tradewheel.com/p/10sqm100kg-capacity-dehydration-machines-for-fruit-689804/</t>
  </si>
  <si>
    <t>Weekly Working hours</t>
  </si>
  <si>
    <t>45hrs</t>
  </si>
  <si>
    <t>https://agoa.info/images/documents/6212/rwanda-agoa-strategyr.pdf</t>
  </si>
  <si>
    <t>Corporate Tax</t>
  </si>
  <si>
    <t>per anum</t>
  </si>
  <si>
    <t>Land (Per acre)</t>
  </si>
  <si>
    <t>$0.61m-$5.33m</t>
  </si>
  <si>
    <t>https://www.globalpropertyguide.com/Africa/Kenya/Price-History</t>
  </si>
  <si>
    <t>energy cost (kenya)</t>
  </si>
  <si>
    <t>per kWh</t>
  </si>
  <si>
    <t>https://agoa.info/images/documents/6212/rwanda-agoa-strategy.pdf</t>
  </si>
  <si>
    <t xml:space="preserve">           Pre Drying</t>
  </si>
  <si>
    <t xml:space="preserve">               Post Drying</t>
  </si>
  <si>
    <t xml:space="preserve"> Prices (Rfranc)</t>
  </si>
  <si>
    <t>https://www.gainhealth.org/sites/default/files/publications/documents/the-marketplace-for-nutritious-foods-rwanda-landscape-report-2016.pdf</t>
  </si>
  <si>
    <t>https://agoa.info/images/documents/6212/rwanda-agoa-strategyr,pdf</t>
  </si>
  <si>
    <t>https://www.newtimes.co.rw/business/market-watch-tomatoes-onions-prices-kigali</t>
  </si>
  <si>
    <t>https://www.newtimes.co/rw/news/losses-horticulture-produce-stir-interest-value-addition-</t>
  </si>
  <si>
    <t>Tree Tomato</t>
  </si>
  <si>
    <t>Papaya</t>
  </si>
  <si>
    <t>Avocado</t>
  </si>
  <si>
    <t>Strawberry</t>
  </si>
  <si>
    <t>https://allafrica.com/stories/201911050039.html</t>
  </si>
  <si>
    <t>https://horticulture.ucdavis.edu/sites/g/files/dgvnsk1816/files/extension_material_files/postharvest%20Loss%20Assessment%20of%20Tomatoes%20in%Rwanda.pdf</t>
  </si>
  <si>
    <t>Bell pepper</t>
  </si>
  <si>
    <t>https://taarifa.rw/china-turns-to-rwanda-for-fresh-pepper-french-beans/</t>
  </si>
  <si>
    <t>French beans</t>
  </si>
  <si>
    <t>https://www.kenyanews.go.ke/young-man-farming-french-beans/</t>
  </si>
  <si>
    <t>0.9$</t>
  </si>
  <si>
    <t>https://www.newtimes.co.rw/section/read/228945</t>
  </si>
  <si>
    <t>Monthly Wage</t>
  </si>
  <si>
    <t>100-120$</t>
  </si>
  <si>
    <t>Weekly working hours</t>
  </si>
  <si>
    <t>https://www,cytonn.com/downloads/Kigali-real-estate-investment-opportunity-january-2018</t>
  </si>
  <si>
    <t>energy cost (Rwanda)</t>
  </si>
  <si>
    <t>$0.21-$0.30</t>
  </si>
  <si>
    <t xml:space="preserve"> Prices (USD)</t>
  </si>
  <si>
    <t>Export Prices</t>
  </si>
  <si>
    <t>Dried Mango</t>
  </si>
  <si>
    <t>€7-€9 per kg</t>
  </si>
  <si>
    <t>https://www.cbi.eu/market-information/processed-fruit-vegetables-edible-nuts/dried-mango/market-entry</t>
  </si>
  <si>
    <t>$11,046 per tonne</t>
  </si>
  <si>
    <t>Dried Fish</t>
  </si>
  <si>
    <t>https://www.globaltrademag.com/eu-dried-and-smoked-fish-market-is-driven-by-rising-demand-in-germany/</t>
  </si>
  <si>
    <t>Geothermal Spa Facility</t>
  </si>
  <si>
    <t>Business Insurance</t>
  </si>
  <si>
    <t>https://www.resolution.co.ke/corporates-and-businesses/business-insurance/#benefits</t>
  </si>
  <si>
    <t>% Dried Fish Loss due to Inspection</t>
  </si>
  <si>
    <t>Quantity of Marketable Dried Fish</t>
  </si>
  <si>
    <t>Pre-cooling machine</t>
  </si>
  <si>
    <t>http://www.salaryexplorer.com/salary-survey.php?loc=180&amp;loctype=1&amp;job=1024&amp;jobtype=3</t>
  </si>
  <si>
    <t>http://www.salaryexplorer.com/salary-survey.php?loc=180&amp;loctype=1&amp;job=309&amp;jobtype=3#:~:text=A%20person%20working%20as%20a,%2C%20transport%2C%20and%20other%20benefits.</t>
  </si>
  <si>
    <t>http://www.salaryexplorer.com/salary-survey.php?loc=180&amp;loctype=1&amp;job=306&amp;jobtype=3#:~:text=The%20median%2C%20the%20maximum%2C%20the%20minimum%2C%20and%20the%20range&amp;text=Assistant%20Operations%20Manager%20salaries%20in,per%20month%20(maximum%20salary).</t>
  </si>
  <si>
    <t>CEO Salary</t>
  </si>
  <si>
    <t>CFO/Accountant</t>
  </si>
  <si>
    <t>Accountant Salary</t>
  </si>
  <si>
    <t>http://www.salaryexplorer.com/salary-survey.php?loc=180&amp;loctype=1&amp;job=675&amp;jobtype=3#:~:text=A%20person%20working%20as%20a,%2C%20transport%2C%20and%20other%20benefits.</t>
  </si>
  <si>
    <t>http://www.salaryexplorer.com/salary-survey.php?loc=59&amp;loctype=1&amp;job=675&amp;jobtype=3#:~:text=A%20person%20working%20as%20a,%2C%20transport%2C%20and%20other%20benefits.</t>
  </si>
  <si>
    <t>http://www.salaryexplorer.com/salary-survey.php?loc=225&amp;loctype=1&amp;job=675&amp;jobtype=3#:~:text=A%20person%20working%20as%20a,%2C%20transport%2C%20and%20other%20benefits.</t>
  </si>
  <si>
    <t>http://www.salaryexplorer.com/salary-survey.php?loc=111&amp;loctype=1&amp;job=675&amp;jobtype=3#:~:text=A%20person%20working%20as%20a,%2C%20transport%2C%20and%20other%20benefits.</t>
  </si>
  <si>
    <t>http://www.salaryexplorer.com/salary-survey.php?loc=69&amp;loctype=1&amp;job=675&amp;jobtype=3#:~:text=A%20person%20working%20as%20a,%2C%20transport%2C%20and%20other%20benefits.</t>
  </si>
  <si>
    <t>http://www.salaryexplorer.com/salary-survey.php?loc=214&amp;loctype=1&amp;job=675&amp;jobtype=3#:~:text=A%20person%20working%20as%20a,%2C%20transport%2C%20and%20other%20benefits.</t>
  </si>
  <si>
    <t>http://www.salaryexplorer.com/salary-survey.php?loc=225&amp;loctype=1&amp;job=1024&amp;jobtype=3</t>
  </si>
  <si>
    <t>Station/Plant Manager Salary</t>
  </si>
  <si>
    <t>Sales Manager Salary</t>
  </si>
  <si>
    <t>http://www.salaryexplorer.com/salary-survey.php?loc=214&amp;loctype=1&amp;job=1024&amp;jobtype=3</t>
  </si>
  <si>
    <t>http://www.salaryexplorer.com/salary-survey.php?loc=111&amp;loctype=1&amp;job=1024&amp;jobtype=3</t>
  </si>
  <si>
    <t>http://www.salaryexplorer.com/salary-survey.php?loc=59&amp;loctype=1&amp;job=1024&amp;jobtype=3</t>
  </si>
  <si>
    <t>http://www.salaryexplorer.com/salary-survey.php?loc=69&amp;loctype=1&amp;job=309&amp;jobtype=3#:~:text=How%20much%20money%20does%20a%20Chief%20Executive%20Officer%20make%20in%20Ethiopia%3F&amp;text=A%20person%20working%20as%20a,%2C%20transport%2C%20and%20other%20benefits.</t>
  </si>
  <si>
    <t>http://www.salaryexplorer.com/salary-survey.php?loc=111&amp;loctype=1&amp;job=309&amp;jobtype=3</t>
  </si>
  <si>
    <t>http://www.salaryexplorer.com/salary-survey.php?loc=59&amp;loctype=1&amp;job=309&amp;jobtype=3</t>
  </si>
  <si>
    <t>http://www.salaryexplorer.com/salary-survey.php?loc=214&amp;loctype=1&amp;job=309&amp;jobtype=3</t>
  </si>
  <si>
    <t>http://www.salaryexplorer.com/salary-survey.php?loc=225&amp;loctype=1&amp;job=309&amp;jobtype=3</t>
  </si>
  <si>
    <t>http://www.salaryexplorer.com/salary-survey.php?loc=214&amp;loctype=1&amp;job=1960&amp;jobtype=3</t>
  </si>
  <si>
    <t>http://www.salaryexplorer.com/salary-survey.php?loc=225&amp;loctype=1&amp;job=306&amp;jobtype=3</t>
  </si>
  <si>
    <t>http://www.salaryexplorer.com/salary-survey.php?loc=69&amp;loctype=1&amp;job=306&amp;jobtype=3</t>
  </si>
  <si>
    <t xml:space="preserve">Distribution/Marketing Expenses </t>
  </si>
  <si>
    <t>Required Drying Time</t>
  </si>
  <si>
    <t>Hrs/Yr</t>
  </si>
  <si>
    <t>Batches/Yr</t>
  </si>
  <si>
    <t>Hrs/Batch</t>
  </si>
  <si>
    <t>Kg/Batch</t>
  </si>
  <si>
    <t>Washing, Sorting, Packaging etc. Time</t>
  </si>
  <si>
    <t>Kg/sqm</t>
  </si>
  <si>
    <t>Typical Drying Area Reqd</t>
  </si>
  <si>
    <t>Total Required Drying Area</t>
  </si>
  <si>
    <t>Assumed Total Station Land Size</t>
  </si>
  <si>
    <t>Sqm</t>
  </si>
  <si>
    <t>Station Annual Operating Hours</t>
  </si>
  <si>
    <t>No. of Batches per Year</t>
  </si>
  <si>
    <t>Quantity of Fresh Fish Processed per Batch</t>
  </si>
  <si>
    <t>No. of Kg per batch per Plant Labor</t>
  </si>
  <si>
    <t>Utilities, Property Tax</t>
  </si>
  <si>
    <t>Land Costs per sqm</t>
  </si>
  <si>
    <t>https://vibehouse.rw/property/12-100-sqm-plot-for-sale-in-masaka-kicukiro-kigali/</t>
  </si>
  <si>
    <t>Stakeholder survey</t>
  </si>
  <si>
    <t>Stakeholder survey (Cost of acquiring land for setting up a spa is UGX 10,000,000 - 1/4 acre)</t>
  </si>
  <si>
    <t>Land Acquisition Cost</t>
  </si>
  <si>
    <t>Stakeholder survey (Approximate cost of acquiring land for setting up a green house is 4 million Kenyan Shilling.. Assuming this is for an acre)</t>
  </si>
  <si>
    <t>% of Rev</t>
  </si>
  <si>
    <t>US$/sqft</t>
  </si>
  <si>
    <t>https://orkustofnun.is/gogn/unu-gtp-report/UNU-GTP-2015-21.pdf </t>
  </si>
  <si>
    <t>Spa Op Time (Days/Week)</t>
  </si>
  <si>
    <t>Spa Op Time (Weeks/Yr)</t>
  </si>
  <si>
    <t>Source: https://hapakenya.com/2016/04/28/the-ol-karia-geothermal-spa-is-amazing/#:~:text=For%20Kenyan%20Citizens%20you'll,the%20location%20of%20a%20park.</t>
  </si>
  <si>
    <t>Non-resident foreigners children – Ksh. 850</t>
  </si>
  <si>
    <t>Non-resident foreigners adults – Ksh. 1,800</t>
  </si>
  <si>
    <t>Resident foreigners children – Ksh. 500</t>
  </si>
  <si>
    <t>Resident foreigners adults – Ksh. 1,000</t>
  </si>
  <si>
    <t>Kenyan children – Ksh. 100</t>
  </si>
  <si>
    <t>Kenyan adults – Ksh. 400</t>
  </si>
  <si>
    <t>Total Fee (USD)</t>
  </si>
  <si>
    <t>Towel Fee (KES)</t>
  </si>
  <si>
    <t>Price (KES)</t>
  </si>
  <si>
    <t>USD/KES (Mar 2016)</t>
  </si>
  <si>
    <t>Customer Category</t>
  </si>
  <si>
    <t>Ticket Price - Local Adults (USD)</t>
  </si>
  <si>
    <t>Ticket Price - Local Children (USD)</t>
  </si>
  <si>
    <t>Ticket Price - Resi Foreign Adults (USD)</t>
  </si>
  <si>
    <t>Ticket Price - Resi Foreign Children (USD)</t>
  </si>
  <si>
    <t>Ticket Price - Non-Resi Foreign Children (USD)</t>
  </si>
  <si>
    <t>Ticket Price - Non-Resi Foreign Adults (USD)</t>
  </si>
  <si>
    <t>% Local Adults</t>
  </si>
  <si>
    <t>% Local Children</t>
  </si>
  <si>
    <t>% Resi Foreign Adults</t>
  </si>
  <si>
    <t>% Resi Foreign Children</t>
  </si>
  <si>
    <t>% Non-Resi Foreign Adults</t>
  </si>
  <si>
    <t>% Non-Resi Foreign Children</t>
  </si>
  <si>
    <t>Spa Manager</t>
  </si>
  <si>
    <t>Quantity of Fresh Rice Processed per Batch</t>
  </si>
  <si>
    <t>No. of Dryers Required</t>
  </si>
  <si>
    <t>#</t>
  </si>
  <si>
    <t>No. of Batches per Year per Dryer</t>
  </si>
  <si>
    <t>No. of Drying Days per Year</t>
  </si>
  <si>
    <t>Days/Yr</t>
  </si>
  <si>
    <t>No. of Batches per Day per Dryer</t>
  </si>
  <si>
    <t>Batches/Day</t>
  </si>
  <si>
    <t>Grain Cleaning, Loading, Storage etc. Time</t>
  </si>
  <si>
    <t>Assuming 5,000 farmers instead of 50k. Each acre yields 500kg. Each farmer has 0.75 acre</t>
  </si>
  <si>
    <t>Land Space Required per Dryer</t>
  </si>
  <si>
    <t>Total Man Hrs/day</t>
  </si>
  <si>
    <t>Total Man Hrs/Yr</t>
  </si>
  <si>
    <t>No. of Kg per dryer batch per Labor</t>
  </si>
  <si>
    <t>Plant Labor reqd per dryer batch</t>
  </si>
  <si>
    <t>http://www.knowledgebank.irri.org/training/fact-sheets/postharvest-management/drying-fact-sheet-category/item/vietnamese-flat-bed-dryers-sgh4-and-sgh8-fact-sheet</t>
  </si>
  <si>
    <t>Batches/day/dryer</t>
  </si>
  <si>
    <t>Batch Dryers</t>
  </si>
  <si>
    <t>Construction</t>
  </si>
  <si>
    <t>http://www.knowledgebank.irri.org/step-by-step-production/postharvest/drying/mechanical-drying-systems/examples-of-mechanical-dryers</t>
  </si>
  <si>
    <t>https://web.archive.org/web/20120711162812/http://www.knowledgebank.irri.org:80/rkb/index.php/examples-of-dryers</t>
  </si>
  <si>
    <t>% Dried Fruit Loss due to Inspection</t>
  </si>
  <si>
    <t>Quantity of Marketable Dried Fruit</t>
  </si>
  <si>
    <t>Washing, Peeling, Slicing, Packaging etc. Time</t>
  </si>
  <si>
    <t>Quantity of Fresh Fruit Processed per Batch</t>
  </si>
  <si>
    <t>Annual Rice Drying Capacity per Dryer</t>
  </si>
  <si>
    <t>Annual Fruit Drying Capacity per Dryer</t>
  </si>
  <si>
    <t>Batch Dryer</t>
  </si>
  <si>
    <t>Quantity of Fresh Veg Processed per Batch</t>
  </si>
  <si>
    <t>Annual Veg Drying Capacity per Dryer</t>
  </si>
  <si>
    <t>% Dried Veg Loss due to Inspection</t>
  </si>
  <si>
    <t>Quantity of Marketable Dried Veg</t>
  </si>
  <si>
    <t>Washing, Blanching, Packaging etc. Time</t>
  </si>
  <si>
    <t>% Dried Tea Solid Waste</t>
  </si>
  <si>
    <t>Quantity of Marketable Dried Tea</t>
  </si>
  <si>
    <t>Size of Bathing Lagoon</t>
  </si>
  <si>
    <t>Max # of Bathers per Use</t>
  </si>
  <si>
    <t>Average Lagoon Depth</t>
  </si>
  <si>
    <t>m</t>
  </si>
  <si>
    <t>m2</t>
  </si>
  <si>
    <t>% Dried Pyrethrum Loss due to Inspection</t>
  </si>
  <si>
    <t>Quantity of Marketable Dried Pyrethrum</t>
  </si>
  <si>
    <t>Washing, Grinding, Packaging etc. Time</t>
  </si>
  <si>
    <t>Quantity of Pyrethrum Processed per Batch</t>
  </si>
  <si>
    <t>Source: https://kenyanlife.com/pyrethrum-farming-in-kenya/</t>
  </si>
  <si>
    <t>Source: https://kenyanlife.com/pyrethrum-farming-in-kenya/; https://www.farmbizafrica.com/10-smart-farms/1860-government-gives-sh200m-to-revive-the-pyrethrum-sector. An acre yields 400kg dried, which is 2000kg wet, and an acre costs 35k shillings</t>
  </si>
  <si>
    <t>Grinding machine</t>
  </si>
  <si>
    <t>Spa Useful Life (Yrs)</t>
  </si>
  <si>
    <t>Total # of Visitors per Year</t>
  </si>
  <si>
    <t xml:space="preserve">Marketing Expenses </t>
  </si>
  <si>
    <t>Spa Annual Operating Hours</t>
  </si>
  <si>
    <t>Required Pump Power Demand</t>
  </si>
  <si>
    <t>kW</t>
  </si>
  <si>
    <t>Bathing Time per User</t>
  </si>
  <si>
    <t>Hrs/Bath</t>
  </si>
  <si>
    <t>Max Annual Visitor Capacity</t>
  </si>
  <si>
    <t>Daily Operating Hours</t>
  </si>
  <si>
    <t>No. of Operating Days per Year</t>
  </si>
  <si>
    <t>Lagoon Volume</t>
  </si>
  <si>
    <t>m3</t>
  </si>
  <si>
    <t>Source: Based on info provided by local expert - Sedekias Almaw</t>
  </si>
  <si>
    <t>Tobacco Drying Plant Retrofit</t>
  </si>
  <si>
    <t>% Dried Tobacco Loss due to Inspection</t>
  </si>
  <si>
    <t>Quantity of Marketable Dried Tobacco</t>
  </si>
  <si>
    <t>Required Curing Time</t>
  </si>
  <si>
    <t>Source: Kibiro local expert response</t>
  </si>
  <si>
    <t>Tea Drying Plant Retrofit</t>
  </si>
  <si>
    <t>Quantity of Fresh Tea Processed per Batch</t>
  </si>
  <si>
    <t>Annual Tea Drying Capacity per Dryer</t>
  </si>
  <si>
    <t>Other 10</t>
  </si>
  <si>
    <t>Other 11</t>
  </si>
  <si>
    <t>Required Withering &amp; Drying Time</t>
  </si>
  <si>
    <t>Quantity of Tob Processed per Batch per barn</t>
  </si>
  <si>
    <t>No. of Curing Days per Year</t>
  </si>
  <si>
    <t>No. of Batches per Day per Barn</t>
  </si>
  <si>
    <t>No. of Batches per Year per Barn</t>
  </si>
  <si>
    <t>Annual Tob Drying Capacity per Barn</t>
  </si>
  <si>
    <t>No. of Barns Required</t>
  </si>
  <si>
    <t>Constr. Of Spa</t>
  </si>
  <si>
    <t>Fish Drying</t>
  </si>
  <si>
    <t>Fruit Drying</t>
  </si>
  <si>
    <t>Vegetable Drying</t>
  </si>
  <si>
    <t>Rice Drying</t>
  </si>
  <si>
    <t>Pyrethrum Drying</t>
  </si>
  <si>
    <t>Tea Drying</t>
  </si>
  <si>
    <t>Tobacco Drying</t>
  </si>
  <si>
    <t>Geothermal Spa</t>
  </si>
  <si>
    <t>Milk Processing</t>
  </si>
  <si>
    <t>Spa Labor reqd per shift</t>
  </si>
  <si>
    <t>No. of Spa Labor per Visitor</t>
  </si>
  <si>
    <t>Assumed Total Spa Land Size</t>
  </si>
  <si>
    <t>Spa Building Utility Costs</t>
  </si>
  <si>
    <t>Towel Supply and Laundry Costs</t>
  </si>
  <si>
    <t>US$/Unit</t>
  </si>
  <si>
    <t>Local
Price (per Kg)</t>
  </si>
  <si>
    <t>Export
Price (per Kg)</t>
  </si>
  <si>
    <t>Veg Drying</t>
  </si>
  <si>
    <t>Base Dried Fruit
Production
(kg)</t>
  </si>
  <si>
    <t>Actual Dried Fruit
Production
(kg)</t>
  </si>
  <si>
    <t>Cost of Fresh Veg (incl. Transport)</t>
  </si>
  <si>
    <t>Base Dried Veg
Production
(kg)</t>
  </si>
  <si>
    <t>Actual Dried Veg
Production
(kg)</t>
  </si>
  <si>
    <t>Base Dried Rice
Production
(kg)</t>
  </si>
  <si>
    <t>Actual Dried Rice
Production
(kg)</t>
  </si>
  <si>
    <t>Base Dried Pyrethrum
Production
(kg)</t>
  </si>
  <si>
    <t>Actual Dried Pyrethrum
Production
(kg)</t>
  </si>
  <si>
    <t>Cost of Fresh Pyrethrum (incl. Transport)</t>
  </si>
  <si>
    <t>Spa Operation Period Start</t>
  </si>
  <si>
    <t>Spa Operation Period End</t>
  </si>
  <si>
    <t>Operation
Term</t>
  </si>
  <si>
    <t>Ticket Sales - Local Adults</t>
  </si>
  <si>
    <t>Ticket Sales - Local Children</t>
  </si>
  <si>
    <t>Ticket Sales - Resi Foreign Adults</t>
  </si>
  <si>
    <t>Ticket Sales - Resi Foreign Children</t>
  </si>
  <si>
    <t>Ticket Sales - Non-Resi Foreign Adults</t>
  </si>
  <si>
    <t>Ticket Sales - Non-Resi Foreign Children</t>
  </si>
  <si>
    <t>Avg Price Esc</t>
  </si>
  <si>
    <t>Demand</t>
  </si>
  <si>
    <t>Last Op Per</t>
  </si>
  <si>
    <t>Annual Plant Output Degradation</t>
  </si>
  <si>
    <t>Ticket Price - Local Adults</t>
  </si>
  <si>
    <t>Ticket Price - Local Children</t>
  </si>
  <si>
    <t>Ticket Price - Resi Foreign Adults</t>
  </si>
  <si>
    <t>Ticket Price - Resi Foreign Children</t>
  </si>
  <si>
    <t>Ticket Price - Non-Resi Foreign Adults</t>
  </si>
  <si>
    <t>Ticket Price - Non-Resi Foreign Children</t>
  </si>
  <si>
    <t>Spa Visitors</t>
  </si>
  <si>
    <t>FISH DRYING RESULTS SUMMARY</t>
  </si>
  <si>
    <t>Price of fertilized egg ($/egg)</t>
  </si>
  <si>
    <t>Source: https://olnjoropoultry.co.ke/kuroiler-improved-kienyeji-chicks-and-eggs-prices/</t>
  </si>
  <si>
    <t>#/Yr</t>
  </si>
  <si>
    <t>Required Incubation Time</t>
  </si>
  <si>
    <t>% Eggs not hatched (Losses)</t>
  </si>
  <si>
    <t>Incubator Capacity per Batch</t>
  </si>
  <si>
    <t>No. of Batches per Day per Incubator</t>
  </si>
  <si>
    <t>No. of Batches per Year per Incubator</t>
  </si>
  <si>
    <t>No. of Incubation Days per Year</t>
  </si>
  <si>
    <t>#/Batch</t>
  </si>
  <si>
    <t>Annual Production Capacity per Incubator</t>
  </si>
  <si>
    <t>No. of Incubators</t>
  </si>
  <si>
    <t>Avg Annual Revenue</t>
  </si>
  <si>
    <t>Avg Annual Expenses</t>
  </si>
  <si>
    <t>Avg EBITDA</t>
  </si>
  <si>
    <t>Avg Annual Sales</t>
  </si>
  <si>
    <t>FRUIT DRYING RESULTS SUMMARY</t>
  </si>
  <si>
    <t>VEG DRYING RESULTS SUMMARY</t>
  </si>
  <si>
    <t>RICE DRYING RESULTS SUMMARY</t>
  </si>
  <si>
    <t>PYRETHRUM DRYING RESULTS SUMMARY</t>
  </si>
  <si>
    <t>TEA PROCESSING RESULTS SUMMARY</t>
  </si>
  <si>
    <t>TOBACCO CURING RESULTS SUMMARY</t>
  </si>
  <si>
    <t>GEOTHERMAL SPA RESULTS SUMMARY</t>
  </si>
  <si>
    <t>CHICKEN HATCHERY RESULTS SUMMARY</t>
  </si>
  <si>
    <t>GREENHOUSE HEATING RESULTS SUMMARY</t>
  </si>
  <si>
    <t>MILK PROCESSING RESULTS SUMMARY</t>
  </si>
  <si>
    <t>Avg Annual EBITDA</t>
  </si>
  <si>
    <t>Avg Annual Sales (Kg)</t>
  </si>
  <si>
    <t>Avg Annual Sales (Tickets)</t>
  </si>
  <si>
    <t>Google Data</t>
  </si>
  <si>
    <t>Exchng Rate/US$</t>
  </si>
  <si>
    <t>DATA TABLES</t>
  </si>
  <si>
    <t>OPEX</t>
  </si>
  <si>
    <t>Price</t>
  </si>
  <si>
    <t>Avg Lending Rate</t>
  </si>
  <si>
    <t>https://www.indexmundi.com/djibouti/commercial_bank_prime_lending_rate.html</t>
  </si>
  <si>
    <t>https://www.capitalethiopia.com/featured/cbe-adjusts-loan-interest-rate/</t>
  </si>
  <si>
    <t>Quantity (Kg)</t>
  </si>
  <si>
    <t>Other 12</t>
  </si>
  <si>
    <t>Well Drilling &amp; Pipes</t>
  </si>
  <si>
    <t>https://twitter.com/richardmunang/status/749828284502900736</t>
  </si>
  <si>
    <t># of Visitors</t>
  </si>
  <si>
    <t>TOBACCO CURING ENERGY SYSTEMS COST COMPARISON</t>
  </si>
  <si>
    <t>Diesel</t>
  </si>
  <si>
    <t>Wood</t>
  </si>
  <si>
    <t>Geothermal</t>
  </si>
  <si>
    <t>Total Heating Equipment Costs ($)</t>
  </si>
  <si>
    <t>Output per Batch per Barn (Kg)</t>
  </si>
  <si>
    <t>Annual Output per Barn (Kg)</t>
  </si>
  <si>
    <t>Volume of Cured Tobacco per Year (Kg)</t>
  </si>
  <si>
    <t>Fuel Requirement (Ltr. or m3/Kg)</t>
  </si>
  <si>
    <t>Fuel Costs ($/Ltr. or m3)</t>
  </si>
  <si>
    <t>Annual Op Costs - Fuel ($/Yr)</t>
  </si>
  <si>
    <t>Electricity Requirement (kWh/Kg)</t>
  </si>
  <si>
    <t>Electricity Cost ($/kWh)</t>
  </si>
  <si>
    <t>Annual Op Costs - Electricity ($/Yr)</t>
  </si>
  <si>
    <t>Annual Maintenance Cost (% of CAPEX)</t>
  </si>
  <si>
    <t>Annual Maintenance Cost ($/Yr)</t>
  </si>
  <si>
    <t>Total Annualized Costs ($/Yr)</t>
  </si>
  <si>
    <t>Days/Week</t>
  </si>
  <si>
    <t>Weeks/Yr</t>
  </si>
  <si>
    <t>Plant Op Time</t>
  </si>
  <si>
    <t>Batches/Day/Barn</t>
  </si>
  <si>
    <t>Batch/Day</t>
  </si>
  <si>
    <t>Equity IRR</t>
  </si>
  <si>
    <t>Payback (Yrs)</t>
  </si>
  <si>
    <t>TEA DRYING ENERGY SYSTEMS COST COMPARISON</t>
  </si>
  <si>
    <t>Output per Batch per Dryer (Kg)</t>
  </si>
  <si>
    <t>Annual Output per Dryer (Kg)</t>
  </si>
  <si>
    <t>Volume of Processed Tea per Year (Kg)</t>
  </si>
  <si>
    <t>Fuel Requirement (kWh/Kg)</t>
  </si>
  <si>
    <t>Fuel Costs ($/kWh)</t>
  </si>
  <si>
    <t>% of Total Output</t>
  </si>
  <si>
    <t>Chicken Hatchery Retrofit</t>
  </si>
  <si>
    <t>Greenhouse Retrofit</t>
  </si>
  <si>
    <t>Eggs/Yr</t>
  </si>
  <si>
    <t>Milk Processing Plant Retrofit</t>
  </si>
  <si>
    <t>Ltr/Day</t>
  </si>
  <si>
    <t>Duration of Pasteurization</t>
  </si>
  <si>
    <t>Initial milk temperature</t>
  </si>
  <si>
    <t>Final Process temperature</t>
  </si>
  <si>
    <t>oC</t>
  </si>
  <si>
    <t xml:space="preserve">Heat transfer rate </t>
  </si>
  <si>
    <t>KJ/s</t>
  </si>
  <si>
    <t xml:space="preserve">Annual Milk Pasteurization </t>
  </si>
  <si>
    <t>MJ/Day</t>
  </si>
  <si>
    <t>MJ/Yr</t>
  </si>
  <si>
    <t>Daily Thermal Energy Requirement</t>
  </si>
  <si>
    <t>Annual Thermal Energy Requirement</t>
  </si>
  <si>
    <t>MILK PROCESSING ENERGY SYSTEMS COST COMPARISON</t>
  </si>
  <si>
    <t>Design Life - Heating Equipment (Yrs)</t>
  </si>
  <si>
    <t>Annualized Capital Cost ($/Yr)</t>
  </si>
  <si>
    <t>Thermal Energy Requirement (MJ/Yr)</t>
  </si>
  <si>
    <t>Density of Fuel (Kg/m3)</t>
  </si>
  <si>
    <t>Calorific Value of Fuel (MJ/Kg)</t>
  </si>
  <si>
    <t>Volume of Fuel Required (Ltr. or m3/Yr)</t>
  </si>
  <si>
    <t>Solar Thermal</t>
  </si>
  <si>
    <t>Asal Fiale</t>
  </si>
  <si>
    <t>Thermal Energy Requirement</t>
  </si>
  <si>
    <t>BTU/Chick</t>
  </si>
  <si>
    <t>KJ/Chick</t>
  </si>
  <si>
    <t>Thermal Energy Requirement (per chick)</t>
  </si>
  <si>
    <t>Total Annual Thermal Energy Requirement</t>
  </si>
  <si>
    <t>Days/Batch</t>
  </si>
  <si>
    <t>Total Quantity of Chicks Produced Annually</t>
  </si>
  <si>
    <t>CHICKEN HATCHERIES HEATING SYSTEMS COST COMPARISON</t>
  </si>
  <si>
    <t>Fuel Oil</t>
  </si>
  <si>
    <t>Gas</t>
  </si>
  <si>
    <t>Volume of Fuel Required (Kg/Yr)</t>
  </si>
  <si>
    <t>sqm</t>
  </si>
  <si>
    <t>sqft</t>
  </si>
  <si>
    <t>Greenhouse floor size</t>
  </si>
  <si>
    <t>BTU/hr</t>
  </si>
  <si>
    <t>BTU/hr/sqft</t>
  </si>
  <si>
    <t>Heating Time (Days/Week)</t>
  </si>
  <si>
    <t>Heating Time (Weeks/Yr)</t>
  </si>
  <si>
    <t>Heating Time (Hours/Day)</t>
  </si>
  <si>
    <t>Hrs/Day</t>
  </si>
  <si>
    <t>Hourly Thermal Energy Requirement</t>
  </si>
  <si>
    <t>KJ/hr</t>
  </si>
  <si>
    <t>No. of Heat Exchangers Required</t>
  </si>
  <si>
    <t>Total Annual Costs Savings ($/Yr)</t>
  </si>
  <si>
    <t>Cost Savings ($/Yr)</t>
  </si>
  <si>
    <t>Compared against the fuel being used currently</t>
  </si>
  <si>
    <t>Fuel Costs ($/Kg)</t>
  </si>
  <si>
    <t>GREENHOUSE HEATING SYSTEMS COST COMPARISON</t>
  </si>
  <si>
    <t>LPG</t>
  </si>
  <si>
    <t>Total Annual Costs Savings (%)</t>
  </si>
  <si>
    <t>Cost Savings (%)</t>
  </si>
  <si>
    <t>Electrical Retrofitting</t>
  </si>
  <si>
    <t>Annual Cost Savings</t>
  </si>
  <si>
    <t>Annual Op Costs - Labour ($/Yr)</t>
  </si>
  <si>
    <t>Heating Equipment Costs per Dryer ($)</t>
  </si>
  <si>
    <t>Plant Labor Required per Dryer</t>
  </si>
  <si>
    <t>Total Plant Labor Required</t>
  </si>
  <si>
    <t>Cost of Lost Revenue ($/Yr)</t>
  </si>
  <si>
    <t>Other Costs ($/Yr)</t>
  </si>
  <si>
    <t>Calorific Value of Fuel (MJ/Kg or kwh)</t>
  </si>
  <si>
    <t>Volume of Fuel Required (Kg or kwh/Yr)</t>
  </si>
  <si>
    <t>Electric</t>
  </si>
  <si>
    <t>Assuming labor cost stays the same. Considers only cost savings from fuel costs and maintenance and electricity</t>
  </si>
  <si>
    <t>Product</t>
  </si>
  <si>
    <t>Based on inputs obtained from stakeholder survey</t>
  </si>
  <si>
    <t>Based on inputs obtained from desk research</t>
  </si>
  <si>
    <t>Avg DSCR</t>
  </si>
  <si>
    <t>Min DSCR</t>
  </si>
  <si>
    <t>Greenhouse Useful Life (Yrs)</t>
  </si>
  <si>
    <t>Local Price</t>
  </si>
  <si>
    <t>Export Price</t>
  </si>
  <si>
    <t>Land Acquisition Cost (per sqm)</t>
  </si>
  <si>
    <t>Local Adults</t>
  </si>
  <si>
    <t>Local Children</t>
  </si>
  <si>
    <t>Resi Frg Adults</t>
  </si>
  <si>
    <t>Resi Frg Child.</t>
  </si>
  <si>
    <t>NR Frg Adults</t>
  </si>
  <si>
    <t>NR Frg Child.</t>
  </si>
  <si>
    <t>Geothermal Resource Inputs</t>
  </si>
  <si>
    <t>Volumetric flow rate (m3/s)</t>
  </si>
  <si>
    <t>Density of geothermal water (kg/m3)</t>
  </si>
  <si>
    <t>Specific heat of water (kJ/kgoC)</t>
  </si>
  <si>
    <t>Inlet temperature (oC)</t>
  </si>
  <si>
    <t>Outlet temperature (oC)</t>
  </si>
  <si>
    <t>Temperature difference (oC)</t>
  </si>
  <si>
    <t>Heat emitted from geo hot fluid (kJ/s)</t>
  </si>
  <si>
    <t>Quantity of Heat Required (Fish Drying)</t>
  </si>
  <si>
    <t>Temp of the product being dried (oC)</t>
  </si>
  <si>
    <t>Temp of air from heat exchanger (oC)</t>
  </si>
  <si>
    <t>Average temperature (oC)</t>
  </si>
  <si>
    <t>Latent heat of evaporation (KJ/kg)</t>
  </si>
  <si>
    <t>Quantity of heat (energy) required (kJ/Yr)</t>
  </si>
  <si>
    <t>Quantity of heat (energy) required (kJ/s)</t>
  </si>
  <si>
    <t>Geothermal heat &gt; heat required</t>
  </si>
  <si>
    <t>Quantity of Heat Required (Fruit Drying)</t>
  </si>
  <si>
    <t>Quantity of Heat Required (Vegetable Drying)</t>
  </si>
  <si>
    <t>Quantity of Heat Required (Rice Drying)</t>
  </si>
  <si>
    <t>Quantity of Heat Required (Pyrethrum Drying)</t>
  </si>
  <si>
    <t>Quantity of Heat Required (Tea Drying)</t>
  </si>
  <si>
    <t>Quantity of Heat Required (Tobacco Curing)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</si>
</sst>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6" formatCode="&quot;$&quot;#,##0_);[Red]\(&quot;$&quot;#,##0\)"/>
    <numFmt numFmtId="8" formatCode="&quot;$&quot;#,##0.00_);[Red]\(&quot;$&quot;#,##0.00\)"/>
    <numFmt numFmtId="43" formatCode="_(* #,##0.00_);_(* \(#,##0.00\);_(* &quot;-&quot;??_);_(@_)"/>
    <numFmt numFmtId="164" formatCode="_-&quot;₦&quot;* #,##0.00_-;\-&quot;₦&quot;* #,##0.00_-;_-&quot;₦&quot;* &quot;-&quot;??_-;_-@_-"/>
    <numFmt numFmtId="165" formatCode="_-* #,##0.00_-;\-* #,##0.00_-;_-* &quot;-&quot;??_-;_-@_-"/>
    <numFmt numFmtId="166" formatCode="_(* #,##0_);_(* \(#,##0\);_(* &quot;-&quot;??_);_(@_)"/>
    <numFmt numFmtId="167" formatCode="_(* #,##0.0_);_(* \(#,##0.0\);_(* &quot;-&quot;??_);_(@_)"/>
    <numFmt numFmtId="168" formatCode="_-* #,##0.00_-;* \(#,##0.00\)_-;_-* &quot;-&quot;??_-;_-@_-"/>
    <numFmt numFmtId="169" formatCode="_-* #,##0.00\ &quot;zł&quot;_-;\-* #,##0.00\ &quot;zł&quot;_-;_-* &quot;-&quot;??\ &quot;zł&quot;_-;_-@_-"/>
    <numFmt numFmtId="170" formatCode="_-* #,##0_-;\(#,##0\)_-;_-* &quot;-&quot;_-;_-@_-"/>
    <numFmt numFmtId="171" formatCode="0.00\x"/>
    <numFmt numFmtId="172" formatCode="0.0%"/>
    <numFmt numFmtId="173" formatCode="_(* #,##0_);_(* \(#,##0\);_(* &quot;-&quot;?_);_(@_)"/>
    <numFmt numFmtId="174" formatCode="&quot;$&quot;#,##0"/>
    <numFmt numFmtId="175" formatCode="_-[$$-409]* #,##0.00_ ;_-[$$-409]* \-#,##0.00\ ;_-[$$-409]* &quot;-&quot;??_ ;_-@_ "/>
    <numFmt numFmtId="176" formatCode="_-[$$-409]* #,##0_ ;_-[$$-409]* \-#,##0\ ;_-[$$-409]* &quot;-&quot;??_ ;_-@_ "/>
    <numFmt numFmtId="177" formatCode="_-* #,##0.0_-;\-* #,##0.0_-;_-* &quot;-&quot;?_-;_-@_-"/>
    <numFmt numFmtId="178" formatCode="_(* #,##0.000_);_(* \(#,##0.000\);_(* &quot;-&quot;??_);_(@_)"/>
    <numFmt numFmtId="179" formatCode="0.000"/>
    <numFmt numFmtId="180" formatCode="_(* #,##0.0000_);_(* \(#,##0.0000\);_(* &quot;-&quot;??_);_(@_)"/>
    <numFmt numFmtId="181" formatCode="[$$-409]#,##0.00"/>
    <numFmt numFmtId="182" formatCode="_-* #,##0.0_-;\-* #,##0.0_-;_-* &quot;-&quot;??_-;_-@_-"/>
    <numFmt numFmtId="183" formatCode="_(* #,##0.00_);_(* \(#,##0.00\);_(* &quot;-&quot;??.00_);_(@_)"/>
    <numFmt numFmtId="184" formatCode="[$$-409]#,##0"/>
  </numFmts>
  <fonts count="37" x14ac:knownFonts="1">
    <font>
      <sz val="11"/>
      <color theme="1"/>
      <name val="Calibri"/>
      <family val="2"/>
      <scheme val="minor"/>
    </font>
    <font>
      <sz val="11"/>
      <color theme="1"/>
      <name val="Calibri"/>
      <family val="2"/>
      <scheme val="minor"/>
    </font>
    <font>
      <b/>
      <sz val="11"/>
      <color theme="1"/>
      <name val="Calibri"/>
      <family val="2"/>
      <scheme val="minor"/>
    </font>
    <font>
      <b/>
      <sz val="11"/>
      <color rgb="FF0000FF"/>
      <name val="Calibri"/>
      <family val="2"/>
      <scheme val="minor"/>
    </font>
    <font>
      <sz val="11"/>
      <color rgb="FF0000FF"/>
      <name val="Calibri"/>
      <family val="2"/>
      <scheme val="minor"/>
    </font>
    <font>
      <b/>
      <sz val="11"/>
      <name val="Calibri"/>
      <family val="2"/>
      <scheme val="minor"/>
    </font>
    <font>
      <b/>
      <i/>
      <sz val="11"/>
      <name val="Calibri"/>
      <family val="2"/>
      <scheme val="minor"/>
    </font>
    <font>
      <sz val="10"/>
      <name val="Arial"/>
      <family val="2"/>
    </font>
    <font>
      <b/>
      <sz val="9"/>
      <color indexed="81"/>
      <name val="Tahoma"/>
      <family val="2"/>
    </font>
    <font>
      <sz val="11"/>
      <color theme="0" tint="-0.499984740745262"/>
      <name val="Calibri"/>
      <family val="2"/>
      <scheme val="minor"/>
    </font>
    <font>
      <sz val="11"/>
      <name val="Calibri"/>
      <family val="2"/>
      <scheme val="minor"/>
    </font>
    <font>
      <b/>
      <sz val="11"/>
      <color theme="0" tint="-0.499984740745262"/>
      <name val="Calibri"/>
      <family val="2"/>
      <scheme val="minor"/>
    </font>
    <font>
      <i/>
      <sz val="11"/>
      <color theme="0" tint="-0.34998626667073579"/>
      <name val="Arial"/>
      <family val="2"/>
    </font>
    <font>
      <b/>
      <sz val="11"/>
      <color theme="1"/>
      <name val="Arial"/>
      <family val="2"/>
    </font>
    <font>
      <b/>
      <sz val="10"/>
      <name val="Arial"/>
      <family val="2"/>
    </font>
    <font>
      <sz val="11"/>
      <color theme="1"/>
      <name val="Arial"/>
      <family val="2"/>
    </font>
    <font>
      <b/>
      <sz val="14"/>
      <color rgb="FFED1C24"/>
      <name val="Arial"/>
      <family val="2"/>
    </font>
    <font>
      <u/>
      <sz val="8.8000000000000007"/>
      <color theme="10"/>
      <name val="Calibri"/>
      <family val="2"/>
    </font>
    <font>
      <sz val="11"/>
      <color theme="9" tint="-0.499984740745262"/>
      <name val="Arial"/>
      <family val="2"/>
    </font>
    <font>
      <sz val="11"/>
      <color theme="0"/>
      <name val="Arial"/>
      <family val="2"/>
    </font>
    <font>
      <b/>
      <i/>
      <sz val="11"/>
      <color theme="0" tint="-0.34998626667073579"/>
      <name val="Arial"/>
      <family val="2"/>
    </font>
    <font>
      <i/>
      <sz val="11"/>
      <color theme="1"/>
      <name val="Calibri"/>
      <family val="2"/>
      <scheme val="minor"/>
    </font>
    <font>
      <sz val="11"/>
      <color rgb="FF222222"/>
      <name val="Arial"/>
      <family val="2"/>
    </font>
    <font>
      <u/>
      <sz val="11"/>
      <color theme="10"/>
      <name val="Calibri"/>
      <family val="2"/>
      <scheme val="minor"/>
    </font>
    <font>
      <sz val="12"/>
      <color rgb="FF222222"/>
      <name val="Arial"/>
      <family val="2"/>
    </font>
    <font>
      <sz val="10"/>
      <color rgb="FF26282A"/>
      <name val="Arial"/>
      <family val="2"/>
    </font>
    <font>
      <sz val="11"/>
      <color theme="1"/>
      <name val="Times New Roman"/>
      <family val="1"/>
    </font>
    <font>
      <sz val="11"/>
      <color theme="0" tint="-0.34998626667073579"/>
      <name val="Calibri"/>
      <family val="2"/>
      <scheme val="minor"/>
    </font>
    <font>
      <sz val="11"/>
      <color theme="1"/>
      <name val="Calibri"/>
      <family val="2"/>
    </font>
    <font>
      <b/>
      <sz val="11"/>
      <color rgb="FF000000"/>
      <name val="Calibri"/>
      <family val="2"/>
    </font>
    <font>
      <sz val="11"/>
      <name val="Calibri"/>
      <family val="2"/>
    </font>
    <font>
      <sz val="11"/>
      <color rgb="FF0000FF"/>
      <name val="Calibri"/>
      <family val="2"/>
    </font>
    <font>
      <b/>
      <sz val="11"/>
      <name val="Calibri"/>
      <family val="2"/>
    </font>
    <font>
      <sz val="10"/>
      <color rgb="FF000000"/>
      <name val="Arial"/>
      <family val="2"/>
    </font>
    <font>
      <sz val="11"/>
      <color theme="0" tint="-0.249977111117893"/>
      <name val="Calibri"/>
      <family val="2"/>
      <scheme val="minor"/>
    </font>
    <font>
      <b/>
      <sz val="11"/>
      <color theme="0" tint="-0.14999847407452621"/>
      <name val="Calibri"/>
      <family val="2"/>
      <scheme val="minor"/>
    </font>
    <font>
      <sz val="11"/>
      <color theme="0" tint="-0.14999847407452621"/>
      <name val="Calibri"/>
      <family val="2"/>
      <scheme val="minor"/>
    </font>
  </fonts>
  <fills count="15">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theme="6"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0" tint="-0.499984740745262"/>
        <bgColor indexed="64"/>
      </patternFill>
    </fill>
    <fill>
      <patternFill patternType="solid">
        <fgColor theme="8" tint="0.59999389629810485"/>
        <bgColor indexed="64"/>
      </patternFill>
    </fill>
    <fill>
      <patternFill patternType="solid">
        <fgColor rgb="FF92D050"/>
        <bgColor indexed="64"/>
      </patternFill>
    </fill>
    <fill>
      <patternFill patternType="solid">
        <fgColor theme="4" tint="0.79998168889431442"/>
        <bgColor indexed="65"/>
      </patternFill>
    </fill>
    <fill>
      <patternFill patternType="solid">
        <fgColor rgb="FF5B9BD5"/>
        <bgColor rgb="FF000000"/>
      </patternFill>
    </fill>
    <fill>
      <patternFill patternType="solid">
        <fgColor rgb="FFBFBFBF"/>
        <bgColor rgb="FF000000"/>
      </patternFill>
    </fill>
    <fill>
      <patternFill patternType="solid">
        <fgColor rgb="FFBDD7EE"/>
        <bgColor rgb="FF000000"/>
      </patternFill>
    </fill>
    <fill>
      <patternFill patternType="solid">
        <fgColor rgb="FFBFBFBF"/>
        <bgColor rgb="FFBFBFBF"/>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top style="thin">
        <color indexed="64"/>
      </top>
      <bottom style="thin">
        <color indexed="64"/>
      </bottom>
      <diagonal/>
    </border>
    <border>
      <left/>
      <right/>
      <top style="thin">
        <color auto="1"/>
      </top>
      <bottom style="double">
        <color auto="1"/>
      </bottom>
      <diagonal/>
    </border>
    <border>
      <left style="thin">
        <color theme="9" tint="-0.499984740745262"/>
      </left>
      <right style="thin">
        <color theme="9" tint="-0.499984740745262"/>
      </right>
      <top style="thin">
        <color theme="9" tint="-0.499984740745262"/>
      </top>
      <bottom style="thin">
        <color theme="9" tint="-0.499984740745262"/>
      </bottom>
      <diagonal/>
    </border>
    <border>
      <left style="thin">
        <color indexed="64"/>
      </left>
      <right style="thin">
        <color indexed="64"/>
      </right>
      <top style="thin">
        <color indexed="64"/>
      </top>
      <bottom style="double">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s>
  <cellStyleXfs count="18">
    <xf numFmtId="0" fontId="0" fillId="0" borderId="0"/>
    <xf numFmtId="43" fontId="1" fillId="0" borderId="0" applyFont="0" applyFill="0" applyBorder="0" applyAlignment="0" applyProtection="0"/>
    <xf numFmtId="9" fontId="1" fillId="0" borderId="0" applyFont="0" applyFill="0" applyBorder="0" applyAlignment="0" applyProtection="0"/>
    <xf numFmtId="43" fontId="7" fillId="0" borderId="0" applyFont="0" applyFill="0" applyBorder="0" applyAlignment="0" applyProtection="0"/>
    <xf numFmtId="0" fontId="7" fillId="0" borderId="0"/>
    <xf numFmtId="0" fontId="12" fillId="0" borderId="0" applyNumberFormat="0"/>
    <xf numFmtId="0" fontId="13" fillId="0" borderId="0" applyNumberFormat="0" applyBorder="0"/>
    <xf numFmtId="0" fontId="15" fillId="0" borderId="16" applyNumberFormat="0" applyFont="0" applyFill="0" applyAlignment="0"/>
    <xf numFmtId="169" fontId="7" fillId="0" borderId="0" applyFont="0" applyFill="0" applyBorder="0" applyAlignment="0" applyProtection="0"/>
    <xf numFmtId="0" fontId="16" fillId="0" borderId="0" applyNumberFormat="0" applyProtection="0"/>
    <xf numFmtId="0" fontId="17" fillId="0" borderId="0" applyNumberFormat="0" applyFill="0" applyBorder="0" applyAlignment="0" applyProtection="0">
      <alignment vertical="top"/>
      <protection locked="0"/>
    </xf>
    <xf numFmtId="170" fontId="15" fillId="0" borderId="0" applyFont="0" applyFill="0" applyBorder="0" applyAlignment="0" applyProtection="0"/>
    <xf numFmtId="0" fontId="18" fillId="6" borderId="17" applyNumberFormat="0"/>
    <xf numFmtId="9" fontId="7" fillId="0" borderId="0" applyFont="0" applyFill="0" applyBorder="0" applyAlignment="0" applyProtection="0"/>
    <xf numFmtId="0" fontId="19" fillId="7" borderId="1" applyNumberFormat="0">
      <alignment horizontal="center"/>
    </xf>
    <xf numFmtId="164" fontId="1" fillId="0" borderId="0" applyFont="0" applyFill="0" applyBorder="0" applyAlignment="0" applyProtection="0"/>
    <xf numFmtId="0" fontId="23" fillId="0" borderId="0" applyNumberFormat="0" applyFill="0" applyBorder="0" applyAlignment="0" applyProtection="0"/>
    <xf numFmtId="0" fontId="1" fillId="10" borderId="0" applyNumberFormat="0" applyBorder="0" applyAlignment="0" applyProtection="0"/>
  </cellStyleXfs>
  <cellXfs count="802">
    <xf numFmtId="0" fontId="0" fillId="0" borderId="0" xfId="0"/>
    <xf numFmtId="0" fontId="2" fillId="0" borderId="1" xfId="0" applyFont="1" applyBorder="1" applyAlignment="1">
      <alignment horizontal="center"/>
    </xf>
    <xf numFmtId="0" fontId="2" fillId="2" borderId="1" xfId="0" applyFont="1" applyFill="1" applyBorder="1" applyAlignment="1">
      <alignment horizontal="center"/>
    </xf>
    <xf numFmtId="0" fontId="3" fillId="3" borderId="1" xfId="0" applyFont="1" applyFill="1" applyBorder="1" applyAlignment="1">
      <alignment horizontal="center"/>
    </xf>
    <xf numFmtId="0" fontId="3" fillId="4" borderId="1" xfId="0" applyFont="1" applyFill="1" applyBorder="1" applyAlignment="1">
      <alignment horizontal="center"/>
    </xf>
    <xf numFmtId="0" fontId="2" fillId="0" borderId="3" xfId="0" applyFont="1" applyBorder="1" applyAlignment="1">
      <alignment horizontal="center"/>
    </xf>
    <xf numFmtId="166" fontId="4" fillId="3" borderId="5" xfId="1" applyNumberFormat="1" applyFont="1" applyFill="1" applyBorder="1"/>
    <xf numFmtId="0" fontId="4" fillId="4" borderId="6" xfId="0" applyFont="1" applyFill="1" applyBorder="1"/>
    <xf numFmtId="166" fontId="4" fillId="3" borderId="7" xfId="1" applyNumberFormat="1" applyFont="1" applyFill="1" applyBorder="1"/>
    <xf numFmtId="0" fontId="2" fillId="0" borderId="1" xfId="0" applyFont="1" applyBorder="1"/>
    <xf numFmtId="166" fontId="2" fillId="0" borderId="1" xfId="1" applyNumberFormat="1" applyFont="1" applyBorder="1"/>
    <xf numFmtId="0" fontId="6" fillId="0" borderId="4" xfId="0" applyNumberFormat="1" applyFont="1" applyFill="1" applyBorder="1" applyAlignment="1">
      <alignment horizontal="center"/>
    </xf>
    <xf numFmtId="0" fontId="2" fillId="2" borderId="3" xfId="0" applyFont="1" applyFill="1" applyBorder="1" applyAlignment="1">
      <alignment horizontal="center"/>
    </xf>
    <xf numFmtId="43" fontId="4" fillId="3" borderId="4" xfId="3" applyNumberFormat="1" applyFont="1" applyFill="1" applyBorder="1"/>
    <xf numFmtId="43" fontId="4" fillId="3" borderId="7" xfId="3" applyNumberFormat="1" applyFont="1" applyFill="1" applyBorder="1"/>
    <xf numFmtId="0" fontId="3" fillId="4" borderId="13" xfId="0" applyFont="1" applyFill="1" applyBorder="1"/>
    <xf numFmtId="0" fontId="2" fillId="0" borderId="2" xfId="0" applyFont="1" applyFill="1" applyBorder="1"/>
    <xf numFmtId="0" fontId="0" fillId="0" borderId="15" xfId="0" applyFont="1" applyBorder="1"/>
    <xf numFmtId="9" fontId="4" fillId="3" borderId="8" xfId="3" applyNumberFormat="1" applyFont="1" applyFill="1" applyBorder="1"/>
    <xf numFmtId="0" fontId="2" fillId="0" borderId="2" xfId="0" applyFont="1" applyBorder="1"/>
    <xf numFmtId="0" fontId="2" fillId="0" borderId="5" xfId="0" applyFont="1" applyBorder="1"/>
    <xf numFmtId="0" fontId="0" fillId="0" borderId="0" xfId="0" applyFont="1"/>
    <xf numFmtId="0" fontId="3" fillId="4" borderId="2" xfId="0" applyFont="1" applyFill="1" applyBorder="1"/>
    <xf numFmtId="0" fontId="4" fillId="4" borderId="3" xfId="0" applyFont="1" applyFill="1" applyBorder="1"/>
    <xf numFmtId="0" fontId="4" fillId="4" borderId="9" xfId="0" applyFont="1" applyFill="1" applyBorder="1"/>
    <xf numFmtId="0" fontId="3" fillId="3" borderId="1" xfId="0" applyFont="1" applyFill="1" applyBorder="1"/>
    <xf numFmtId="0" fontId="0" fillId="0" borderId="3" xfId="0" applyFont="1" applyBorder="1"/>
    <xf numFmtId="0" fontId="0" fillId="0" borderId="6" xfId="0" applyFont="1" applyBorder="1"/>
    <xf numFmtId="0" fontId="4" fillId="3" borderId="6" xfId="0" applyFont="1" applyFill="1" applyBorder="1" applyAlignment="1">
      <alignment horizontal="left"/>
    </xf>
    <xf numFmtId="0" fontId="4" fillId="3" borderId="7" xfId="0" applyFont="1" applyFill="1" applyBorder="1" applyAlignment="1">
      <alignment horizontal="left"/>
    </xf>
    <xf numFmtId="0" fontId="0" fillId="0" borderId="8" xfId="0" applyFont="1" applyBorder="1"/>
    <xf numFmtId="0" fontId="4" fillId="3" borderId="8" xfId="0" applyFont="1" applyFill="1" applyBorder="1" applyAlignment="1">
      <alignment horizontal="left"/>
    </xf>
    <xf numFmtId="0" fontId="4" fillId="3" borderId="9" xfId="0" applyFont="1" applyFill="1" applyBorder="1" applyAlignment="1">
      <alignment horizontal="left"/>
    </xf>
    <xf numFmtId="0" fontId="2" fillId="0" borderId="0" xfId="0" applyFont="1" applyAlignment="1">
      <alignment wrapText="1"/>
    </xf>
    <xf numFmtId="166" fontId="2" fillId="0" borderId="2" xfId="1" applyNumberFormat="1" applyFont="1" applyBorder="1" applyAlignment="1">
      <alignment horizontal="center"/>
    </xf>
    <xf numFmtId="166" fontId="2" fillId="0" borderId="3" xfId="1" applyNumberFormat="1" applyFont="1" applyBorder="1" applyAlignment="1">
      <alignment wrapText="1"/>
    </xf>
    <xf numFmtId="166" fontId="2" fillId="0" borderId="2" xfId="1" applyNumberFormat="1" applyFont="1" applyBorder="1" applyAlignment="1">
      <alignment horizontal="center" wrapText="1"/>
    </xf>
    <xf numFmtId="166" fontId="2" fillId="0" borderId="15" xfId="1" applyNumberFormat="1" applyFont="1" applyBorder="1" applyAlignment="1">
      <alignment horizontal="center" wrapText="1"/>
    </xf>
    <xf numFmtId="166" fontId="2" fillId="0" borderId="3" xfId="1" applyNumberFormat="1" applyFont="1" applyBorder="1" applyAlignment="1">
      <alignment horizontal="center"/>
    </xf>
    <xf numFmtId="0" fontId="2" fillId="0" borderId="10" xfId="0" applyFont="1" applyFill="1" applyBorder="1" applyAlignment="1">
      <alignment wrapText="1"/>
    </xf>
    <xf numFmtId="0" fontId="2" fillId="0" borderId="5" xfId="0" applyFont="1" applyFill="1" applyBorder="1" applyAlignment="1">
      <alignment wrapText="1"/>
    </xf>
    <xf numFmtId="0" fontId="2" fillId="0" borderId="15" xfId="0" applyFont="1" applyFill="1" applyBorder="1" applyAlignment="1">
      <alignment wrapText="1"/>
    </xf>
    <xf numFmtId="0" fontId="2" fillId="0" borderId="12" xfId="0" applyFont="1" applyFill="1" applyBorder="1" applyAlignment="1">
      <alignment wrapText="1"/>
    </xf>
    <xf numFmtId="0" fontId="2" fillId="0" borderId="0" xfId="0" applyFont="1" applyFill="1" applyBorder="1" applyAlignment="1">
      <alignment wrapText="1"/>
    </xf>
    <xf numFmtId="0" fontId="2" fillId="0" borderId="7" xfId="0" applyFont="1" applyFill="1" applyBorder="1" applyAlignment="1">
      <alignment wrapText="1"/>
    </xf>
    <xf numFmtId="0" fontId="2" fillId="0" borderId="0" xfId="0" applyFont="1" applyFill="1" applyAlignment="1">
      <alignment wrapText="1"/>
    </xf>
    <xf numFmtId="0" fontId="2" fillId="0" borderId="0" xfId="0" applyFont="1" applyFill="1"/>
    <xf numFmtId="9" fontId="4" fillId="3" borderId="7" xfId="3" applyNumberFormat="1" applyFont="1" applyFill="1" applyBorder="1"/>
    <xf numFmtId="9" fontId="4" fillId="3" borderId="6" xfId="3" applyNumberFormat="1" applyFont="1" applyFill="1" applyBorder="1"/>
    <xf numFmtId="0" fontId="2" fillId="0" borderId="13" xfId="0" applyFont="1" applyFill="1" applyBorder="1"/>
    <xf numFmtId="43" fontId="2" fillId="0" borderId="3" xfId="1" applyFont="1" applyBorder="1" applyAlignment="1">
      <alignment horizontal="center"/>
    </xf>
    <xf numFmtId="166" fontId="2" fillId="0" borderId="5" xfId="1" applyNumberFormat="1" applyFont="1" applyBorder="1" applyAlignment="1">
      <alignment horizontal="center"/>
    </xf>
    <xf numFmtId="166" fontId="4" fillId="3" borderId="8" xfId="3" applyNumberFormat="1" applyFont="1" applyFill="1" applyBorder="1"/>
    <xf numFmtId="0" fontId="5" fillId="0" borderId="2" xfId="4" applyFont="1" applyBorder="1"/>
    <xf numFmtId="166" fontId="10" fillId="0" borderId="8" xfId="4" applyNumberFormat="1" applyFont="1" applyBorder="1"/>
    <xf numFmtId="166" fontId="4" fillId="3" borderId="1" xfId="3" applyNumberFormat="1" applyFont="1" applyFill="1" applyBorder="1"/>
    <xf numFmtId="0" fontId="2" fillId="0" borderId="4" xfId="0" applyFont="1" applyFill="1" applyBorder="1"/>
    <xf numFmtId="0" fontId="2" fillId="0" borderId="6" xfId="0" applyFont="1" applyBorder="1"/>
    <xf numFmtId="0" fontId="0" fillId="0" borderId="10" xfId="0" applyBorder="1"/>
    <xf numFmtId="0" fontId="0" fillId="0" borderId="12" xfId="0" applyBorder="1"/>
    <xf numFmtId="0" fontId="0" fillId="0" borderId="13" xfId="0" applyFill="1" applyBorder="1"/>
    <xf numFmtId="0" fontId="0" fillId="0" borderId="12" xfId="0" applyFill="1" applyBorder="1"/>
    <xf numFmtId="0" fontId="2" fillId="0" borderId="12" xfId="0" applyFont="1" applyBorder="1"/>
    <xf numFmtId="0" fontId="0" fillId="0" borderId="15" xfId="0" applyBorder="1"/>
    <xf numFmtId="0" fontId="0" fillId="0" borderId="2" xfId="0" applyBorder="1"/>
    <xf numFmtId="0" fontId="0" fillId="0" borderId="10" xfId="0" applyFill="1" applyBorder="1"/>
    <xf numFmtId="0" fontId="0" fillId="0" borderId="11" xfId="0" applyBorder="1"/>
    <xf numFmtId="166" fontId="10" fillId="0" borderId="4" xfId="1" applyNumberFormat="1" applyFont="1" applyFill="1" applyBorder="1"/>
    <xf numFmtId="0" fontId="0" fillId="0" borderId="0" xfId="0" applyBorder="1"/>
    <xf numFmtId="166" fontId="10" fillId="0" borderId="6" xfId="1" applyNumberFormat="1" applyFont="1" applyFill="1" applyBorder="1"/>
    <xf numFmtId="166" fontId="10" fillId="0" borderId="8" xfId="1" applyNumberFormat="1" applyFont="1" applyFill="1" applyBorder="1"/>
    <xf numFmtId="0" fontId="2" fillId="0" borderId="2" xfId="0" applyFont="1" applyBorder="1" applyAlignment="1">
      <alignment horizontal="center"/>
    </xf>
    <xf numFmtId="0" fontId="2" fillId="0" borderId="3" xfId="0" applyFont="1" applyBorder="1" applyAlignment="1">
      <alignment horizontal="center"/>
    </xf>
    <xf numFmtId="0" fontId="11" fillId="5" borderId="13" xfId="1" applyNumberFormat="1" applyFont="1" applyFill="1" applyBorder="1" applyAlignment="1">
      <alignment horizontal="center"/>
    </xf>
    <xf numFmtId="0" fontId="9" fillId="5" borderId="9" xfId="1" applyNumberFormat="1" applyFont="1" applyFill="1" applyBorder="1" applyAlignment="1">
      <alignment wrapText="1"/>
    </xf>
    <xf numFmtId="166" fontId="0" fillId="0" borderId="0" xfId="1" applyNumberFormat="1" applyFont="1"/>
    <xf numFmtId="10" fontId="0" fillId="0" borderId="0" xfId="2" applyNumberFormat="1" applyFont="1"/>
    <xf numFmtId="9" fontId="0" fillId="0" borderId="0" xfId="2" applyFont="1"/>
    <xf numFmtId="43" fontId="0" fillId="0" borderId="0" xfId="1" applyNumberFormat="1" applyFont="1" applyFill="1"/>
    <xf numFmtId="166" fontId="0" fillId="0" borderId="0" xfId="1" applyNumberFormat="1" applyFont="1" applyFill="1"/>
    <xf numFmtId="43" fontId="0" fillId="0" borderId="0" xfId="1" applyFont="1" applyFill="1"/>
    <xf numFmtId="9" fontId="0" fillId="0" borderId="0" xfId="2" applyFont="1" applyFill="1"/>
    <xf numFmtId="166" fontId="2" fillId="0" borderId="2" xfId="1" applyNumberFormat="1" applyFont="1" applyFill="1" applyBorder="1"/>
    <xf numFmtId="166" fontId="0" fillId="0" borderId="15" xfId="1" applyNumberFormat="1" applyFont="1" applyFill="1" applyBorder="1"/>
    <xf numFmtId="166" fontId="0" fillId="0" borderId="3" xfId="1" applyNumberFormat="1" applyFont="1" applyFill="1" applyBorder="1"/>
    <xf numFmtId="166" fontId="2" fillId="0" borderId="3" xfId="1" applyNumberFormat="1" applyFont="1" applyFill="1" applyBorder="1"/>
    <xf numFmtId="166" fontId="0" fillId="0" borderId="0" xfId="1" applyNumberFormat="1" applyFont="1" applyFill="1" applyBorder="1"/>
    <xf numFmtId="166" fontId="0" fillId="0" borderId="0" xfId="1" applyNumberFormat="1" applyFont="1" applyAlignment="1">
      <alignment horizontal="center" vertical="center" wrapText="1"/>
    </xf>
    <xf numFmtId="0" fontId="5" fillId="0" borderId="4" xfId="0" applyFont="1" applyFill="1" applyBorder="1" applyAlignment="1">
      <alignment horizontal="center" vertical="center" wrapText="1"/>
    </xf>
    <xf numFmtId="10" fontId="0" fillId="0" borderId="0" xfId="2" applyNumberFormat="1" applyFont="1" applyAlignment="1">
      <alignment horizontal="center" vertical="center" wrapText="1"/>
    </xf>
    <xf numFmtId="9" fontId="2" fillId="0" borderId="1" xfId="2" applyFont="1" applyBorder="1" applyAlignment="1">
      <alignment horizontal="center" vertical="center" wrapText="1"/>
    </xf>
    <xf numFmtId="166" fontId="0" fillId="0" borderId="0" xfId="1" applyNumberFormat="1" applyFont="1" applyFill="1" applyAlignment="1">
      <alignment horizontal="center" vertical="center" wrapText="1"/>
    </xf>
    <xf numFmtId="43" fontId="0" fillId="0" borderId="0" xfId="1" applyFont="1" applyFill="1" applyAlignment="1">
      <alignment horizontal="center" vertical="center" wrapText="1"/>
    </xf>
    <xf numFmtId="166" fontId="2" fillId="0" borderId="0" xfId="1" applyNumberFormat="1" applyFont="1" applyFill="1" applyBorder="1" applyAlignment="1">
      <alignment horizontal="center" vertical="center" wrapText="1"/>
    </xf>
    <xf numFmtId="166" fontId="5" fillId="0" borderId="0" xfId="1" applyNumberFormat="1" applyFont="1" applyFill="1" applyBorder="1" applyAlignment="1">
      <alignment horizontal="center" vertical="center" wrapText="1"/>
    </xf>
    <xf numFmtId="43" fontId="5" fillId="0" borderId="0" xfId="1" applyNumberFormat="1" applyFont="1" applyFill="1" applyBorder="1" applyAlignment="1">
      <alignment horizontal="center" vertical="center" wrapText="1"/>
    </xf>
    <xf numFmtId="166" fontId="0" fillId="0" borderId="0" xfId="1" applyNumberFormat="1" applyFont="1" applyFill="1" applyBorder="1" applyAlignment="1">
      <alignment horizontal="center" vertical="center" wrapText="1"/>
    </xf>
    <xf numFmtId="166" fontId="2" fillId="0" borderId="1" xfId="1" applyNumberFormat="1" applyFont="1" applyFill="1" applyBorder="1" applyAlignment="1">
      <alignment horizontal="center" vertical="center" wrapText="1"/>
    </xf>
    <xf numFmtId="166" fontId="2" fillId="0" borderId="8" xfId="1" applyNumberFormat="1" applyFont="1" applyFill="1" applyBorder="1" applyAlignment="1">
      <alignment horizontal="center" vertical="center" wrapText="1"/>
    </xf>
    <xf numFmtId="0" fontId="5" fillId="0" borderId="1" xfId="0" applyFont="1" applyFill="1" applyBorder="1" applyAlignment="1">
      <alignment horizontal="center"/>
    </xf>
    <xf numFmtId="9" fontId="2" fillId="0" borderId="1" xfId="2" applyFont="1" applyFill="1" applyBorder="1" applyAlignment="1">
      <alignment horizontal="center"/>
    </xf>
    <xf numFmtId="43" fontId="2" fillId="0" borderId="1" xfId="1" applyFont="1" applyFill="1" applyBorder="1" applyAlignment="1">
      <alignment horizontal="center"/>
    </xf>
    <xf numFmtId="166" fontId="2" fillId="0" borderId="0" xfId="1" applyNumberFormat="1" applyFont="1" applyFill="1" applyBorder="1" applyAlignment="1">
      <alignment horizontal="right" wrapText="1"/>
    </xf>
    <xf numFmtId="10" fontId="2" fillId="0" borderId="1" xfId="2" applyNumberFormat="1" applyFont="1" applyFill="1" applyBorder="1" applyAlignment="1">
      <alignment horizontal="center"/>
    </xf>
    <xf numFmtId="8" fontId="2" fillId="0" borderId="1" xfId="1" applyNumberFormat="1" applyFont="1" applyFill="1" applyBorder="1" applyAlignment="1">
      <alignment horizontal="center"/>
    </xf>
    <xf numFmtId="166" fontId="2" fillId="0" borderId="1" xfId="1" applyNumberFormat="1" applyFont="1" applyFill="1" applyBorder="1" applyAlignment="1">
      <alignment horizontal="center"/>
    </xf>
    <xf numFmtId="43" fontId="2" fillId="0" borderId="1" xfId="1" applyNumberFormat="1" applyFont="1" applyFill="1" applyBorder="1" applyAlignment="1">
      <alignment horizontal="center"/>
    </xf>
    <xf numFmtId="0" fontId="0" fillId="0" borderId="0" xfId="0" applyFill="1"/>
    <xf numFmtId="10" fontId="2" fillId="0" borderId="0" xfId="2" applyNumberFormat="1" applyFont="1" applyFill="1" applyBorder="1" applyAlignment="1">
      <alignment horizontal="right" wrapText="1"/>
    </xf>
    <xf numFmtId="166" fontId="7" fillId="0" borderId="0" xfId="1" applyNumberFormat="1" applyFont="1" applyAlignment="1">
      <alignment wrapText="1"/>
    </xf>
    <xf numFmtId="43" fontId="7" fillId="0" borderId="0" xfId="1" applyNumberFormat="1" applyFont="1" applyFill="1" applyAlignment="1">
      <alignment wrapText="1"/>
    </xf>
    <xf numFmtId="166" fontId="7" fillId="0" borderId="0" xfId="1" applyNumberFormat="1" applyFont="1" applyFill="1" applyAlignment="1">
      <alignment wrapText="1"/>
    </xf>
    <xf numFmtId="43" fontId="7" fillId="0" borderId="0" xfId="1" applyFont="1" applyFill="1" applyAlignment="1">
      <alignment wrapText="1"/>
    </xf>
    <xf numFmtId="166" fontId="2" fillId="0" borderId="0" xfId="1" applyNumberFormat="1" applyFont="1" applyFill="1"/>
    <xf numFmtId="43" fontId="2" fillId="0" borderId="0" xfId="1" applyFont="1" applyFill="1"/>
    <xf numFmtId="166" fontId="2" fillId="0" borderId="15" xfId="1" applyNumberFormat="1" applyFont="1" applyFill="1" applyBorder="1" applyAlignment="1"/>
    <xf numFmtId="166" fontId="0" fillId="0" borderId="15" xfId="1" applyNumberFormat="1" applyFont="1" applyFill="1" applyBorder="1" applyAlignment="1"/>
    <xf numFmtId="166" fontId="2" fillId="0" borderId="2" xfId="1" applyNumberFormat="1" applyFont="1" applyFill="1" applyBorder="1" applyAlignment="1"/>
    <xf numFmtId="166" fontId="2" fillId="0" borderId="3" xfId="1" applyNumberFormat="1" applyFont="1" applyFill="1" applyBorder="1" applyAlignment="1"/>
    <xf numFmtId="43" fontId="2" fillId="0" borderId="4" xfId="1" applyNumberFormat="1" applyFont="1" applyFill="1" applyBorder="1" applyAlignment="1">
      <alignment horizontal="center"/>
    </xf>
    <xf numFmtId="166" fontId="2" fillId="0" borderId="4" xfId="1" applyNumberFormat="1" applyFont="1" applyFill="1" applyBorder="1" applyAlignment="1">
      <alignment horizontal="center"/>
    </xf>
    <xf numFmtId="166" fontId="2" fillId="0" borderId="10" xfId="1" applyNumberFormat="1" applyFont="1" applyFill="1" applyBorder="1"/>
    <xf numFmtId="166" fontId="0" fillId="0" borderId="11" xfId="1" applyNumberFormat="1" applyFont="1" applyFill="1" applyBorder="1"/>
    <xf numFmtId="9" fontId="0" fillId="0" borderId="5" xfId="2" applyFont="1" applyFill="1" applyBorder="1"/>
    <xf numFmtId="0" fontId="13" fillId="0" borderId="2" xfId="6" applyFill="1" applyBorder="1" applyAlignment="1">
      <alignment horizontal="left" indent="1"/>
    </xf>
    <xf numFmtId="166" fontId="2" fillId="0" borderId="2" xfId="1" applyNumberFormat="1" applyFont="1" applyFill="1" applyBorder="1" applyAlignment="1">
      <alignment horizontal="center"/>
    </xf>
    <xf numFmtId="166" fontId="2" fillId="0" borderId="15" xfId="1" applyNumberFormat="1" applyFont="1" applyFill="1" applyBorder="1" applyAlignment="1">
      <alignment horizontal="center"/>
    </xf>
    <xf numFmtId="166" fontId="2" fillId="0" borderId="3" xfId="1" applyNumberFormat="1" applyFont="1" applyFill="1" applyBorder="1" applyAlignment="1">
      <alignment horizontal="center"/>
    </xf>
    <xf numFmtId="166" fontId="2" fillId="0" borderId="15" xfId="1" applyNumberFormat="1" applyFont="1" applyFill="1" applyBorder="1" applyAlignment="1">
      <alignment horizontal="left"/>
    </xf>
    <xf numFmtId="43" fontId="2" fillId="0" borderId="10" xfId="1" applyFont="1" applyFill="1" applyBorder="1" applyAlignment="1">
      <alignment horizontal="left" indent="1"/>
    </xf>
    <xf numFmtId="166" fontId="2" fillId="0" borderId="10" xfId="1" applyNumberFormat="1" applyFont="1" applyFill="1" applyBorder="1" applyAlignment="1">
      <alignment horizontal="center"/>
    </xf>
    <xf numFmtId="43" fontId="0" fillId="0" borderId="11" xfId="1" applyFont="1" applyFill="1" applyBorder="1"/>
    <xf numFmtId="166" fontId="0" fillId="0" borderId="5" xfId="1" applyNumberFormat="1" applyFont="1" applyFill="1" applyBorder="1"/>
    <xf numFmtId="166" fontId="2" fillId="0" borderId="15" xfId="1" applyNumberFormat="1" applyFont="1" applyFill="1" applyBorder="1"/>
    <xf numFmtId="166" fontId="5" fillId="0" borderId="15" xfId="1" applyNumberFormat="1" applyFont="1" applyFill="1" applyBorder="1" applyAlignment="1">
      <alignment horizontal="center"/>
    </xf>
    <xf numFmtId="166" fontId="2" fillId="0" borderId="0" xfId="1" applyNumberFormat="1" applyFont="1" applyFill="1" applyBorder="1" applyAlignment="1">
      <alignment horizontal="center" wrapText="1"/>
    </xf>
    <xf numFmtId="166" fontId="0" fillId="0" borderId="0" xfId="1" applyNumberFormat="1" applyFont="1" applyAlignment="1">
      <alignment horizontal="center"/>
    </xf>
    <xf numFmtId="166" fontId="2" fillId="0" borderId="15" xfId="1" applyNumberFormat="1" applyFont="1" applyBorder="1" applyAlignment="1">
      <alignment wrapText="1"/>
    </xf>
    <xf numFmtId="166" fontId="2" fillId="0" borderId="3" xfId="1" applyNumberFormat="1" applyFont="1" applyBorder="1" applyAlignment="1">
      <alignment horizontal="center" wrapText="1"/>
    </xf>
    <xf numFmtId="166" fontId="5" fillId="0" borderId="1" xfId="1" applyNumberFormat="1" applyFont="1" applyFill="1" applyBorder="1" applyAlignment="1">
      <alignment horizontal="right" wrapText="1"/>
    </xf>
    <xf numFmtId="10" fontId="5" fillId="0" borderId="15" xfId="2" applyNumberFormat="1" applyFont="1" applyFill="1" applyBorder="1" applyAlignment="1">
      <alignment horizontal="right" wrapText="1"/>
    </xf>
    <xf numFmtId="166" fontId="2" fillId="0" borderId="15" xfId="1" applyNumberFormat="1" applyFont="1" applyFill="1" applyBorder="1" applyAlignment="1">
      <alignment horizontal="right" wrapText="1"/>
    </xf>
    <xf numFmtId="166" fontId="2" fillId="0" borderId="2" xfId="1" applyNumberFormat="1" applyFont="1" applyFill="1" applyBorder="1" applyAlignment="1">
      <alignment horizontal="right" wrapText="1"/>
    </xf>
    <xf numFmtId="43" fontId="2" fillId="0" borderId="3" xfId="1" applyFont="1" applyFill="1" applyBorder="1" applyAlignment="1">
      <alignment horizontal="right" wrapText="1"/>
    </xf>
    <xf numFmtId="166" fontId="2" fillId="0" borderId="3" xfId="1" applyNumberFormat="1" applyFont="1" applyFill="1" applyBorder="1" applyAlignment="1">
      <alignment horizontal="right" wrapText="1"/>
    </xf>
    <xf numFmtId="166" fontId="2" fillId="0" borderId="15" xfId="1" applyNumberFormat="1" applyFont="1" applyFill="1" applyBorder="1" applyAlignment="1">
      <alignment wrapText="1"/>
    </xf>
    <xf numFmtId="43" fontId="5" fillId="0" borderId="1" xfId="1" applyNumberFormat="1" applyFont="1" applyFill="1" applyBorder="1" applyAlignment="1">
      <alignment horizontal="right" wrapText="1"/>
    </xf>
    <xf numFmtId="166" fontId="2" fillId="0" borderId="1" xfId="1" applyNumberFormat="1" applyFont="1" applyFill="1" applyBorder="1" applyAlignment="1">
      <alignment horizontal="right" wrapText="1"/>
    </xf>
    <xf numFmtId="166" fontId="14" fillId="0" borderId="2" xfId="1" applyNumberFormat="1" applyFont="1" applyFill="1" applyBorder="1" applyAlignment="1">
      <alignment wrapText="1"/>
    </xf>
    <xf numFmtId="9" fontId="14" fillId="0" borderId="3" xfId="2" applyFont="1" applyFill="1" applyBorder="1" applyAlignment="1">
      <alignment wrapText="1"/>
    </xf>
    <xf numFmtId="166" fontId="0" fillId="0" borderId="15" xfId="1" applyNumberFormat="1" applyFont="1" applyFill="1" applyBorder="1" applyAlignment="1">
      <alignment wrapText="1"/>
    </xf>
    <xf numFmtId="0" fontId="2" fillId="0" borderId="2" xfId="0" applyFont="1" applyFill="1" applyBorder="1" applyAlignment="1">
      <alignment horizontal="left" wrapText="1" indent="1"/>
    </xf>
    <xf numFmtId="0" fontId="2" fillId="0" borderId="15" xfId="0" applyFont="1" applyFill="1" applyBorder="1" applyAlignment="1">
      <alignment horizontal="left" wrapText="1" indent="1"/>
    </xf>
    <xf numFmtId="0" fontId="2" fillId="0" borderId="12" xfId="0" applyFont="1" applyFill="1" applyBorder="1" applyAlignment="1">
      <alignment horizontal="left" wrapText="1" indent="1"/>
    </xf>
    <xf numFmtId="0" fontId="2" fillId="0" borderId="0" xfId="0" applyFont="1" applyFill="1" applyBorder="1" applyAlignment="1">
      <alignment horizontal="left" wrapText="1" indent="1"/>
    </xf>
    <xf numFmtId="0" fontId="2" fillId="0" borderId="7" xfId="0" applyFont="1" applyFill="1" applyBorder="1" applyAlignment="1">
      <alignment horizontal="left" wrapText="1" indent="1"/>
    </xf>
    <xf numFmtId="0" fontId="2" fillId="0" borderId="4" xfId="0" applyFont="1" applyFill="1" applyBorder="1" applyAlignment="1">
      <alignment horizontal="left" wrapText="1" indent="1"/>
    </xf>
    <xf numFmtId="0" fontId="2" fillId="0" borderId="2" xfId="0" applyFont="1" applyBorder="1" applyAlignment="1">
      <alignment wrapText="1"/>
    </xf>
    <xf numFmtId="0" fontId="2" fillId="0" borderId="15" xfId="0" applyFont="1" applyBorder="1" applyAlignment="1">
      <alignment wrapText="1"/>
    </xf>
    <xf numFmtId="43" fontId="2" fillId="0" borderId="15" xfId="1" applyFont="1" applyFill="1" applyBorder="1" applyAlignment="1">
      <alignment horizontal="left" wrapText="1"/>
    </xf>
    <xf numFmtId="0" fontId="2" fillId="0" borderId="3" xfId="0" applyFont="1" applyFill="1" applyBorder="1" applyAlignment="1">
      <alignment horizontal="left" wrapText="1"/>
    </xf>
    <xf numFmtId="0" fontId="2" fillId="0" borderId="15" xfId="0" applyFont="1" applyFill="1" applyBorder="1" applyAlignment="1">
      <alignment horizontal="left" wrapText="1"/>
    </xf>
    <xf numFmtId="166" fontId="0" fillId="0" borderId="0" xfId="1" applyNumberFormat="1" applyFont="1" applyFill="1" applyAlignment="1">
      <alignment wrapText="1"/>
    </xf>
    <xf numFmtId="166" fontId="0" fillId="0" borderId="0" xfId="1" applyNumberFormat="1" applyFont="1" applyAlignment="1">
      <alignment wrapText="1"/>
    </xf>
    <xf numFmtId="166" fontId="2" fillId="0" borderId="0" xfId="1" applyNumberFormat="1" applyFont="1" applyAlignment="1">
      <alignment horizontal="right" wrapText="1"/>
    </xf>
    <xf numFmtId="166" fontId="2" fillId="0" borderId="10" xfId="1" applyNumberFormat="1" applyFont="1" applyBorder="1" applyAlignment="1">
      <alignment horizontal="center"/>
    </xf>
    <xf numFmtId="166" fontId="2" fillId="0" borderId="5" xfId="1" applyNumberFormat="1" applyFont="1" applyBorder="1" applyAlignment="1">
      <alignment wrapText="1"/>
    </xf>
    <xf numFmtId="166" fontId="2" fillId="0" borderId="12" xfId="1" applyNumberFormat="1" applyFont="1" applyBorder="1" applyAlignment="1">
      <alignment horizontal="center" wrapText="1"/>
    </xf>
    <xf numFmtId="166" fontId="2" fillId="0" borderId="0" xfId="1" applyNumberFormat="1" applyFont="1" applyBorder="1" applyAlignment="1">
      <alignment horizontal="center" wrapText="1"/>
    </xf>
    <xf numFmtId="166" fontId="2" fillId="0" borderId="7" xfId="1" applyNumberFormat="1" applyFont="1" applyBorder="1" applyAlignment="1">
      <alignment horizontal="center"/>
    </xf>
    <xf numFmtId="166" fontId="2" fillId="0" borderId="7" xfId="1" applyNumberFormat="1" applyFont="1" applyBorder="1" applyAlignment="1">
      <alignment horizontal="center" wrapText="1"/>
    </xf>
    <xf numFmtId="166" fontId="5" fillId="0" borderId="4" xfId="1" applyNumberFormat="1" applyFont="1" applyFill="1" applyBorder="1" applyAlignment="1">
      <alignment horizontal="right" wrapText="1"/>
    </xf>
    <xf numFmtId="166" fontId="2" fillId="0" borderId="0" xfId="1" applyNumberFormat="1" applyFont="1" applyBorder="1" applyAlignment="1">
      <alignment horizontal="right" wrapText="1"/>
    </xf>
    <xf numFmtId="10" fontId="5" fillId="0" borderId="0" xfId="2" applyNumberFormat="1" applyFont="1" applyFill="1" applyBorder="1" applyAlignment="1">
      <alignment horizontal="right" wrapText="1"/>
    </xf>
    <xf numFmtId="43" fontId="2" fillId="0" borderId="12" xfId="1" applyNumberFormat="1" applyFont="1" applyFill="1" applyBorder="1" applyAlignment="1">
      <alignment horizontal="right" wrapText="1"/>
    </xf>
    <xf numFmtId="166" fontId="2" fillId="0" borderId="7" xfId="1" applyNumberFormat="1" applyFont="1" applyFill="1" applyBorder="1" applyAlignment="1">
      <alignment horizontal="right" wrapText="1"/>
    </xf>
    <xf numFmtId="166" fontId="2" fillId="0" borderId="12" xfId="1" applyNumberFormat="1" applyFont="1" applyFill="1" applyBorder="1" applyAlignment="1">
      <alignment horizontal="right" wrapText="1"/>
    </xf>
    <xf numFmtId="43" fontId="2" fillId="0" borderId="7" xfId="1" applyNumberFormat="1" applyFont="1" applyFill="1" applyBorder="1" applyAlignment="1">
      <alignment horizontal="right" wrapText="1"/>
    </xf>
    <xf numFmtId="166" fontId="2" fillId="0" borderId="6" xfId="1" applyNumberFormat="1" applyFont="1" applyFill="1" applyBorder="1" applyAlignment="1">
      <alignment horizontal="right" wrapText="1"/>
    </xf>
    <xf numFmtId="9" fontId="14" fillId="0" borderId="7" xfId="2" applyFont="1" applyFill="1" applyBorder="1" applyAlignment="1">
      <alignment wrapText="1"/>
    </xf>
    <xf numFmtId="166" fontId="2" fillId="0" borderId="10" xfId="1" applyNumberFormat="1" applyFont="1" applyFill="1" applyBorder="1" applyAlignment="1">
      <alignment horizontal="right" wrapText="1"/>
    </xf>
    <xf numFmtId="166" fontId="2" fillId="0" borderId="11" xfId="1" applyNumberFormat="1" applyFont="1" applyFill="1" applyBorder="1" applyAlignment="1">
      <alignment horizontal="right" wrapText="1"/>
    </xf>
    <xf numFmtId="166" fontId="2" fillId="0" borderId="5" xfId="1" applyNumberFormat="1" applyFont="1" applyFill="1" applyBorder="1" applyAlignment="1">
      <alignment horizontal="right" wrapText="1"/>
    </xf>
    <xf numFmtId="166" fontId="2" fillId="0" borderId="4" xfId="1" applyNumberFormat="1" applyFont="1" applyFill="1" applyBorder="1" applyAlignment="1">
      <alignment horizontal="right" wrapText="1"/>
    </xf>
    <xf numFmtId="166" fontId="0" fillId="0" borderId="10" xfId="1" applyNumberFormat="1" applyFont="1" applyFill="1" applyBorder="1" applyAlignment="1">
      <alignment wrapText="1"/>
    </xf>
    <xf numFmtId="166" fontId="0" fillId="0" borderId="11" xfId="1" applyNumberFormat="1" applyFont="1" applyFill="1" applyBorder="1" applyAlignment="1">
      <alignment wrapText="1"/>
    </xf>
    <xf numFmtId="166" fontId="2" fillId="0" borderId="12" xfId="1" applyNumberFormat="1" applyFont="1" applyBorder="1" applyAlignment="1">
      <alignment horizontal="center"/>
    </xf>
    <xf numFmtId="0" fontId="9" fillId="0" borderId="7" xfId="1" applyNumberFormat="1" applyFont="1" applyFill="1" applyBorder="1" applyAlignment="1">
      <alignment wrapText="1"/>
    </xf>
    <xf numFmtId="14" fontId="9" fillId="5" borderId="0" xfId="1" applyNumberFormat="1" applyFont="1" applyFill="1" applyBorder="1" applyAlignment="1">
      <alignment horizontal="center"/>
    </xf>
    <xf numFmtId="14" fontId="9" fillId="5" borderId="7" xfId="1" applyNumberFormat="1" applyFont="1" applyFill="1" applyBorder="1" applyAlignment="1">
      <alignment horizontal="center"/>
    </xf>
    <xf numFmtId="166" fontId="5" fillId="0" borderId="6" xfId="1" applyNumberFormat="1" applyFont="1" applyFill="1" applyBorder="1" applyAlignment="1">
      <alignment horizontal="right" wrapText="1"/>
    </xf>
    <xf numFmtId="9" fontId="5" fillId="0" borderId="0" xfId="2" applyFont="1" applyFill="1" applyBorder="1" applyAlignment="1">
      <alignment horizontal="right" wrapText="1"/>
    </xf>
    <xf numFmtId="166" fontId="0" fillId="0" borderId="12" xfId="1" applyNumberFormat="1" applyFont="1" applyFill="1" applyBorder="1" applyAlignment="1">
      <alignment wrapText="1"/>
    </xf>
    <xf numFmtId="166" fontId="0" fillId="0" borderId="0" xfId="1" applyNumberFormat="1" applyFont="1" applyFill="1" applyBorder="1" applyAlignment="1">
      <alignment wrapText="1"/>
    </xf>
    <xf numFmtId="166" fontId="0" fillId="0" borderId="7" xfId="1" applyNumberFormat="1" applyFont="1" applyFill="1" applyBorder="1" applyAlignment="1">
      <alignment wrapText="1"/>
    </xf>
    <xf numFmtId="166" fontId="0" fillId="0" borderId="6" xfId="1" applyNumberFormat="1" applyFont="1" applyFill="1" applyBorder="1" applyAlignment="1">
      <alignment wrapText="1"/>
    </xf>
    <xf numFmtId="166" fontId="0" fillId="0" borderId="12" xfId="1" applyNumberFormat="1" applyFont="1" applyFill="1" applyBorder="1"/>
    <xf numFmtId="166" fontId="0" fillId="0" borderId="6" xfId="1" applyNumberFormat="1" applyFont="1" applyFill="1" applyBorder="1"/>
    <xf numFmtId="166" fontId="0" fillId="0" borderId="0" xfId="0" applyNumberFormat="1" applyFill="1" applyBorder="1" applyAlignment="1">
      <alignment horizontal="left" wrapText="1" indent="1"/>
    </xf>
    <xf numFmtId="43" fontId="0" fillId="0" borderId="0" xfId="1" applyNumberFormat="1" applyFont="1" applyFill="1" applyBorder="1"/>
    <xf numFmtId="166" fontId="0" fillId="0" borderId="7" xfId="1" applyNumberFormat="1" applyFont="1" applyFill="1" applyBorder="1"/>
    <xf numFmtId="43" fontId="0" fillId="0" borderId="0" xfId="1" applyFont="1" applyFill="1" applyBorder="1" applyAlignment="1">
      <alignment horizontal="left" wrapText="1"/>
    </xf>
    <xf numFmtId="43" fontId="0" fillId="0" borderId="0" xfId="1" applyFont="1" applyFill="1" applyBorder="1"/>
    <xf numFmtId="0" fontId="0" fillId="0" borderId="7" xfId="0" applyFill="1" applyBorder="1" applyAlignment="1">
      <alignment horizontal="left" wrapText="1"/>
    </xf>
    <xf numFmtId="166" fontId="0" fillId="0" borderId="0" xfId="1" applyNumberFormat="1" applyFont="1" applyBorder="1" applyAlignment="1">
      <alignment wrapText="1"/>
    </xf>
    <xf numFmtId="14" fontId="9" fillId="5" borderId="12" xfId="1" applyNumberFormat="1" applyFont="1" applyFill="1" applyBorder="1" applyAlignment="1">
      <alignment horizontal="center"/>
    </xf>
    <xf numFmtId="14" fontId="9" fillId="5" borderId="7" xfId="1" applyNumberFormat="1" applyFont="1" applyFill="1" applyBorder="1" applyAlignment="1">
      <alignment wrapText="1"/>
    </xf>
    <xf numFmtId="43" fontId="2" fillId="0" borderId="7" xfId="1" applyFont="1" applyFill="1" applyBorder="1" applyAlignment="1">
      <alignment horizontal="right" wrapText="1"/>
    </xf>
    <xf numFmtId="43" fontId="5" fillId="0" borderId="6" xfId="1" applyNumberFormat="1" applyFont="1" applyFill="1" applyBorder="1" applyAlignment="1">
      <alignment horizontal="right" wrapText="1"/>
    </xf>
    <xf numFmtId="166" fontId="14" fillId="0" borderId="12" xfId="1" applyNumberFormat="1" applyFont="1" applyFill="1" applyBorder="1" applyAlignment="1">
      <alignment wrapText="1"/>
    </xf>
    <xf numFmtId="166" fontId="9" fillId="5" borderId="6" xfId="1" applyNumberFormat="1" applyFont="1" applyFill="1" applyBorder="1"/>
    <xf numFmtId="166" fontId="9" fillId="5" borderId="7" xfId="1" applyNumberFormat="1" applyFont="1" applyFill="1" applyBorder="1"/>
    <xf numFmtId="166" fontId="9" fillId="0" borderId="12" xfId="1" applyNumberFormat="1" applyFont="1" applyFill="1" applyBorder="1"/>
    <xf numFmtId="166" fontId="0" fillId="3" borderId="0" xfId="1" applyNumberFormat="1" applyFont="1" applyFill="1" applyBorder="1"/>
    <xf numFmtId="166" fontId="1" fillId="0" borderId="7" xfId="1" applyNumberFormat="1" applyFont="1" applyFill="1" applyBorder="1" applyAlignment="1">
      <alignment horizontal="right" wrapText="1"/>
    </xf>
    <xf numFmtId="166" fontId="0" fillId="0" borderId="13" xfId="1" applyNumberFormat="1" applyFont="1" applyFill="1" applyBorder="1" applyAlignment="1">
      <alignment wrapText="1"/>
    </xf>
    <xf numFmtId="166" fontId="10" fillId="0" borderId="11" xfId="1" applyNumberFormat="1" applyFont="1" applyFill="1" applyBorder="1" applyAlignment="1">
      <alignment horizontal="right" wrapText="1"/>
    </xf>
    <xf numFmtId="43" fontId="0" fillId="0" borderId="5" xfId="1" applyFont="1" applyFill="1" applyBorder="1"/>
    <xf numFmtId="166" fontId="0" fillId="0" borderId="10" xfId="1" applyNumberFormat="1" applyFont="1" applyFill="1" applyBorder="1"/>
    <xf numFmtId="9" fontId="0" fillId="0" borderId="11" xfId="2" applyFont="1" applyFill="1" applyBorder="1"/>
    <xf numFmtId="166" fontId="1" fillId="0" borderId="4" xfId="1" applyNumberFormat="1" applyFont="1" applyFill="1" applyBorder="1" applyAlignment="1">
      <alignment horizontal="right" wrapText="1"/>
    </xf>
    <xf numFmtId="43" fontId="0" fillId="0" borderId="4" xfId="1" applyNumberFormat="1" applyFont="1" applyFill="1" applyBorder="1"/>
    <xf numFmtId="166" fontId="1" fillId="0" borderId="5" xfId="1" applyNumberFormat="1" applyFont="1" applyFill="1" applyBorder="1" applyAlignment="1">
      <alignment horizontal="right" wrapText="1"/>
    </xf>
    <xf numFmtId="166" fontId="0" fillId="0" borderId="12" xfId="1" applyNumberFormat="1" applyFont="1" applyBorder="1" applyAlignment="1">
      <alignment wrapText="1"/>
    </xf>
    <xf numFmtId="166" fontId="10" fillId="0" borderId="0" xfId="1" applyNumberFormat="1" applyFont="1" applyFill="1" applyBorder="1" applyAlignment="1">
      <alignment horizontal="right" wrapText="1"/>
    </xf>
    <xf numFmtId="9" fontId="0" fillId="0" borderId="0" xfId="2" applyFont="1" applyFill="1" applyBorder="1"/>
    <xf numFmtId="9" fontId="0" fillId="0" borderId="7" xfId="2" applyFont="1" applyFill="1" applyBorder="1"/>
    <xf numFmtId="166" fontId="0" fillId="0" borderId="0" xfId="1" applyNumberFormat="1" applyFont="1" applyBorder="1"/>
    <xf numFmtId="166" fontId="0" fillId="0" borderId="0" xfId="1" applyNumberFormat="1" applyFont="1" applyFill="1" applyBorder="1" applyAlignment="1">
      <alignment horizontal="center"/>
    </xf>
    <xf numFmtId="166" fontId="0" fillId="0" borderId="7" xfId="1" applyNumberFormat="1" applyFont="1" applyFill="1" applyBorder="1" applyAlignment="1">
      <alignment horizontal="center"/>
    </xf>
    <xf numFmtId="166" fontId="10" fillId="0" borderId="14" xfId="1" applyNumberFormat="1" applyFont="1" applyFill="1" applyBorder="1" applyAlignment="1">
      <alignment horizontal="right" wrapText="1"/>
    </xf>
    <xf numFmtId="166" fontId="0" fillId="0" borderId="9" xfId="1" applyNumberFormat="1" applyFont="1" applyFill="1" applyBorder="1"/>
    <xf numFmtId="166" fontId="0" fillId="0" borderId="14" xfId="1" applyNumberFormat="1" applyFont="1" applyFill="1" applyBorder="1"/>
    <xf numFmtId="166" fontId="0" fillId="0" borderId="13" xfId="1" applyNumberFormat="1" applyFont="1" applyFill="1" applyBorder="1"/>
    <xf numFmtId="9" fontId="0" fillId="0" borderId="14" xfId="2" applyFont="1" applyFill="1" applyBorder="1"/>
    <xf numFmtId="9" fontId="0" fillId="0" borderId="9" xfId="2" applyFont="1" applyFill="1" applyBorder="1"/>
    <xf numFmtId="166" fontId="1" fillId="0" borderId="9" xfId="1" applyNumberFormat="1" applyFont="1" applyFill="1" applyBorder="1" applyAlignment="1">
      <alignment horizontal="right" wrapText="1"/>
    </xf>
    <xf numFmtId="10" fontId="0" fillId="0" borderId="0" xfId="2" applyNumberFormat="1" applyFont="1" applyBorder="1"/>
    <xf numFmtId="9" fontId="0" fillId="0" borderId="0" xfId="2" applyFont="1" applyBorder="1"/>
    <xf numFmtId="0" fontId="0" fillId="0" borderId="0" xfId="0" applyFill="1" applyBorder="1"/>
    <xf numFmtId="0" fontId="0" fillId="0" borderId="0" xfId="0" applyFill="1" applyBorder="1" applyAlignment="1">
      <alignment horizontal="left" indent="1"/>
    </xf>
    <xf numFmtId="168" fontId="0" fillId="0" borderId="0" xfId="0" applyNumberFormat="1" applyFill="1" applyBorder="1"/>
    <xf numFmtId="166" fontId="1" fillId="0" borderId="0" xfId="1" applyNumberFormat="1" applyFont="1"/>
    <xf numFmtId="166" fontId="1" fillId="0" borderId="0" xfId="1" applyNumberFormat="1" applyFont="1" applyAlignment="1">
      <alignment horizontal="center"/>
    </xf>
    <xf numFmtId="0" fontId="1" fillId="0" borderId="0" xfId="0" applyFont="1"/>
    <xf numFmtId="0" fontId="2" fillId="0" borderId="10" xfId="6" applyFont="1" applyFill="1" applyBorder="1" applyAlignment="1">
      <alignment horizontal="center"/>
    </xf>
    <xf numFmtId="0" fontId="2" fillId="0" borderId="2" xfId="6" applyFont="1" applyFill="1" applyBorder="1"/>
    <xf numFmtId="0" fontId="1" fillId="0" borderId="15" xfId="0" applyFont="1" applyFill="1" applyBorder="1"/>
    <xf numFmtId="0" fontId="1" fillId="0" borderId="3" xfId="0" applyFont="1" applyFill="1" applyBorder="1"/>
    <xf numFmtId="0" fontId="1" fillId="0" borderId="0" xfId="0" applyFont="1" applyFill="1"/>
    <xf numFmtId="166" fontId="2" fillId="0" borderId="7" xfId="1" applyNumberFormat="1" applyFont="1" applyBorder="1" applyAlignment="1">
      <alignment wrapText="1"/>
    </xf>
    <xf numFmtId="0" fontId="20" fillId="0" borderId="10" xfId="5" applyFont="1" applyBorder="1"/>
    <xf numFmtId="0" fontId="20" fillId="0" borderId="5" xfId="5" applyFont="1" applyBorder="1"/>
    <xf numFmtId="0" fontId="20" fillId="0" borderId="0" xfId="5" applyFont="1" applyFill="1" applyBorder="1"/>
    <xf numFmtId="168" fontId="2" fillId="0" borderId="10" xfId="0" applyNumberFormat="1" applyFont="1" applyFill="1" applyBorder="1"/>
    <xf numFmtId="168" fontId="2" fillId="0" borderId="11" xfId="0" applyNumberFormat="1" applyFont="1" applyFill="1" applyBorder="1"/>
    <xf numFmtId="168" fontId="2" fillId="0" borderId="5" xfId="0" applyNumberFormat="1" applyFont="1" applyFill="1" applyBorder="1"/>
    <xf numFmtId="0" fontId="2" fillId="0" borderId="0" xfId="0" applyFont="1"/>
    <xf numFmtId="166" fontId="2" fillId="0" borderId="0" xfId="1" applyNumberFormat="1" applyFont="1" applyBorder="1" applyAlignment="1">
      <alignment horizontal="center"/>
    </xf>
    <xf numFmtId="0" fontId="12" fillId="0" borderId="12" xfId="5" applyBorder="1"/>
    <xf numFmtId="0" fontId="12" fillId="0" borderId="7" xfId="5" applyBorder="1"/>
    <xf numFmtId="0" fontId="11" fillId="5" borderId="12" xfId="1" applyNumberFormat="1" applyFont="1" applyFill="1" applyBorder="1" applyAlignment="1">
      <alignment horizontal="center"/>
    </xf>
    <xf numFmtId="0" fontId="9" fillId="5" borderId="7" xfId="1" applyNumberFormat="1" applyFont="1" applyFill="1" applyBorder="1" applyAlignment="1">
      <alignment wrapText="1"/>
    </xf>
    <xf numFmtId="14" fontId="9" fillId="5" borderId="0" xfId="1" applyNumberFormat="1" applyFont="1" applyFill="1" applyBorder="1" applyAlignment="1">
      <alignment wrapText="1"/>
    </xf>
    <xf numFmtId="170" fontId="0" fillId="0" borderId="12" xfId="0" applyNumberFormat="1" applyBorder="1"/>
    <xf numFmtId="10" fontId="0" fillId="0" borderId="0" xfId="0" applyNumberFormat="1" applyFill="1" applyBorder="1"/>
    <xf numFmtId="168" fontId="0" fillId="0" borderId="13" xfId="0" applyNumberFormat="1" applyFill="1" applyBorder="1"/>
    <xf numFmtId="168" fontId="0" fillId="0" borderId="14" xfId="0" applyNumberFormat="1" applyFill="1" applyBorder="1"/>
    <xf numFmtId="168" fontId="0" fillId="0" borderId="7" xfId="0" applyNumberFormat="1" applyFill="1" applyBorder="1"/>
    <xf numFmtId="168" fontId="0" fillId="0" borderId="0" xfId="0" applyNumberFormat="1" applyFill="1"/>
    <xf numFmtId="168" fontId="0" fillId="0" borderId="9" xfId="0" applyNumberFormat="1" applyFill="1" applyBorder="1"/>
    <xf numFmtId="0" fontId="0" fillId="0" borderId="0" xfId="0" applyAlignment="1">
      <alignment horizontal="center"/>
    </xf>
    <xf numFmtId="165" fontId="0" fillId="0" borderId="0" xfId="0" applyNumberFormat="1" applyFill="1"/>
    <xf numFmtId="171" fontId="0" fillId="0" borderId="0" xfId="0" applyNumberFormat="1" applyFill="1"/>
    <xf numFmtId="170" fontId="0" fillId="0" borderId="0" xfId="0" applyNumberFormat="1" applyFill="1"/>
    <xf numFmtId="0" fontId="0" fillId="0" borderId="7" xfId="0" applyFill="1" applyBorder="1"/>
    <xf numFmtId="0" fontId="0" fillId="0" borderId="3" xfId="0" applyBorder="1"/>
    <xf numFmtId="0" fontId="2" fillId="0" borderId="10" xfId="0" applyFont="1" applyBorder="1"/>
    <xf numFmtId="0" fontId="0" fillId="0" borderId="5" xfId="0" applyBorder="1"/>
    <xf numFmtId="43" fontId="2" fillId="0" borderId="0" xfId="1" applyFont="1" applyBorder="1" applyAlignment="1">
      <alignment horizontal="center"/>
    </xf>
    <xf numFmtId="166" fontId="2" fillId="0" borderId="0" xfId="1" applyNumberFormat="1" applyFont="1" applyAlignment="1">
      <alignment horizontal="center"/>
    </xf>
    <xf numFmtId="166" fontId="2" fillId="0" borderId="6" xfId="1" applyNumberFormat="1" applyFont="1" applyBorder="1" applyAlignment="1">
      <alignment horizontal="center"/>
    </xf>
    <xf numFmtId="0" fontId="9" fillId="5" borderId="4" xfId="0" applyFont="1" applyFill="1" applyBorder="1" applyAlignment="1">
      <alignment horizontal="center"/>
    </xf>
    <xf numFmtId="0" fontId="0" fillId="0" borderId="9" xfId="0" applyBorder="1"/>
    <xf numFmtId="0" fontId="0" fillId="0" borderId="7" xfId="0" applyBorder="1"/>
    <xf numFmtId="6" fontId="2" fillId="0" borderId="1" xfId="0" applyNumberFormat="1" applyFont="1" applyBorder="1" applyAlignment="1">
      <alignment horizontal="center"/>
    </xf>
    <xf numFmtId="173" fontId="0" fillId="0" borderId="4" xfId="0" applyNumberFormat="1" applyBorder="1"/>
    <xf numFmtId="0" fontId="2" fillId="0" borderId="13" xfId="0" applyFont="1" applyBorder="1"/>
    <xf numFmtId="166" fontId="0" fillId="0" borderId="1" xfId="1" applyNumberFormat="1" applyFont="1" applyBorder="1"/>
    <xf numFmtId="10" fontId="0" fillId="0" borderId="1" xfId="0" applyNumberFormat="1" applyFont="1" applyBorder="1"/>
    <xf numFmtId="166" fontId="9" fillId="5" borderId="0" xfId="1" applyNumberFormat="1" applyFont="1" applyFill="1" applyBorder="1"/>
    <xf numFmtId="0" fontId="2" fillId="0" borderId="4" xfId="0" applyFont="1" applyFill="1" applyBorder="1" applyAlignment="1">
      <alignment horizontal="center"/>
    </xf>
    <xf numFmtId="0" fontId="2" fillId="0" borderId="1" xfId="0" applyFont="1" applyFill="1" applyBorder="1" applyAlignment="1">
      <alignment horizontal="center"/>
    </xf>
    <xf numFmtId="0" fontId="4" fillId="3" borderId="4" xfId="0" applyFont="1" applyFill="1" applyBorder="1" applyAlignment="1">
      <alignment horizontal="left"/>
    </xf>
    <xf numFmtId="167" fontId="4" fillId="3" borderId="10" xfId="1" applyNumberFormat="1" applyFont="1" applyFill="1" applyBorder="1"/>
    <xf numFmtId="172" fontId="10" fillId="0" borderId="6" xfId="3" applyNumberFormat="1" applyFont="1" applyFill="1" applyBorder="1"/>
    <xf numFmtId="167" fontId="4" fillId="3" borderId="12" xfId="1" applyNumberFormat="1" applyFont="1" applyFill="1" applyBorder="1"/>
    <xf numFmtId="167" fontId="4" fillId="3" borderId="13" xfId="1" applyNumberFormat="1" applyFont="1" applyFill="1" applyBorder="1"/>
    <xf numFmtId="172" fontId="10" fillId="0" borderId="8" xfId="3" applyNumberFormat="1" applyFont="1" applyFill="1" applyBorder="1"/>
    <xf numFmtId="0" fontId="0" fillId="0" borderId="4" xfId="0" applyFont="1" applyBorder="1"/>
    <xf numFmtId="0" fontId="4" fillId="3" borderId="5" xfId="0" applyFont="1" applyFill="1" applyBorder="1" applyAlignment="1">
      <alignment horizontal="left"/>
    </xf>
    <xf numFmtId="170" fontId="0" fillId="5" borderId="7" xfId="0" applyNumberFormat="1" applyFill="1" applyBorder="1"/>
    <xf numFmtId="172" fontId="4" fillId="3" borderId="4" xfId="2" applyNumberFormat="1" applyFont="1" applyFill="1" applyBorder="1" applyAlignment="1">
      <alignment horizontal="right"/>
    </xf>
    <xf numFmtId="0" fontId="0" fillId="0" borderId="4" xfId="0" applyFont="1" applyBorder="1" applyAlignment="1">
      <alignment horizontal="right"/>
    </xf>
    <xf numFmtId="0" fontId="0" fillId="0" borderId="1" xfId="0" applyFont="1" applyBorder="1" applyAlignment="1">
      <alignment horizontal="right"/>
    </xf>
    <xf numFmtId="43" fontId="4" fillId="3" borderId="6" xfId="3" applyNumberFormat="1" applyFont="1" applyFill="1" applyBorder="1" applyAlignment="1">
      <alignment horizontal="center"/>
    </xf>
    <xf numFmtId="43" fontId="4" fillId="3" borderId="4" xfId="3" applyNumberFormat="1" applyFont="1" applyFill="1" applyBorder="1" applyAlignment="1">
      <alignment horizontal="center"/>
    </xf>
    <xf numFmtId="166" fontId="4" fillId="3" borderId="6" xfId="1" applyNumberFormat="1" applyFont="1" applyFill="1" applyBorder="1"/>
    <xf numFmtId="43" fontId="4" fillId="3" borderId="5" xfId="3" applyNumberFormat="1" applyFont="1" applyFill="1" applyBorder="1"/>
    <xf numFmtId="9" fontId="4" fillId="3" borderId="9" xfId="3" applyNumberFormat="1" applyFont="1" applyFill="1" applyBorder="1"/>
    <xf numFmtId="0" fontId="4" fillId="4" borderId="12" xfId="0" applyFont="1" applyFill="1" applyBorder="1"/>
    <xf numFmtId="0" fontId="21" fillId="0" borderId="1" xfId="0" applyFont="1" applyBorder="1" applyAlignment="1">
      <alignment horizontal="center"/>
    </xf>
    <xf numFmtId="166" fontId="4" fillId="3" borderId="4" xfId="1" applyNumberFormat="1" applyFont="1" applyFill="1" applyBorder="1"/>
    <xf numFmtId="167" fontId="4" fillId="3" borderId="6" xfId="1" applyNumberFormat="1" applyFont="1" applyFill="1" applyBorder="1"/>
    <xf numFmtId="43" fontId="0" fillId="0" borderId="1" xfId="0" applyNumberFormat="1" applyBorder="1"/>
    <xf numFmtId="9" fontId="4" fillId="3" borderId="1" xfId="0" applyNumberFormat="1" applyFont="1" applyFill="1" applyBorder="1" applyAlignment="1"/>
    <xf numFmtId="43" fontId="4" fillId="3" borderId="8" xfId="3" applyNumberFormat="1" applyFont="1" applyFill="1" applyBorder="1" applyAlignment="1">
      <alignment horizontal="center"/>
    </xf>
    <xf numFmtId="14" fontId="4" fillId="3" borderId="1" xfId="0" applyNumberFormat="1" applyFont="1" applyFill="1" applyBorder="1" applyAlignment="1">
      <alignment horizontal="center"/>
    </xf>
    <xf numFmtId="166" fontId="4" fillId="3" borderId="8" xfId="1" applyNumberFormat="1" applyFont="1" applyFill="1" applyBorder="1"/>
    <xf numFmtId="166" fontId="4" fillId="3" borderId="0" xfId="1" applyNumberFormat="1" applyFont="1" applyFill="1" applyBorder="1"/>
    <xf numFmtId="0" fontId="2" fillId="0" borderId="5" xfId="0" applyFont="1" applyBorder="1" applyAlignment="1">
      <alignment horizontal="center"/>
    </xf>
    <xf numFmtId="0" fontId="2" fillId="2" borderId="4" xfId="0" applyFont="1" applyFill="1" applyBorder="1"/>
    <xf numFmtId="0" fontId="2" fillId="0" borderId="6" xfId="0" applyFont="1" applyFill="1" applyBorder="1"/>
    <xf numFmtId="0" fontId="4" fillId="4" borderId="13" xfId="0" applyFont="1" applyFill="1" applyBorder="1"/>
    <xf numFmtId="166" fontId="4" fillId="3" borderId="11" xfId="1" applyNumberFormat="1" applyFont="1" applyFill="1" applyBorder="1"/>
    <xf numFmtId="0" fontId="2" fillId="0" borderId="4" xfId="0" applyFont="1" applyBorder="1" applyAlignment="1">
      <alignment horizontal="center"/>
    </xf>
    <xf numFmtId="0" fontId="0" fillId="0" borderId="14" xfId="0" applyBorder="1"/>
    <xf numFmtId="167" fontId="4" fillId="3" borderId="4" xfId="1" applyNumberFormat="1" applyFont="1" applyFill="1" applyBorder="1" applyAlignment="1">
      <alignment horizontal="center"/>
    </xf>
    <xf numFmtId="167" fontId="4" fillId="3" borderId="6" xfId="1" applyNumberFormat="1" applyFont="1" applyFill="1" applyBorder="1" applyAlignment="1">
      <alignment horizontal="center"/>
    </xf>
    <xf numFmtId="167" fontId="4" fillId="3" borderId="8" xfId="1" applyNumberFormat="1" applyFont="1" applyFill="1" applyBorder="1" applyAlignment="1">
      <alignment horizontal="center"/>
    </xf>
    <xf numFmtId="0" fontId="2" fillId="2" borderId="10" xfId="0" applyFont="1" applyFill="1" applyBorder="1"/>
    <xf numFmtId="0" fontId="4" fillId="4" borderId="10" xfId="0" applyFont="1" applyFill="1" applyBorder="1"/>
    <xf numFmtId="43" fontId="4" fillId="3" borderId="10" xfId="3" applyNumberFormat="1" applyFont="1" applyFill="1" applyBorder="1" applyAlignment="1">
      <alignment horizontal="center"/>
    </xf>
    <xf numFmtId="43" fontId="4" fillId="3" borderId="12" xfId="3" applyNumberFormat="1" applyFont="1" applyFill="1" applyBorder="1" applyAlignment="1">
      <alignment horizontal="center"/>
    </xf>
    <xf numFmtId="43" fontId="4" fillId="3" borderId="13" xfId="3" applyNumberFormat="1" applyFont="1" applyFill="1" applyBorder="1" applyAlignment="1">
      <alignment horizontal="center"/>
    </xf>
    <xf numFmtId="166" fontId="0" fillId="0" borderId="7" xfId="0" applyNumberFormat="1" applyBorder="1"/>
    <xf numFmtId="166" fontId="0" fillId="0" borderId="9" xfId="0" applyNumberFormat="1" applyBorder="1"/>
    <xf numFmtId="166" fontId="4" fillId="3" borderId="6" xfId="1" applyNumberFormat="1" applyFont="1" applyFill="1" applyBorder="1" applyAlignment="1">
      <alignment horizontal="right"/>
    </xf>
    <xf numFmtId="43" fontId="1" fillId="0" borderId="11" xfId="1" applyNumberFormat="1" applyFont="1" applyFill="1" applyBorder="1" applyAlignment="1">
      <alignment horizontal="right" wrapText="1"/>
    </xf>
    <xf numFmtId="166" fontId="0" fillId="8" borderId="0" xfId="1" applyNumberFormat="1" applyFont="1" applyFill="1" applyAlignment="1">
      <alignment wrapText="1"/>
    </xf>
    <xf numFmtId="166" fontId="2" fillId="0" borderId="6" xfId="1" applyNumberFormat="1" applyFont="1" applyFill="1" applyBorder="1" applyAlignment="1">
      <alignment horizontal="right"/>
    </xf>
    <xf numFmtId="174" fontId="0" fillId="0" borderId="6" xfId="0" applyNumberFormat="1" applyBorder="1"/>
    <xf numFmtId="171" fontId="0" fillId="0" borderId="6" xfId="1" applyNumberFormat="1" applyFont="1" applyBorder="1"/>
    <xf numFmtId="0" fontId="2" fillId="0" borderId="12" xfId="1" applyNumberFormat="1" applyFont="1" applyBorder="1" applyAlignment="1"/>
    <xf numFmtId="10" fontId="1" fillId="0" borderId="6" xfId="2" applyNumberFormat="1" applyFont="1" applyBorder="1" applyAlignment="1">
      <alignment horizontal="right" wrapText="1"/>
    </xf>
    <xf numFmtId="10" fontId="0" fillId="0" borderId="6" xfId="0" applyNumberFormat="1" applyBorder="1"/>
    <xf numFmtId="0" fontId="0" fillId="0" borderId="11" xfId="1" applyNumberFormat="1" applyFont="1" applyFill="1" applyBorder="1" applyAlignment="1">
      <alignment wrapText="1"/>
    </xf>
    <xf numFmtId="14" fontId="0" fillId="0" borderId="10" xfId="1" applyNumberFormat="1" applyFont="1" applyFill="1" applyBorder="1" applyAlignment="1">
      <alignment horizontal="center"/>
    </xf>
    <xf numFmtId="10" fontId="1" fillId="0" borderId="11" xfId="2" applyNumberFormat="1" applyFont="1" applyFill="1" applyBorder="1" applyAlignment="1">
      <alignment horizontal="right" wrapText="1"/>
    </xf>
    <xf numFmtId="166" fontId="2" fillId="0" borderId="0" xfId="1" applyNumberFormat="1" applyFont="1" applyFill="1" applyAlignment="1">
      <alignment horizontal="right" wrapText="1"/>
    </xf>
    <xf numFmtId="0" fontId="0" fillId="0" borderId="0" xfId="1" applyNumberFormat="1" applyFont="1" applyFill="1" applyBorder="1" applyAlignment="1">
      <alignment wrapText="1"/>
    </xf>
    <xf numFmtId="14" fontId="0" fillId="0" borderId="12" xfId="1" applyNumberFormat="1" applyFont="1" applyFill="1" applyBorder="1" applyAlignment="1">
      <alignment horizontal="center"/>
    </xf>
    <xf numFmtId="0" fontId="0" fillId="0" borderId="14" xfId="1" applyNumberFormat="1" applyFont="1" applyFill="1" applyBorder="1" applyAlignment="1">
      <alignment wrapText="1"/>
    </xf>
    <xf numFmtId="14" fontId="0" fillId="0" borderId="13" xfId="1" applyNumberFormat="1" applyFont="1" applyFill="1" applyBorder="1" applyAlignment="1">
      <alignment horizontal="center"/>
    </xf>
    <xf numFmtId="0" fontId="23" fillId="0" borderId="0" xfId="16"/>
    <xf numFmtId="0" fontId="22" fillId="0" borderId="0" xfId="0" applyFont="1" applyAlignment="1">
      <alignment horizontal="left" indent="2"/>
    </xf>
    <xf numFmtId="0" fontId="2" fillId="0" borderId="4" xfId="0" applyFont="1" applyBorder="1"/>
    <xf numFmtId="0" fontId="0" fillId="0" borderId="5" xfId="0" applyFill="1" applyBorder="1"/>
    <xf numFmtId="166" fontId="4" fillId="3" borderId="1" xfId="1" applyNumberFormat="1" applyFont="1" applyFill="1" applyBorder="1"/>
    <xf numFmtId="0" fontId="22" fillId="0" borderId="0" xfId="0" applyFont="1" applyBorder="1" applyAlignment="1">
      <alignment horizontal="left" indent="2"/>
    </xf>
    <xf numFmtId="166" fontId="23" fillId="0" borderId="0" xfId="16" applyNumberFormat="1" applyFill="1" applyBorder="1"/>
    <xf numFmtId="0" fontId="23" fillId="0" borderId="0" xfId="16" applyBorder="1"/>
    <xf numFmtId="0" fontId="23" fillId="0" borderId="0" xfId="16" applyFont="1" applyBorder="1"/>
    <xf numFmtId="43" fontId="4" fillId="3" borderId="6" xfId="1" applyNumberFormat="1" applyFont="1" applyFill="1" applyBorder="1"/>
    <xf numFmtId="172" fontId="4" fillId="3" borderId="6" xfId="2" applyNumberFormat="1" applyFont="1" applyFill="1" applyBorder="1"/>
    <xf numFmtId="0" fontId="24" fillId="0" borderId="0" xfId="0" applyFont="1" applyAlignment="1">
      <alignment horizontal="left" vertical="center" indent="1"/>
    </xf>
    <xf numFmtId="0" fontId="23" fillId="0" borderId="0" xfId="16" applyAlignment="1">
      <alignment horizontal="left" vertical="center" indent="2"/>
    </xf>
    <xf numFmtId="0" fontId="23" fillId="0" borderId="0" xfId="16" applyAlignment="1">
      <alignment vertical="center"/>
    </xf>
    <xf numFmtId="0" fontId="0" fillId="0" borderId="0" xfId="0" applyAlignment="1">
      <alignment vertical="center"/>
    </xf>
    <xf numFmtId="0" fontId="25" fillId="0" borderId="0" xfId="0" applyFont="1" applyAlignment="1">
      <alignment vertical="center"/>
    </xf>
    <xf numFmtId="0" fontId="21" fillId="0" borderId="0" xfId="0" applyFont="1"/>
    <xf numFmtId="0" fontId="21" fillId="0" borderId="0" xfId="0" applyFont="1" applyAlignment="1">
      <alignment vertical="center"/>
    </xf>
    <xf numFmtId="0" fontId="26" fillId="0" borderId="0" xfId="0" applyFont="1"/>
    <xf numFmtId="0" fontId="2" fillId="0" borderId="0" xfId="0" applyFont="1" applyAlignment="1">
      <alignment horizontal="center"/>
    </xf>
    <xf numFmtId="0" fontId="1" fillId="10" borderId="0" xfId="17"/>
    <xf numFmtId="0" fontId="0" fillId="0" borderId="0" xfId="0" applyAlignment="1">
      <alignment horizontal="center" vertical="center"/>
    </xf>
    <xf numFmtId="2" fontId="0" fillId="0" borderId="0" xfId="0" applyNumberFormat="1" applyAlignment="1">
      <alignment horizontal="center"/>
    </xf>
    <xf numFmtId="0" fontId="0" fillId="0" borderId="0" xfId="0" applyAlignment="1">
      <alignment horizontal="left" vertical="center"/>
    </xf>
    <xf numFmtId="0" fontId="0" fillId="0" borderId="0" xfId="0" applyAlignment="1">
      <alignment horizontal="right"/>
    </xf>
    <xf numFmtId="0" fontId="2" fillId="10" borderId="0" xfId="17" applyFont="1" applyAlignment="1">
      <alignment vertical="center"/>
    </xf>
    <xf numFmtId="0" fontId="2" fillId="10" borderId="0" xfId="17" applyFont="1" applyAlignment="1">
      <alignment horizontal="center" vertical="center"/>
    </xf>
    <xf numFmtId="0" fontId="1" fillId="10" borderId="0" xfId="17" applyAlignment="1">
      <alignment horizontal="center"/>
    </xf>
    <xf numFmtId="2" fontId="1" fillId="10" borderId="0" xfId="17" applyNumberFormat="1" applyAlignment="1">
      <alignment horizontal="center"/>
    </xf>
    <xf numFmtId="0" fontId="0" fillId="0" borderId="0" xfId="0" quotePrefix="1" applyAlignment="1">
      <alignment horizontal="center"/>
    </xf>
    <xf numFmtId="9" fontId="0" fillId="0" borderId="0" xfId="0" applyNumberFormat="1" applyAlignment="1">
      <alignment horizontal="center"/>
    </xf>
    <xf numFmtId="8" fontId="0" fillId="0" borderId="0" xfId="0" applyNumberFormat="1" applyAlignment="1">
      <alignment horizontal="center"/>
    </xf>
    <xf numFmtId="6" fontId="0" fillId="0" borderId="0" xfId="0" applyNumberFormat="1" applyAlignment="1">
      <alignment horizontal="center"/>
    </xf>
    <xf numFmtId="0" fontId="2" fillId="10" borderId="0" xfId="17" applyFont="1"/>
    <xf numFmtId="175" fontId="0" fillId="0" borderId="0" xfId="0" applyNumberFormat="1" applyAlignment="1">
      <alignment horizontal="center"/>
    </xf>
    <xf numFmtId="175" fontId="0" fillId="0" borderId="0" xfId="0" applyNumberFormat="1"/>
    <xf numFmtId="165" fontId="0" fillId="0" borderId="0" xfId="0" applyNumberFormat="1"/>
    <xf numFmtId="9" fontId="4" fillId="3" borderId="1" xfId="3" applyNumberFormat="1" applyFont="1" applyFill="1" applyBorder="1"/>
    <xf numFmtId="175" fontId="23" fillId="0" borderId="0" xfId="16" applyNumberFormat="1"/>
    <xf numFmtId="166" fontId="0" fillId="0" borderId="0" xfId="0" applyNumberFormat="1"/>
    <xf numFmtId="167" fontId="4" fillId="3" borderId="1" xfId="1" applyNumberFormat="1" applyFont="1" applyFill="1" applyBorder="1"/>
    <xf numFmtId="166" fontId="0" fillId="0" borderId="1" xfId="0" applyNumberFormat="1" applyBorder="1"/>
    <xf numFmtId="177" fontId="0" fillId="0" borderId="7" xfId="0" applyNumberFormat="1" applyBorder="1"/>
    <xf numFmtId="166" fontId="4" fillId="3" borderId="7" xfId="3" applyNumberFormat="1" applyFont="1" applyFill="1" applyBorder="1"/>
    <xf numFmtId="10" fontId="0" fillId="0" borderId="0" xfId="0" applyNumberFormat="1"/>
    <xf numFmtId="43" fontId="4" fillId="3" borderId="6" xfId="3" applyNumberFormat="1" applyFont="1" applyFill="1" applyBorder="1"/>
    <xf numFmtId="10" fontId="2" fillId="0" borderId="1" xfId="0" applyNumberFormat="1" applyFont="1" applyBorder="1"/>
    <xf numFmtId="0" fontId="21" fillId="0" borderId="5" xfId="0" applyFont="1" applyBorder="1" applyAlignment="1">
      <alignment horizontal="center"/>
    </xf>
    <xf numFmtId="166" fontId="2" fillId="0" borderId="8" xfId="0" applyNumberFormat="1" applyFont="1" applyBorder="1"/>
    <xf numFmtId="177" fontId="0" fillId="0" borderId="3" xfId="0" applyNumberFormat="1" applyBorder="1"/>
    <xf numFmtId="177" fontId="0" fillId="0" borderId="5" xfId="0" applyNumberFormat="1" applyBorder="1"/>
    <xf numFmtId="0" fontId="0" fillId="0" borderId="0" xfId="0" applyAlignment="1"/>
    <xf numFmtId="43" fontId="0" fillId="0" borderId="3" xfId="1" applyFont="1" applyBorder="1"/>
    <xf numFmtId="167" fontId="4" fillId="3" borderId="3" xfId="1" applyNumberFormat="1" applyFont="1" applyFill="1" applyBorder="1"/>
    <xf numFmtId="0" fontId="0" fillId="0" borderId="3" xfId="0" applyBorder="1" applyAlignment="1">
      <alignment horizontal="center"/>
    </xf>
    <xf numFmtId="43" fontId="0" fillId="0" borderId="15" xfId="1" applyFont="1" applyBorder="1"/>
    <xf numFmtId="43" fontId="0" fillId="0" borderId="15" xfId="0" applyNumberFormat="1" applyBorder="1"/>
    <xf numFmtId="167" fontId="4" fillId="3" borderId="14" xfId="1" applyNumberFormat="1" applyFont="1" applyFill="1" applyBorder="1"/>
    <xf numFmtId="167" fontId="4" fillId="3" borderId="15" xfId="1" applyNumberFormat="1" applyFont="1" applyFill="1" applyBorder="1"/>
    <xf numFmtId="166" fontId="0" fillId="0" borderId="15" xfId="0" applyNumberFormat="1" applyBorder="1"/>
    <xf numFmtId="177" fontId="0" fillId="0" borderId="15" xfId="0" applyNumberFormat="1" applyBorder="1"/>
    <xf numFmtId="2" fontId="0" fillId="0" borderId="15" xfId="0" applyNumberFormat="1" applyBorder="1"/>
    <xf numFmtId="166" fontId="4" fillId="3" borderId="15" xfId="1" applyNumberFormat="1" applyFont="1" applyFill="1" applyBorder="1"/>
    <xf numFmtId="167" fontId="10" fillId="0" borderId="15" xfId="1" applyNumberFormat="1" applyFont="1" applyFill="1" applyBorder="1"/>
    <xf numFmtId="179" fontId="0" fillId="0" borderId="0" xfId="0" applyNumberFormat="1"/>
    <xf numFmtId="9" fontId="0" fillId="0" borderId="0" xfId="0" applyNumberFormat="1"/>
    <xf numFmtId="43" fontId="0" fillId="0" borderId="0" xfId="1" applyFont="1"/>
    <xf numFmtId="180" fontId="4" fillId="3" borderId="5" xfId="1" applyNumberFormat="1" applyFont="1" applyFill="1" applyBorder="1"/>
    <xf numFmtId="0" fontId="2" fillId="2" borderId="1" xfId="0" applyFont="1" applyFill="1" applyBorder="1"/>
    <xf numFmtId="43" fontId="0" fillId="0" borderId="7" xfId="1" applyFont="1" applyFill="1" applyBorder="1"/>
    <xf numFmtId="43" fontId="0" fillId="0" borderId="9" xfId="1" applyFont="1" applyFill="1" applyBorder="1"/>
    <xf numFmtId="0" fontId="13" fillId="0" borderId="10" xfId="6" applyFill="1" applyBorder="1" applyAlignment="1"/>
    <xf numFmtId="0" fontId="13" fillId="0" borderId="11" xfId="6" applyFill="1" applyBorder="1" applyAlignment="1"/>
    <xf numFmtId="0" fontId="13" fillId="0" borderId="5" xfId="6" applyFill="1" applyBorder="1" applyAlignment="1"/>
    <xf numFmtId="0" fontId="2" fillId="0" borderId="10" xfId="0" applyFont="1" applyFill="1" applyBorder="1" applyAlignment="1">
      <alignment horizontal="left" wrapText="1" indent="1"/>
    </xf>
    <xf numFmtId="0" fontId="2" fillId="0" borderId="11" xfId="0" applyFont="1" applyFill="1" applyBorder="1" applyAlignment="1">
      <alignment horizontal="left" wrapText="1" indent="1"/>
    </xf>
    <xf numFmtId="43" fontId="13" fillId="0" borderId="10" xfId="1" applyFont="1" applyFill="1" applyBorder="1" applyAlignment="1"/>
    <xf numFmtId="43" fontId="13" fillId="0" borderId="11" xfId="1" applyFont="1" applyFill="1" applyBorder="1" applyAlignment="1"/>
    <xf numFmtId="43" fontId="13" fillId="0" borderId="5" xfId="1" applyFont="1" applyFill="1" applyBorder="1" applyAlignment="1"/>
    <xf numFmtId="43" fontId="2" fillId="0" borderId="10" xfId="1" applyFont="1" applyFill="1" applyBorder="1" applyAlignment="1">
      <alignment horizontal="left" wrapText="1" indent="1"/>
    </xf>
    <xf numFmtId="166" fontId="0" fillId="0" borderId="14" xfId="0" applyNumberFormat="1" applyFill="1" applyBorder="1" applyAlignment="1">
      <alignment horizontal="left" wrapText="1" indent="1"/>
    </xf>
    <xf numFmtId="166" fontId="0" fillId="0" borderId="11" xfId="0" applyNumberFormat="1" applyFill="1" applyBorder="1" applyAlignment="1">
      <alignment horizontal="left" wrapText="1" indent="1"/>
    </xf>
    <xf numFmtId="166" fontId="0" fillId="0" borderId="14" xfId="1" applyNumberFormat="1" applyFont="1" applyFill="1" applyBorder="1" applyAlignment="1">
      <alignment wrapText="1"/>
    </xf>
    <xf numFmtId="166" fontId="0" fillId="8" borderId="13" xfId="1" applyNumberFormat="1" applyFont="1" applyFill="1" applyBorder="1"/>
    <xf numFmtId="166" fontId="0" fillId="0" borderId="4" xfId="1" applyNumberFormat="1" applyFont="1" applyFill="1" applyBorder="1"/>
    <xf numFmtId="166" fontId="0" fillId="0" borderId="8" xfId="1" applyNumberFormat="1" applyFont="1" applyFill="1" applyBorder="1"/>
    <xf numFmtId="14" fontId="0" fillId="0" borderId="11" xfId="1" applyNumberFormat="1" applyFont="1" applyFill="1" applyBorder="1" applyAlignment="1">
      <alignment horizontal="center"/>
    </xf>
    <xf numFmtId="14" fontId="0" fillId="0" borderId="0" xfId="1" applyNumberFormat="1" applyFont="1" applyFill="1" applyBorder="1" applyAlignment="1">
      <alignment horizontal="center"/>
    </xf>
    <xf numFmtId="14" fontId="0" fillId="0" borderId="14" xfId="1" applyNumberFormat="1" applyFont="1" applyFill="1" applyBorder="1" applyAlignment="1">
      <alignment horizontal="center"/>
    </xf>
    <xf numFmtId="0" fontId="11" fillId="5" borderId="6" xfId="1" applyNumberFormat="1" applyFont="1" applyFill="1" applyBorder="1" applyAlignment="1">
      <alignment horizontal="center"/>
    </xf>
    <xf numFmtId="43" fontId="0" fillId="0" borderId="10" xfId="1" applyNumberFormat="1" applyFont="1" applyFill="1" applyBorder="1"/>
    <xf numFmtId="166" fontId="10" fillId="0" borderId="10" xfId="1" applyNumberFormat="1" applyFont="1" applyFill="1" applyBorder="1" applyAlignment="1">
      <alignment horizontal="right" wrapText="1"/>
    </xf>
    <xf numFmtId="10" fontId="1" fillId="0" borderId="0" xfId="2" applyNumberFormat="1" applyFont="1" applyFill="1" applyBorder="1" applyAlignment="1">
      <alignment horizontal="right" wrapText="1"/>
    </xf>
    <xf numFmtId="166" fontId="0" fillId="0" borderId="10" xfId="1" applyNumberFormat="1" applyFont="1" applyFill="1" applyBorder="1" applyAlignment="1">
      <alignment horizontal="right" wrapText="1"/>
    </xf>
    <xf numFmtId="10" fontId="1" fillId="0" borderId="14" xfId="2" applyNumberFormat="1" applyFont="1" applyFill="1" applyBorder="1" applyAlignment="1">
      <alignment horizontal="right" wrapText="1"/>
    </xf>
    <xf numFmtId="166" fontId="5" fillId="0" borderId="2" xfId="1" applyNumberFormat="1" applyFont="1" applyFill="1" applyBorder="1" applyAlignment="1">
      <alignment horizontal="right" wrapText="1"/>
    </xf>
    <xf numFmtId="166" fontId="2" fillId="0" borderId="10" xfId="1" applyNumberFormat="1" applyFont="1" applyBorder="1"/>
    <xf numFmtId="10" fontId="0" fillId="0" borderId="11" xfId="2" applyNumberFormat="1" applyFont="1" applyBorder="1"/>
    <xf numFmtId="166" fontId="0" fillId="0" borderId="11" xfId="1" applyNumberFormat="1" applyFont="1" applyBorder="1"/>
    <xf numFmtId="9" fontId="0" fillId="0" borderId="5" xfId="2" applyFont="1" applyBorder="1" applyAlignment="1">
      <alignment horizontal="center"/>
    </xf>
    <xf numFmtId="166" fontId="2" fillId="0" borderId="8" xfId="1" applyNumberFormat="1" applyFont="1" applyFill="1" applyBorder="1" applyAlignment="1">
      <alignment horizontal="right" wrapText="1"/>
    </xf>
    <xf numFmtId="43" fontId="0" fillId="0" borderId="6" xfId="1" applyNumberFormat="1" applyFont="1" applyFill="1" applyBorder="1"/>
    <xf numFmtId="43" fontId="0" fillId="0" borderId="8" xfId="1" applyNumberFormat="1" applyFont="1" applyFill="1" applyBorder="1"/>
    <xf numFmtId="166" fontId="1" fillId="0" borderId="6" xfId="1" applyNumberFormat="1" applyFont="1" applyFill="1" applyBorder="1" applyAlignment="1">
      <alignment horizontal="right" wrapText="1"/>
    </xf>
    <xf numFmtId="166" fontId="1" fillId="0" borderId="8" xfId="1" applyNumberFormat="1" applyFont="1" applyFill="1" applyBorder="1" applyAlignment="1">
      <alignment horizontal="right" wrapText="1"/>
    </xf>
    <xf numFmtId="9" fontId="5" fillId="0" borderId="15" xfId="2" applyFont="1" applyFill="1" applyBorder="1" applyAlignment="1">
      <alignment horizontal="right" wrapText="1"/>
    </xf>
    <xf numFmtId="43" fontId="2" fillId="0" borderId="11" xfId="1" applyNumberFormat="1" applyFont="1" applyFill="1" applyBorder="1" applyAlignment="1">
      <alignment horizontal="left"/>
    </xf>
    <xf numFmtId="166" fontId="0" fillId="0" borderId="11" xfId="1" applyNumberFormat="1" applyFont="1" applyFill="1" applyBorder="1" applyAlignment="1">
      <alignment horizontal="center"/>
    </xf>
    <xf numFmtId="166" fontId="2" fillId="0" borderId="11" xfId="1" applyNumberFormat="1" applyFont="1" applyFill="1" applyBorder="1" applyAlignment="1"/>
    <xf numFmtId="166" fontId="0" fillId="0" borderId="11" xfId="1" applyNumberFormat="1" applyFont="1" applyFill="1" applyBorder="1" applyAlignment="1"/>
    <xf numFmtId="43" fontId="2" fillId="0" borderId="2" xfId="1" applyNumberFormat="1" applyFont="1" applyFill="1" applyBorder="1" applyAlignment="1">
      <alignment horizontal="right" wrapText="1"/>
    </xf>
    <xf numFmtId="0" fontId="0" fillId="0" borderId="14" xfId="0" applyFill="1" applyBorder="1"/>
    <xf numFmtId="43" fontId="2" fillId="0" borderId="15" xfId="1" applyNumberFormat="1" applyFont="1" applyFill="1" applyBorder="1" applyAlignment="1">
      <alignment horizontal="right" wrapText="1"/>
    </xf>
    <xf numFmtId="43" fontId="2" fillId="0" borderId="3" xfId="1" applyNumberFormat="1" applyFont="1" applyFill="1" applyBorder="1" applyAlignment="1">
      <alignment horizontal="right" wrapText="1"/>
    </xf>
    <xf numFmtId="43" fontId="2" fillId="0" borderId="13" xfId="1" applyNumberFormat="1" applyFont="1" applyFill="1" applyBorder="1" applyAlignment="1">
      <alignment horizontal="right" wrapText="1"/>
    </xf>
    <xf numFmtId="166" fontId="2" fillId="0" borderId="14" xfId="1" applyNumberFormat="1" applyFont="1" applyFill="1" applyBorder="1" applyAlignment="1">
      <alignment horizontal="right" wrapText="1"/>
    </xf>
    <xf numFmtId="166" fontId="2" fillId="0" borderId="9" xfId="1" applyNumberFormat="1" applyFont="1" applyFill="1" applyBorder="1" applyAlignment="1">
      <alignment horizontal="right" wrapText="1"/>
    </xf>
    <xf numFmtId="172" fontId="4" fillId="3" borderId="11" xfId="2" applyNumberFormat="1" applyFont="1" applyFill="1" applyBorder="1" applyAlignment="1">
      <alignment horizontal="right"/>
    </xf>
    <xf numFmtId="9" fontId="4" fillId="3" borderId="15" xfId="3" applyNumberFormat="1" applyFont="1" applyFill="1" applyBorder="1"/>
    <xf numFmtId="43" fontId="4" fillId="3" borderId="15" xfId="1" applyFont="1" applyFill="1" applyBorder="1"/>
    <xf numFmtId="165" fontId="0" fillId="0" borderId="15" xfId="0" applyNumberFormat="1" applyBorder="1"/>
    <xf numFmtId="10" fontId="4" fillId="3" borderId="14" xfId="2" applyNumberFormat="1" applyFont="1" applyFill="1" applyBorder="1"/>
    <xf numFmtId="9" fontId="2" fillId="0" borderId="0" xfId="2" applyFont="1" applyBorder="1" applyAlignment="1">
      <alignment horizontal="center" vertical="center" wrapText="1"/>
    </xf>
    <xf numFmtId="9" fontId="2" fillId="0" borderId="0" xfId="2" applyFont="1" applyFill="1" applyBorder="1" applyAlignment="1">
      <alignment horizontal="center"/>
    </xf>
    <xf numFmtId="9" fontId="0" fillId="0" borderId="11" xfId="2" applyFont="1" applyBorder="1" applyAlignment="1">
      <alignment horizontal="center"/>
    </xf>
    <xf numFmtId="9" fontId="5" fillId="0" borderId="3" xfId="2" applyFont="1" applyFill="1" applyBorder="1" applyAlignment="1">
      <alignment horizontal="right" wrapText="1"/>
    </xf>
    <xf numFmtId="166" fontId="2" fillId="0" borderId="12" xfId="1" applyNumberFormat="1" applyFont="1" applyBorder="1" applyAlignment="1">
      <alignment horizontal="right" wrapText="1"/>
    </xf>
    <xf numFmtId="9" fontId="5" fillId="0" borderId="7" xfId="2" applyFont="1" applyFill="1" applyBorder="1" applyAlignment="1">
      <alignment horizontal="right" wrapText="1"/>
    </xf>
    <xf numFmtId="166" fontId="1" fillId="0" borderId="11" xfId="1" applyNumberFormat="1" applyFont="1" applyFill="1" applyBorder="1" applyAlignment="1">
      <alignment horizontal="right" wrapText="1"/>
    </xf>
    <xf numFmtId="166" fontId="9" fillId="0" borderId="0" xfId="1" applyNumberFormat="1" applyFont="1" applyFill="1" applyBorder="1"/>
    <xf numFmtId="0" fontId="0" fillId="0" borderId="1" xfId="0" applyBorder="1"/>
    <xf numFmtId="10" fontId="0" fillId="0" borderId="1" xfId="2" applyNumberFormat="1" applyFont="1" applyBorder="1"/>
    <xf numFmtId="0" fontId="2" fillId="0" borderId="0" xfId="0" applyFont="1" applyFill="1" applyBorder="1" applyAlignment="1">
      <alignment horizontal="left"/>
    </xf>
    <xf numFmtId="9" fontId="0" fillId="0" borderId="0" xfId="2" applyNumberFormat="1" applyFont="1"/>
    <xf numFmtId="9" fontId="26" fillId="0" borderId="0" xfId="2" applyNumberFormat="1" applyFont="1"/>
    <xf numFmtId="172" fontId="4" fillId="3" borderId="1" xfId="2" applyNumberFormat="1" applyFont="1" applyFill="1" applyBorder="1"/>
    <xf numFmtId="10" fontId="0" fillId="0" borderId="1" xfId="0" applyNumberFormat="1" applyBorder="1"/>
    <xf numFmtId="10" fontId="0" fillId="0" borderId="3" xfId="0" applyNumberFormat="1" applyBorder="1"/>
    <xf numFmtId="166" fontId="0" fillId="0" borderId="4" xfId="1" applyNumberFormat="1" applyFont="1" applyBorder="1"/>
    <xf numFmtId="166" fontId="0" fillId="0" borderId="6" xfId="1" applyNumberFormat="1" applyFont="1" applyBorder="1"/>
    <xf numFmtId="166" fontId="0" fillId="0" borderId="8" xfId="1" applyNumberFormat="1" applyFont="1" applyBorder="1"/>
    <xf numFmtId="9" fontId="27" fillId="0" borderId="0" xfId="0" applyNumberFormat="1" applyFont="1"/>
    <xf numFmtId="10" fontId="27" fillId="0" borderId="0" xfId="0" applyNumberFormat="1" applyFont="1"/>
    <xf numFmtId="0" fontId="23" fillId="0" borderId="0" xfId="16" applyAlignment="1">
      <alignment horizontal="left"/>
    </xf>
    <xf numFmtId="0" fontId="0" fillId="0" borderId="9" xfId="0" applyFill="1" applyBorder="1"/>
    <xf numFmtId="0" fontId="2" fillId="0" borderId="8" xfId="0" applyFont="1" applyFill="1" applyBorder="1"/>
    <xf numFmtId="0" fontId="2" fillId="0" borderId="10" xfId="0" applyFont="1" applyFill="1" applyBorder="1"/>
    <xf numFmtId="0" fontId="2" fillId="0" borderId="12" xfId="0" applyFont="1" applyFill="1" applyBorder="1"/>
    <xf numFmtId="0" fontId="5" fillId="0" borderId="12" xfId="4" applyFont="1" applyFill="1" applyBorder="1" applyAlignment="1">
      <alignment horizontal="left"/>
    </xf>
    <xf numFmtId="0" fontId="2" fillId="0" borderId="13" xfId="0" applyFont="1" applyFill="1" applyBorder="1" applyAlignment="1">
      <alignment horizontal="left"/>
    </xf>
    <xf numFmtId="173" fontId="0" fillId="0" borderId="5" xfId="0" applyNumberFormat="1" applyFill="1" applyBorder="1"/>
    <xf numFmtId="166" fontId="0" fillId="0" borderId="7" xfId="0" applyNumberFormat="1" applyFill="1" applyBorder="1"/>
    <xf numFmtId="166" fontId="0" fillId="0" borderId="9" xfId="0" applyNumberFormat="1" applyFill="1" applyBorder="1"/>
    <xf numFmtId="0" fontId="0" fillId="0" borderId="14" xfId="0" applyFont="1" applyFill="1" applyBorder="1"/>
    <xf numFmtId="0" fontId="5" fillId="0" borderId="2" xfId="4" applyFont="1" applyFill="1" applyBorder="1"/>
    <xf numFmtId="0" fontId="2" fillId="0" borderId="1" xfId="0" applyFont="1" applyFill="1" applyBorder="1"/>
    <xf numFmtId="0" fontId="0" fillId="0" borderId="4" xfId="0" applyFill="1" applyBorder="1"/>
    <xf numFmtId="0" fontId="0" fillId="0" borderId="6" xfId="0" applyFill="1" applyBorder="1"/>
    <xf numFmtId="0" fontId="0" fillId="0" borderId="6" xfId="0" applyFill="1" applyBorder="1" applyAlignment="1">
      <alignment wrapText="1"/>
    </xf>
    <xf numFmtId="0" fontId="0" fillId="0" borderId="8" xfId="0" applyFill="1" applyBorder="1"/>
    <xf numFmtId="181" fontId="0" fillId="0" borderId="6" xfId="1" applyNumberFormat="1" applyFont="1" applyFill="1" applyBorder="1"/>
    <xf numFmtId="174" fontId="0" fillId="0" borderId="6" xfId="0" applyNumberFormat="1" applyFill="1" applyBorder="1"/>
    <xf numFmtId="171" fontId="0" fillId="0" borderId="6" xfId="1" applyNumberFormat="1" applyFont="1" applyFill="1" applyBorder="1"/>
    <xf numFmtId="10" fontId="1" fillId="0" borderId="6" xfId="2" applyNumberFormat="1" applyFont="1" applyFill="1" applyBorder="1" applyAlignment="1">
      <alignment horizontal="right" wrapText="1"/>
    </xf>
    <xf numFmtId="10" fontId="0" fillId="0" borderId="6" xfId="0" applyNumberFormat="1" applyFill="1" applyBorder="1"/>
    <xf numFmtId="166" fontId="2" fillId="0" borderId="8" xfId="0" applyNumberFormat="1" applyFont="1" applyFill="1" applyBorder="1"/>
    <xf numFmtId="10" fontId="0" fillId="0" borderId="0" xfId="2" applyNumberFormat="1" applyFont="1" applyBorder="1" applyAlignment="1">
      <alignment horizontal="center"/>
    </xf>
    <xf numFmtId="10" fontId="0" fillId="0" borderId="7" xfId="2" applyNumberFormat="1" applyFont="1" applyBorder="1" applyAlignment="1">
      <alignment horizontal="center"/>
    </xf>
    <xf numFmtId="10" fontId="0" fillId="0" borderId="14" xfId="2" applyNumberFormat="1" applyFont="1" applyBorder="1" applyAlignment="1">
      <alignment horizontal="center"/>
    </xf>
    <xf numFmtId="10" fontId="0" fillId="0" borderId="9" xfId="2" applyNumberFormat="1" applyFont="1" applyBorder="1" applyAlignment="1">
      <alignment horizontal="center"/>
    </xf>
    <xf numFmtId="9" fontId="0" fillId="0" borderId="15" xfId="2" applyNumberFormat="1" applyFont="1" applyBorder="1" applyAlignment="1">
      <alignment horizontal="center"/>
    </xf>
    <xf numFmtId="9" fontId="0" fillId="0" borderId="3" xfId="2" applyNumberFormat="1" applyFont="1" applyBorder="1" applyAlignment="1">
      <alignment horizontal="center"/>
    </xf>
    <xf numFmtId="0" fontId="2" fillId="0" borderId="2" xfId="0" applyFont="1" applyBorder="1" applyAlignment="1">
      <alignment horizontal="center"/>
    </xf>
    <xf numFmtId="0" fontId="2" fillId="0" borderId="3" xfId="0" applyFont="1" applyBorder="1" applyAlignment="1">
      <alignment horizontal="center"/>
    </xf>
    <xf numFmtId="0" fontId="28" fillId="0" borderId="0" xfId="0" applyFont="1"/>
    <xf numFmtId="0" fontId="29" fillId="0" borderId="1" xfId="0" applyFont="1" applyBorder="1" applyAlignment="1">
      <alignment horizontal="center"/>
    </xf>
    <xf numFmtId="0" fontId="29" fillId="0" borderId="4" xfId="0" applyFont="1" applyBorder="1"/>
    <xf numFmtId="181" fontId="30" fillId="0" borderId="3" xfId="1" applyNumberFormat="1" applyFont="1" applyFill="1" applyBorder="1"/>
    <xf numFmtId="181" fontId="30" fillId="0" borderId="1" xfId="1" applyNumberFormat="1" applyFont="1" applyFill="1" applyBorder="1"/>
    <xf numFmtId="0" fontId="29" fillId="0" borderId="6" xfId="0" applyFont="1" applyBorder="1"/>
    <xf numFmtId="182" fontId="31" fillId="12" borderId="3" xfId="1" applyNumberFormat="1" applyFont="1" applyFill="1" applyBorder="1"/>
    <xf numFmtId="182" fontId="31" fillId="12" borderId="1" xfId="1" applyNumberFormat="1" applyFont="1" applyFill="1" applyBorder="1"/>
    <xf numFmtId="0" fontId="31" fillId="12" borderId="3" xfId="0" applyFont="1" applyFill="1" applyBorder="1"/>
    <xf numFmtId="0" fontId="31" fillId="12" borderId="1" xfId="0" applyFont="1" applyFill="1" applyBorder="1"/>
    <xf numFmtId="182" fontId="28" fillId="0" borderId="3" xfId="1" applyNumberFormat="1" applyFont="1" applyFill="1" applyBorder="1"/>
    <xf numFmtId="182" fontId="28" fillId="0" borderId="1" xfId="1" applyNumberFormat="1" applyFont="1" applyFill="1" applyBorder="1"/>
    <xf numFmtId="166" fontId="31" fillId="12" borderId="3" xfId="0" applyNumberFormat="1" applyFont="1" applyFill="1" applyBorder="1"/>
    <xf numFmtId="166" fontId="31" fillId="12" borderId="1" xfId="0" applyNumberFormat="1" applyFont="1" applyFill="1" applyBorder="1"/>
    <xf numFmtId="182" fontId="28" fillId="0" borderId="3" xfId="0" applyNumberFormat="1" applyFont="1" applyBorder="1"/>
    <xf numFmtId="182" fontId="28" fillId="0" borderId="1" xfId="0" applyNumberFormat="1" applyFont="1" applyBorder="1"/>
    <xf numFmtId="0" fontId="29" fillId="0" borderId="8" xfId="0" applyFont="1" applyBorder="1"/>
    <xf numFmtId="0" fontId="29" fillId="13" borderId="6" xfId="0" applyFont="1" applyFill="1" applyBorder="1"/>
    <xf numFmtId="167" fontId="31" fillId="12" borderId="3" xfId="0" applyNumberFormat="1" applyFont="1" applyFill="1" applyBorder="1"/>
    <xf numFmtId="43" fontId="31" fillId="12" borderId="1" xfId="0" applyNumberFormat="1" applyFont="1" applyFill="1" applyBorder="1"/>
    <xf numFmtId="181" fontId="31" fillId="12" borderId="3" xfId="0" applyNumberFormat="1" applyFont="1" applyFill="1" applyBorder="1"/>
    <xf numFmtId="181" fontId="31" fillId="12" borderId="1" xfId="0" applyNumberFormat="1" applyFont="1" applyFill="1" applyBorder="1"/>
    <xf numFmtId="181" fontId="32" fillId="13" borderId="1" xfId="1" applyNumberFormat="1" applyFont="1" applyFill="1" applyBorder="1"/>
    <xf numFmtId="165" fontId="31" fillId="12" borderId="3" xfId="1" applyNumberFormat="1" applyFont="1" applyFill="1" applyBorder="1"/>
    <xf numFmtId="165" fontId="31" fillId="12" borderId="1" xfId="1" applyNumberFormat="1" applyFont="1" applyFill="1" applyBorder="1"/>
    <xf numFmtId="0" fontId="29" fillId="13" borderId="4" xfId="0" applyFont="1" applyFill="1" applyBorder="1"/>
    <xf numFmtId="181" fontId="32" fillId="13" borderId="3" xfId="1" applyNumberFormat="1" applyFont="1" applyFill="1" applyBorder="1"/>
    <xf numFmtId="0" fontId="29" fillId="0" borderId="1" xfId="0" applyFont="1" applyBorder="1"/>
    <xf numFmtId="9" fontId="31" fillId="12" borderId="1" xfId="2" applyFont="1" applyFill="1" applyBorder="1"/>
    <xf numFmtId="0" fontId="29" fillId="13" borderId="1" xfId="0" applyFont="1" applyFill="1" applyBorder="1"/>
    <xf numFmtId="0" fontId="29" fillId="11" borderId="18" xfId="0" applyFont="1" applyFill="1" applyBorder="1"/>
    <xf numFmtId="181" fontId="29" fillId="11" borderId="18" xfId="0" applyNumberFormat="1" applyFont="1" applyFill="1" applyBorder="1"/>
    <xf numFmtId="9" fontId="31" fillId="12" borderId="3" xfId="2" applyFont="1" applyFill="1" applyBorder="1"/>
    <xf numFmtId="0" fontId="2" fillId="0" borderId="2" xfId="0" applyFont="1" applyBorder="1" applyAlignment="1">
      <alignment horizontal="center"/>
    </xf>
    <xf numFmtId="0" fontId="2" fillId="0" borderId="3" xfId="0" applyFont="1" applyBorder="1" applyAlignment="1">
      <alignment horizontal="center"/>
    </xf>
    <xf numFmtId="166" fontId="4" fillId="3" borderId="15" xfId="3" applyNumberFormat="1" applyFont="1" applyFill="1" applyBorder="1"/>
    <xf numFmtId="167" fontId="4" fillId="3" borderId="15" xfId="3" applyNumberFormat="1" applyFont="1" applyFill="1" applyBorder="1"/>
    <xf numFmtId="172" fontId="4" fillId="3" borderId="15" xfId="2" applyNumberFormat="1" applyFont="1" applyFill="1" applyBorder="1" applyAlignment="1">
      <alignment horizontal="right"/>
    </xf>
    <xf numFmtId="43" fontId="4" fillId="3" borderId="15" xfId="1" applyNumberFormat="1" applyFont="1" applyFill="1" applyBorder="1"/>
    <xf numFmtId="166" fontId="0" fillId="0" borderId="10" xfId="0" applyNumberFormat="1" applyBorder="1"/>
    <xf numFmtId="166" fontId="0" fillId="0" borderId="12" xfId="0" applyNumberFormat="1" applyBorder="1"/>
    <xf numFmtId="166" fontId="0" fillId="0" borderId="13" xfId="0" applyNumberFormat="1" applyBorder="1"/>
    <xf numFmtId="9" fontId="0" fillId="0" borderId="4" xfId="0" applyNumberFormat="1" applyBorder="1"/>
    <xf numFmtId="9" fontId="0" fillId="0" borderId="6" xfId="0" applyNumberFormat="1" applyBorder="1"/>
    <xf numFmtId="9" fontId="0" fillId="0" borderId="8" xfId="0" applyNumberFormat="1" applyBorder="1"/>
    <xf numFmtId="166" fontId="27" fillId="0" borderId="0" xfId="1" applyNumberFormat="1" applyFont="1"/>
    <xf numFmtId="166" fontId="4" fillId="3" borderId="2" xfId="1" applyNumberFormat="1" applyFont="1" applyFill="1" applyBorder="1"/>
    <xf numFmtId="172" fontId="4" fillId="3" borderId="2" xfId="2" applyNumberFormat="1" applyFont="1" applyFill="1" applyBorder="1" applyAlignment="1">
      <alignment horizontal="right"/>
    </xf>
    <xf numFmtId="43" fontId="0" fillId="0" borderId="2" xfId="1" applyFont="1" applyBorder="1"/>
    <xf numFmtId="43" fontId="0" fillId="0" borderId="2" xfId="0" applyNumberFormat="1" applyBorder="1"/>
    <xf numFmtId="10" fontId="4" fillId="3" borderId="2" xfId="3" applyNumberFormat="1" applyFont="1" applyFill="1" applyBorder="1"/>
    <xf numFmtId="167" fontId="4" fillId="3" borderId="2" xfId="3" applyNumberFormat="1" applyFont="1" applyFill="1" applyBorder="1"/>
    <xf numFmtId="166" fontId="0" fillId="0" borderId="2" xfId="0" applyNumberFormat="1" applyBorder="1"/>
    <xf numFmtId="167" fontId="4" fillId="3" borderId="2" xfId="1" applyNumberFormat="1" applyFont="1" applyFill="1" applyBorder="1"/>
    <xf numFmtId="166" fontId="4" fillId="3" borderId="2" xfId="3" applyNumberFormat="1" applyFont="1" applyFill="1" applyBorder="1"/>
    <xf numFmtId="177" fontId="0" fillId="0" borderId="2" xfId="0" applyNumberFormat="1" applyBorder="1"/>
    <xf numFmtId="2" fontId="0" fillId="0" borderId="2" xfId="0" applyNumberFormat="1" applyBorder="1"/>
    <xf numFmtId="181" fontId="31" fillId="12" borderId="3" xfId="1" applyNumberFormat="1" applyFont="1" applyFill="1" applyBorder="1"/>
    <xf numFmtId="43" fontId="31" fillId="12" borderId="3" xfId="0" applyNumberFormat="1" applyFont="1" applyFill="1" applyBorder="1"/>
    <xf numFmtId="0" fontId="2" fillId="0" borderId="2" xfId="0" applyFont="1" applyBorder="1" applyAlignment="1">
      <alignment horizontal="center"/>
    </xf>
    <xf numFmtId="0" fontId="2" fillId="0" borderId="3" xfId="0" applyFont="1" applyBorder="1" applyAlignment="1">
      <alignment horizontal="center"/>
    </xf>
    <xf numFmtId="9" fontId="4" fillId="3" borderId="2" xfId="3" applyNumberFormat="1" applyFont="1" applyFill="1" applyBorder="1"/>
    <xf numFmtId="0" fontId="5" fillId="0" borderId="1" xfId="0" applyFont="1" applyFill="1" applyBorder="1" applyAlignment="1">
      <alignment horizontal="left"/>
    </xf>
    <xf numFmtId="166" fontId="5" fillId="0" borderId="10" xfId="1" applyNumberFormat="1" applyFont="1" applyFill="1" applyBorder="1" applyAlignment="1">
      <alignment horizontal="right" wrapText="1"/>
    </xf>
    <xf numFmtId="166" fontId="5" fillId="0" borderId="12" xfId="1" applyNumberFormat="1" applyFont="1" applyFill="1" applyBorder="1" applyAlignment="1">
      <alignment horizontal="right" wrapText="1"/>
    </xf>
    <xf numFmtId="43" fontId="2" fillId="0" borderId="1" xfId="1" applyFont="1" applyFill="1" applyBorder="1" applyAlignment="1">
      <alignment horizontal="right" wrapText="1"/>
    </xf>
    <xf numFmtId="43" fontId="2" fillId="0" borderId="6" xfId="1" applyNumberFormat="1" applyFont="1" applyFill="1" applyBorder="1" applyAlignment="1">
      <alignment horizontal="right" wrapText="1"/>
    </xf>
    <xf numFmtId="43" fontId="2" fillId="0" borderId="8" xfId="1" applyFont="1" applyFill="1" applyBorder="1" applyAlignment="1">
      <alignment horizontal="right" wrapText="1"/>
    </xf>
    <xf numFmtId="0" fontId="4" fillId="3" borderId="4" xfId="2" applyNumberFormat="1" applyFont="1" applyFill="1" applyBorder="1" applyAlignment="1">
      <alignment horizontal="right"/>
    </xf>
    <xf numFmtId="3" fontId="31" fillId="12" borderId="4" xfId="2" applyNumberFormat="1" applyFont="1" applyFill="1" applyBorder="1" applyAlignment="1">
      <alignment horizontal="right"/>
    </xf>
    <xf numFmtId="43" fontId="31" fillId="12" borderId="6" xfId="3" applyFont="1" applyFill="1" applyBorder="1" applyAlignment="1">
      <alignment horizontal="center"/>
    </xf>
    <xf numFmtId="0" fontId="28" fillId="0" borderId="12" xfId="0" applyFont="1" applyFill="1" applyBorder="1"/>
    <xf numFmtId="0" fontId="28" fillId="0" borderId="7" xfId="0" applyFont="1" applyFill="1" applyBorder="1"/>
    <xf numFmtId="0" fontId="28" fillId="0" borderId="13" xfId="0" applyFont="1" applyFill="1" applyBorder="1"/>
    <xf numFmtId="0" fontId="28" fillId="0" borderId="9" xfId="0" applyFont="1" applyFill="1" applyBorder="1"/>
    <xf numFmtId="43" fontId="31" fillId="12" borderId="8" xfId="3" applyFont="1" applyFill="1" applyBorder="1" applyAlignment="1">
      <alignment horizontal="center"/>
    </xf>
    <xf numFmtId="166" fontId="31" fillId="12" borderId="3" xfId="1" applyNumberFormat="1" applyFont="1" applyFill="1" applyBorder="1"/>
    <xf numFmtId="166" fontId="31" fillId="12" borderId="1" xfId="1" applyNumberFormat="1" applyFont="1" applyFill="1" applyBorder="1"/>
    <xf numFmtId="181" fontId="29" fillId="13" borderId="1" xfId="0" applyNumberFormat="1" applyFont="1" applyFill="1" applyBorder="1"/>
    <xf numFmtId="167" fontId="30" fillId="0" borderId="3" xfId="0" applyNumberFormat="1" applyFont="1" applyBorder="1"/>
    <xf numFmtId="0" fontId="0" fillId="0" borderId="0" xfId="0" applyFont="1" applyBorder="1"/>
    <xf numFmtId="166" fontId="4" fillId="3" borderId="3" xfId="1" applyNumberFormat="1" applyFont="1" applyFill="1" applyBorder="1"/>
    <xf numFmtId="166" fontId="0" fillId="0" borderId="3" xfId="0" applyNumberFormat="1" applyBorder="1"/>
    <xf numFmtId="181" fontId="31" fillId="14" borderId="19" xfId="0" applyNumberFormat="1" applyFont="1" applyFill="1" applyBorder="1" applyAlignment="1">
      <alignment horizontal="right"/>
    </xf>
    <xf numFmtId="178" fontId="4" fillId="3" borderId="2" xfId="1" applyNumberFormat="1" applyFont="1" applyFill="1" applyBorder="1"/>
    <xf numFmtId="165" fontId="0" fillId="0" borderId="1" xfId="0" applyNumberFormat="1" applyBorder="1"/>
    <xf numFmtId="43" fontId="31" fillId="12" borderId="4" xfId="3" applyFont="1" applyFill="1" applyBorder="1" applyAlignment="1">
      <alignment horizontal="center"/>
    </xf>
    <xf numFmtId="4" fontId="31" fillId="12" borderId="1" xfId="2" applyNumberFormat="1" applyFont="1" applyFill="1" applyBorder="1" applyAlignment="1">
      <alignment horizontal="right"/>
    </xf>
    <xf numFmtId="172" fontId="0" fillId="0" borderId="0" xfId="2" applyNumberFormat="1" applyFont="1"/>
    <xf numFmtId="0" fontId="2" fillId="0" borderId="2" xfId="0" applyFont="1" applyBorder="1" applyAlignment="1">
      <alignment horizontal="center"/>
    </xf>
    <xf numFmtId="0" fontId="29" fillId="11" borderId="20" xfId="0" applyFont="1" applyFill="1" applyBorder="1"/>
    <xf numFmtId="0" fontId="29" fillId="11" borderId="1" xfId="0" applyFont="1" applyFill="1" applyBorder="1"/>
    <xf numFmtId="181" fontId="2" fillId="0" borderId="20" xfId="0" applyNumberFormat="1" applyFont="1" applyBorder="1"/>
    <xf numFmtId="9" fontId="2" fillId="0" borderId="1" xfId="2" applyFont="1" applyBorder="1" applyAlignment="1"/>
    <xf numFmtId="10" fontId="0" fillId="0" borderId="6" xfId="2" applyNumberFormat="1" applyFont="1" applyBorder="1" applyAlignment="1">
      <alignment horizontal="center"/>
    </xf>
    <xf numFmtId="10" fontId="0" fillId="0" borderId="8" xfId="2" applyNumberFormat="1" applyFont="1" applyBorder="1" applyAlignment="1">
      <alignment horizontal="center"/>
    </xf>
    <xf numFmtId="0" fontId="0" fillId="0" borderId="4" xfId="0" applyBorder="1" applyAlignment="1">
      <alignment horizontal="center"/>
    </xf>
    <xf numFmtId="0" fontId="0" fillId="0" borderId="6" xfId="0" applyBorder="1" applyAlignment="1">
      <alignment horizontal="center"/>
    </xf>
    <xf numFmtId="0" fontId="0" fillId="0" borderId="8" xfId="0" applyBorder="1" applyAlignment="1">
      <alignment horizontal="center"/>
    </xf>
    <xf numFmtId="10" fontId="0" fillId="0" borderId="1" xfId="0" applyNumberFormat="1" applyBorder="1" applyAlignment="1">
      <alignment horizontal="center"/>
    </xf>
    <xf numFmtId="181" fontId="0" fillId="0" borderId="1" xfId="0" applyNumberFormat="1" applyBorder="1" applyAlignment="1">
      <alignment horizontal="center"/>
    </xf>
    <xf numFmtId="9" fontId="0" fillId="0" borderId="1" xfId="2" applyFont="1" applyBorder="1" applyAlignment="1">
      <alignment horizontal="center"/>
    </xf>
    <xf numFmtId="9" fontId="0" fillId="0" borderId="7" xfId="2" applyFont="1" applyBorder="1" applyAlignment="1">
      <alignment horizontal="center"/>
    </xf>
    <xf numFmtId="9" fontId="0" fillId="0" borderId="9" xfId="2" applyFont="1" applyBorder="1" applyAlignment="1">
      <alignment horizontal="center"/>
    </xf>
    <xf numFmtId="181" fontId="0" fillId="0" borderId="4" xfId="0" applyNumberFormat="1" applyBorder="1" applyAlignment="1">
      <alignment horizontal="center"/>
    </xf>
    <xf numFmtId="181" fontId="0" fillId="0" borderId="6" xfId="0" applyNumberFormat="1" applyBorder="1" applyAlignment="1">
      <alignment horizontal="center"/>
    </xf>
    <xf numFmtId="181" fontId="0" fillId="0" borderId="8" xfId="0" applyNumberFormat="1" applyBorder="1" applyAlignment="1">
      <alignment horizontal="center"/>
    </xf>
    <xf numFmtId="0" fontId="0" fillId="0" borderId="1" xfId="0" applyBorder="1" applyAlignment="1">
      <alignment horizontal="center"/>
    </xf>
    <xf numFmtId="9" fontId="0" fillId="0" borderId="1" xfId="0" applyNumberFormat="1" applyBorder="1" applyAlignment="1">
      <alignment horizontal="center"/>
    </xf>
    <xf numFmtId="181" fontId="0" fillId="0" borderId="4" xfId="1" applyNumberFormat="1" applyFont="1" applyFill="1" applyBorder="1"/>
    <xf numFmtId="0" fontId="2" fillId="8" borderId="1" xfId="0" applyFont="1" applyFill="1" applyBorder="1"/>
    <xf numFmtId="181" fontId="2" fillId="8" borderId="1" xfId="0" applyNumberFormat="1" applyFont="1" applyFill="1" applyBorder="1"/>
    <xf numFmtId="165" fontId="30" fillId="0" borderId="3" xfId="1" applyNumberFormat="1" applyFont="1" applyFill="1" applyBorder="1"/>
    <xf numFmtId="165" fontId="30" fillId="0" borderId="1" xfId="1" applyNumberFormat="1" applyFont="1" applyFill="1" applyBorder="1"/>
    <xf numFmtId="2" fontId="31" fillId="12" borderId="3" xfId="0" applyNumberFormat="1" applyFont="1" applyFill="1" applyBorder="1"/>
    <xf numFmtId="0" fontId="29" fillId="13" borderId="8" xfId="0" applyFont="1" applyFill="1" applyBorder="1"/>
    <xf numFmtId="166" fontId="32" fillId="13" borderId="1" xfId="1" applyNumberFormat="1" applyFont="1" applyFill="1" applyBorder="1"/>
    <xf numFmtId="181" fontId="29" fillId="0" borderId="20" xfId="0" applyNumberFormat="1" applyFont="1" applyBorder="1"/>
    <xf numFmtId="181" fontId="29" fillId="0" borderId="0" xfId="0" applyNumberFormat="1" applyFont="1"/>
    <xf numFmtId="9" fontId="29" fillId="0" borderId="1" xfId="2" applyFont="1" applyFill="1" applyBorder="1" applyAlignment="1"/>
    <xf numFmtId="9" fontId="29" fillId="0" borderId="0" xfId="2" applyFont="1" applyFill="1" applyBorder="1" applyAlignment="1"/>
    <xf numFmtId="181" fontId="0" fillId="2" borderId="13" xfId="0" applyNumberFormat="1" applyFill="1" applyBorder="1" applyAlignment="1">
      <alignment horizontal="center"/>
    </xf>
    <xf numFmtId="181" fontId="0" fillId="2" borderId="14" xfId="0" applyNumberFormat="1" applyFill="1" applyBorder="1" applyAlignment="1">
      <alignment horizontal="center"/>
    </xf>
    <xf numFmtId="181" fontId="0" fillId="2" borderId="9" xfId="0" applyNumberFormat="1" applyFill="1" applyBorder="1" applyAlignment="1">
      <alignment horizontal="center"/>
    </xf>
    <xf numFmtId="184" fontId="0" fillId="2" borderId="13" xfId="0" applyNumberFormat="1" applyFill="1" applyBorder="1" applyAlignment="1">
      <alignment horizontal="center"/>
    </xf>
    <xf numFmtId="184" fontId="0" fillId="2" borderId="14" xfId="0" applyNumberFormat="1" applyFill="1" applyBorder="1" applyAlignment="1">
      <alignment horizontal="center"/>
    </xf>
    <xf numFmtId="184" fontId="0" fillId="2" borderId="9" xfId="0" applyNumberFormat="1" applyFill="1" applyBorder="1" applyAlignment="1">
      <alignment horizontal="center"/>
    </xf>
    <xf numFmtId="183" fontId="31" fillId="14" borderId="19" xfId="0" applyNumberFormat="1" applyFont="1" applyFill="1" applyBorder="1" applyAlignment="1">
      <alignment horizontal="right"/>
    </xf>
    <xf numFmtId="0" fontId="34" fillId="0" borderId="0" xfId="0" applyFont="1"/>
    <xf numFmtId="43" fontId="0" fillId="5" borderId="0" xfId="1" applyFont="1" applyFill="1" applyBorder="1"/>
    <xf numFmtId="0" fontId="0" fillId="0" borderId="5" xfId="1" applyNumberFormat="1" applyFont="1" applyFill="1" applyBorder="1" applyAlignment="1">
      <alignment wrapText="1"/>
    </xf>
    <xf numFmtId="14" fontId="2" fillId="0" borderId="5" xfId="1" applyNumberFormat="1" applyFont="1" applyFill="1" applyBorder="1" applyAlignment="1">
      <alignment horizontal="center"/>
    </xf>
    <xf numFmtId="170" fontId="0" fillId="0" borderId="10" xfId="0" applyNumberFormat="1" applyFill="1" applyBorder="1"/>
    <xf numFmtId="170" fontId="0" fillId="0" borderId="11" xfId="0" applyNumberFormat="1" applyFill="1" applyBorder="1"/>
    <xf numFmtId="10" fontId="0" fillId="0" borderId="4" xfId="0" applyNumberFormat="1" applyFill="1" applyBorder="1"/>
    <xf numFmtId="0" fontId="0" fillId="0" borderId="7" xfId="1" applyNumberFormat="1" applyFont="1" applyFill="1" applyBorder="1" applyAlignment="1">
      <alignment wrapText="1"/>
    </xf>
    <xf numFmtId="166" fontId="2" fillId="0" borderId="12" xfId="1" applyNumberFormat="1" applyFont="1" applyFill="1" applyBorder="1" applyAlignment="1">
      <alignment horizontal="center"/>
    </xf>
    <xf numFmtId="170" fontId="0" fillId="0" borderId="12" xfId="0" applyNumberFormat="1" applyFill="1" applyBorder="1"/>
    <xf numFmtId="170" fontId="0" fillId="0" borderId="0" xfId="0" applyNumberFormat="1" applyFill="1" applyBorder="1"/>
    <xf numFmtId="0" fontId="0" fillId="0" borderId="9" xfId="1" applyNumberFormat="1" applyFont="1" applyFill="1" applyBorder="1" applyAlignment="1">
      <alignment wrapText="1"/>
    </xf>
    <xf numFmtId="166" fontId="2" fillId="0" borderId="13" xfId="1" applyNumberFormat="1" applyFont="1" applyFill="1" applyBorder="1" applyAlignment="1">
      <alignment horizontal="center"/>
    </xf>
    <xf numFmtId="166" fontId="0" fillId="0" borderId="14" xfId="1" applyNumberFormat="1" applyFont="1" applyFill="1" applyBorder="1" applyAlignment="1">
      <alignment horizontal="center"/>
    </xf>
    <xf numFmtId="166" fontId="0" fillId="0" borderId="9" xfId="1" applyNumberFormat="1" applyFont="1" applyFill="1" applyBorder="1" applyAlignment="1">
      <alignment horizontal="center"/>
    </xf>
    <xf numFmtId="170" fontId="0" fillId="0" borderId="13" xfId="0" applyNumberFormat="1" applyFill="1" applyBorder="1"/>
    <xf numFmtId="170" fontId="0" fillId="0" borderId="14" xfId="0" applyNumberFormat="1" applyFill="1" applyBorder="1"/>
    <xf numFmtId="10" fontId="0" fillId="0" borderId="8" xfId="0" applyNumberFormat="1" applyFill="1" applyBorder="1"/>
    <xf numFmtId="0" fontId="0" fillId="0" borderId="10" xfId="0" applyFill="1" applyBorder="1" applyAlignment="1">
      <alignment horizontal="center"/>
    </xf>
    <xf numFmtId="43" fontId="0" fillId="0" borderId="4" xfId="1" applyNumberFormat="1" applyFont="1" applyFill="1" applyBorder="1" applyAlignment="1">
      <alignment horizontal="center"/>
    </xf>
    <xf numFmtId="1" fontId="0" fillId="0" borderId="0" xfId="0" applyNumberFormat="1" applyFill="1" applyBorder="1" applyAlignment="1">
      <alignment horizontal="center"/>
    </xf>
    <xf numFmtId="0" fontId="0" fillId="0" borderId="12" xfId="0" applyFill="1" applyBorder="1" applyAlignment="1">
      <alignment horizontal="center"/>
    </xf>
    <xf numFmtId="0" fontId="0" fillId="0" borderId="13" xfId="0" applyFill="1" applyBorder="1" applyAlignment="1">
      <alignment horizontal="center"/>
    </xf>
    <xf numFmtId="43" fontId="0" fillId="0" borderId="1" xfId="1" applyNumberFormat="1" applyFont="1" applyFill="1" applyBorder="1" applyAlignment="1">
      <alignment horizontal="center"/>
    </xf>
    <xf numFmtId="166" fontId="0" fillId="5" borderId="12" xfId="1" applyNumberFormat="1" applyFont="1" applyFill="1" applyBorder="1"/>
    <xf numFmtId="166" fontId="0" fillId="5" borderId="0" xfId="1" applyNumberFormat="1" applyFont="1" applyFill="1" applyAlignment="1">
      <alignment wrapText="1"/>
    </xf>
    <xf numFmtId="166" fontId="0" fillId="5" borderId="13" xfId="1" applyNumberFormat="1" applyFont="1" applyFill="1" applyBorder="1"/>
    <xf numFmtId="166" fontId="0" fillId="5" borderId="0" xfId="1" applyNumberFormat="1" applyFont="1" applyFill="1" applyBorder="1"/>
    <xf numFmtId="166" fontId="1" fillId="0" borderId="0" xfId="1" applyNumberFormat="1" applyFont="1" applyFill="1" applyBorder="1" applyAlignment="1">
      <alignment horizontal="right" wrapText="1"/>
    </xf>
    <xf numFmtId="166" fontId="1" fillId="0" borderId="14" xfId="1" applyNumberFormat="1" applyFont="1" applyFill="1" applyBorder="1" applyAlignment="1">
      <alignment horizontal="right" wrapText="1"/>
    </xf>
    <xf numFmtId="10" fontId="0" fillId="0" borderId="0" xfId="2" applyNumberFormat="1" applyFont="1" applyFill="1" applyBorder="1"/>
    <xf numFmtId="166" fontId="0" fillId="0" borderId="2" xfId="1" applyNumberFormat="1" applyFont="1" applyFill="1" applyBorder="1" applyAlignment="1">
      <alignment horizontal="right" wrapText="1"/>
    </xf>
    <xf numFmtId="9" fontId="0" fillId="0" borderId="3" xfId="2" applyFont="1" applyFill="1" applyBorder="1"/>
    <xf numFmtId="3" fontId="0" fillId="0" borderId="0" xfId="0" applyNumberFormat="1" applyFill="1"/>
    <xf numFmtId="175" fontId="0" fillId="0" borderId="0" xfId="0" applyNumberFormat="1" applyFill="1"/>
    <xf numFmtId="176" fontId="0" fillId="0" borderId="0" xfId="0" applyNumberFormat="1" applyFill="1"/>
    <xf numFmtId="0" fontId="10" fillId="0" borderId="0" xfId="0" applyFont="1" applyFill="1"/>
    <xf numFmtId="1" fontId="0" fillId="0" borderId="0" xfId="0" applyNumberFormat="1" applyFill="1"/>
    <xf numFmtId="175" fontId="10" fillId="0" borderId="0" xfId="0" applyNumberFormat="1" applyFont="1" applyFill="1"/>
    <xf numFmtId="9" fontId="0" fillId="0" borderId="0" xfId="0" applyNumberFormat="1" applyFill="1"/>
    <xf numFmtId="175" fontId="0" fillId="0" borderId="0" xfId="0" applyNumberFormat="1" applyFill="1" applyBorder="1"/>
    <xf numFmtId="175" fontId="0" fillId="0" borderId="0" xfId="1" applyNumberFormat="1" applyFont="1" applyFill="1" applyBorder="1"/>
    <xf numFmtId="0" fontId="10" fillId="0" borderId="5" xfId="0" applyFont="1" applyFill="1" applyBorder="1"/>
    <xf numFmtId="175" fontId="10" fillId="0" borderId="0" xfId="15" applyNumberFormat="1" applyFont="1" applyFill="1" applyBorder="1"/>
    <xf numFmtId="175" fontId="10" fillId="0" borderId="14" xfId="15" applyNumberFormat="1" applyFont="1" applyFill="1" applyBorder="1"/>
    <xf numFmtId="0" fontId="5" fillId="0" borderId="10" xfId="0" applyFont="1" applyFill="1" applyBorder="1"/>
    <xf numFmtId="0" fontId="10" fillId="0" borderId="11" xfId="0" applyFont="1" applyFill="1" applyBorder="1"/>
    <xf numFmtId="0" fontId="10" fillId="0" borderId="12" xfId="0" applyFont="1" applyFill="1" applyBorder="1" applyAlignment="1">
      <alignment horizontal="left" indent="2"/>
    </xf>
    <xf numFmtId="0" fontId="10" fillId="0" borderId="0" xfId="0" applyFont="1" applyFill="1" applyBorder="1"/>
    <xf numFmtId="175" fontId="10" fillId="0" borderId="0" xfId="0" applyNumberFormat="1" applyFont="1" applyFill="1" applyBorder="1"/>
    <xf numFmtId="175" fontId="10" fillId="0" borderId="7" xfId="0" applyNumberFormat="1" applyFont="1" applyFill="1" applyBorder="1"/>
    <xf numFmtId="166" fontId="10" fillId="0" borderId="0" xfId="1" applyNumberFormat="1" applyFont="1" applyFill="1" applyBorder="1"/>
    <xf numFmtId="43" fontId="10" fillId="0" borderId="0" xfId="1" applyFont="1" applyFill="1" applyBorder="1"/>
    <xf numFmtId="166" fontId="10" fillId="0" borderId="7" xfId="1" applyNumberFormat="1" applyFont="1" applyFill="1" applyBorder="1"/>
    <xf numFmtId="0" fontId="10" fillId="0" borderId="7" xfId="0" applyFont="1" applyFill="1" applyBorder="1"/>
    <xf numFmtId="0" fontId="10" fillId="0" borderId="13" xfId="0" applyFont="1" applyFill="1" applyBorder="1" applyAlignment="1">
      <alignment horizontal="left" indent="2"/>
    </xf>
    <xf numFmtId="0" fontId="10" fillId="0" borderId="14" xfId="0" applyFont="1" applyFill="1" applyBorder="1"/>
    <xf numFmtId="43" fontId="10" fillId="0" borderId="14" xfId="1" applyFont="1" applyFill="1" applyBorder="1"/>
    <xf numFmtId="0" fontId="10" fillId="0" borderId="9" xfId="0" applyFont="1" applyFill="1" applyBorder="1"/>
    <xf numFmtId="166" fontId="10" fillId="0" borderId="9" xfId="1" applyNumberFormat="1" applyFont="1" applyFill="1" applyBorder="1"/>
    <xf numFmtId="0" fontId="10" fillId="0" borderId="15" xfId="0" applyFont="1" applyFill="1" applyBorder="1"/>
    <xf numFmtId="0" fontId="10" fillId="0" borderId="3" xfId="0" applyFont="1" applyFill="1" applyBorder="1"/>
    <xf numFmtId="175" fontId="10" fillId="0" borderId="11" xfId="0" applyNumberFormat="1" applyFont="1" applyFill="1" applyBorder="1"/>
    <xf numFmtId="2" fontId="10" fillId="0" borderId="0" xfId="0" applyNumberFormat="1" applyFont="1" applyFill="1" applyBorder="1"/>
    <xf numFmtId="2" fontId="10" fillId="0" borderId="14" xfId="0" applyNumberFormat="1" applyFont="1" applyFill="1" applyBorder="1"/>
    <xf numFmtId="175" fontId="10" fillId="0" borderId="9" xfId="0" applyNumberFormat="1" applyFont="1" applyFill="1" applyBorder="1"/>
    <xf numFmtId="166" fontId="10" fillId="0" borderId="14" xfId="1" applyNumberFormat="1" applyFont="1" applyFill="1" applyBorder="1"/>
    <xf numFmtId="0" fontId="5" fillId="0" borderId="13" xfId="0" applyFont="1" applyFill="1" applyBorder="1"/>
    <xf numFmtId="0" fontId="5" fillId="0" borderId="2" xfId="0" applyFont="1" applyFill="1" applyBorder="1"/>
    <xf numFmtId="0" fontId="10" fillId="0" borderId="0" xfId="0" applyFont="1" applyFill="1" applyBorder="1" applyAlignment="1">
      <alignment horizontal="left" indent="2"/>
    </xf>
    <xf numFmtId="0" fontId="0" fillId="0" borderId="6" xfId="0" applyBorder="1"/>
    <xf numFmtId="43" fontId="0" fillId="0" borderId="6" xfId="1" applyFont="1" applyBorder="1"/>
    <xf numFmtId="43" fontId="0" fillId="0" borderId="8" xfId="1" applyFont="1" applyBorder="1"/>
    <xf numFmtId="166" fontId="0" fillId="0" borderId="11" xfId="1" applyNumberFormat="1" applyFont="1" applyFill="1" applyBorder="1" applyAlignment="1">
      <alignment horizontal="right" wrapText="1"/>
    </xf>
    <xf numFmtId="166" fontId="0" fillId="0" borderId="0" xfId="1" applyNumberFormat="1" applyFont="1" applyFill="1" applyBorder="1" applyAlignment="1">
      <alignment horizontal="right" wrapText="1"/>
    </xf>
    <xf numFmtId="166" fontId="0" fillId="0" borderId="14" xfId="1" applyNumberFormat="1" applyFont="1" applyFill="1" applyBorder="1" applyAlignment="1">
      <alignment horizontal="right" wrapText="1"/>
    </xf>
    <xf numFmtId="166" fontId="10" fillId="0" borderId="4" xfId="1" applyNumberFormat="1" applyFont="1" applyFill="1" applyBorder="1" applyAlignment="1">
      <alignment horizontal="right" wrapText="1"/>
    </xf>
    <xf numFmtId="166" fontId="10" fillId="0" borderId="6" xfId="1" applyNumberFormat="1" applyFont="1" applyFill="1" applyBorder="1" applyAlignment="1">
      <alignment horizontal="right" wrapText="1"/>
    </xf>
    <xf numFmtId="166" fontId="10" fillId="0" borderId="8" xfId="1" applyNumberFormat="1" applyFont="1" applyFill="1" applyBorder="1" applyAlignment="1">
      <alignment horizontal="right" wrapText="1"/>
    </xf>
    <xf numFmtId="166" fontId="10" fillId="0" borderId="2" xfId="1" applyNumberFormat="1" applyFont="1" applyFill="1" applyBorder="1" applyAlignment="1">
      <alignment horizontal="right" wrapText="1"/>
    </xf>
    <xf numFmtId="10" fontId="1" fillId="0" borderId="15" xfId="2" applyNumberFormat="1" applyFont="1" applyFill="1" applyBorder="1" applyAlignment="1">
      <alignment horizontal="right" wrapText="1"/>
    </xf>
    <xf numFmtId="166" fontId="10" fillId="0" borderId="15" xfId="1" applyNumberFormat="1" applyFont="1" applyFill="1" applyBorder="1" applyAlignment="1">
      <alignment horizontal="right" wrapText="1"/>
    </xf>
    <xf numFmtId="9" fontId="0" fillId="0" borderId="15" xfId="2" applyFont="1" applyFill="1" applyBorder="1"/>
    <xf numFmtId="166" fontId="1" fillId="0" borderId="3" xfId="1" applyNumberFormat="1" applyFont="1" applyFill="1" applyBorder="1" applyAlignment="1">
      <alignment horizontal="right" wrapText="1"/>
    </xf>
    <xf numFmtId="43" fontId="4" fillId="3" borderId="1" xfId="1" applyFont="1" applyFill="1" applyBorder="1"/>
    <xf numFmtId="0" fontId="35" fillId="0" borderId="0" xfId="0" applyFont="1" applyFill="1" applyBorder="1"/>
    <xf numFmtId="165" fontId="36" fillId="0" borderId="0" xfId="0" applyNumberFormat="1" applyFont="1"/>
    <xf numFmtId="177" fontId="2" fillId="0" borderId="1" xfId="1" applyNumberFormat="1" applyFont="1" applyBorder="1"/>
    <xf numFmtId="43" fontId="0" fillId="0" borderId="2" xfId="1" applyNumberFormat="1" applyFont="1" applyFill="1" applyBorder="1"/>
    <xf numFmtId="43" fontId="1" fillId="0" borderId="15" xfId="1" applyNumberFormat="1" applyFont="1" applyFill="1" applyBorder="1" applyAlignment="1">
      <alignment horizontal="right" wrapText="1"/>
    </xf>
    <xf numFmtId="166" fontId="0" fillId="0" borderId="2" xfId="1" applyNumberFormat="1" applyFont="1" applyFill="1" applyBorder="1"/>
    <xf numFmtId="166" fontId="1" fillId="0" borderId="15" xfId="1" applyNumberFormat="1" applyFont="1" applyFill="1" applyBorder="1" applyAlignment="1">
      <alignment horizontal="right" wrapText="1"/>
    </xf>
    <xf numFmtId="166" fontId="0" fillId="0" borderId="2" xfId="1" applyNumberFormat="1" applyFont="1" applyFill="1" applyBorder="1" applyAlignment="1">
      <alignment wrapText="1"/>
    </xf>
    <xf numFmtId="166" fontId="0" fillId="0" borderId="1" xfId="1" applyNumberFormat="1" applyFont="1" applyFill="1" applyBorder="1"/>
    <xf numFmtId="166" fontId="1" fillId="0" borderId="1" xfId="1" applyNumberFormat="1" applyFont="1" applyFill="1" applyBorder="1" applyAlignment="1">
      <alignment horizontal="right" wrapText="1"/>
    </xf>
    <xf numFmtId="43" fontId="0" fillId="0" borderId="1" xfId="1" applyNumberFormat="1" applyFont="1" applyFill="1" applyBorder="1"/>
    <xf numFmtId="43" fontId="0" fillId="0" borderId="15" xfId="1" applyFont="1" applyFill="1" applyBorder="1"/>
    <xf numFmtId="43" fontId="0" fillId="0" borderId="4" xfId="1" applyFont="1" applyFill="1" applyBorder="1"/>
    <xf numFmtId="43" fontId="0" fillId="0" borderId="6" xfId="1" applyFont="1" applyFill="1" applyBorder="1"/>
    <xf numFmtId="43" fontId="0" fillId="0" borderId="8" xfId="1" applyFont="1" applyFill="1" applyBorder="1"/>
    <xf numFmtId="0" fontId="0" fillId="0" borderId="15" xfId="1" applyNumberFormat="1" applyFont="1" applyFill="1" applyBorder="1" applyAlignment="1">
      <alignment wrapText="1"/>
    </xf>
    <xf numFmtId="14" fontId="0" fillId="0" borderId="2" xfId="1" applyNumberFormat="1" applyFont="1" applyFill="1" applyBorder="1" applyAlignment="1">
      <alignment horizontal="center"/>
    </xf>
    <xf numFmtId="14" fontId="0" fillId="0" borderId="15" xfId="1" applyNumberFormat="1" applyFont="1" applyFill="1" applyBorder="1" applyAlignment="1">
      <alignment horizontal="center"/>
    </xf>
    <xf numFmtId="43" fontId="0" fillId="0" borderId="3" xfId="1" applyFont="1" applyFill="1" applyBorder="1"/>
    <xf numFmtId="166" fontId="0" fillId="0" borderId="15" xfId="0" applyNumberFormat="1" applyFill="1" applyBorder="1" applyAlignment="1">
      <alignment horizontal="left" wrapText="1" indent="1"/>
    </xf>
    <xf numFmtId="166" fontId="0" fillId="0" borderId="3" xfId="1" applyNumberFormat="1" applyFont="1" applyFill="1" applyBorder="1" applyAlignment="1"/>
    <xf numFmtId="166" fontId="10" fillId="0" borderId="1" xfId="1" applyNumberFormat="1" applyFont="1" applyFill="1" applyBorder="1" applyAlignment="1">
      <alignment horizontal="right" wrapText="1"/>
    </xf>
    <xf numFmtId="170" fontId="0" fillId="0" borderId="4" xfId="0" applyNumberFormat="1" applyFill="1" applyBorder="1"/>
    <xf numFmtId="170" fontId="0" fillId="0" borderId="1" xfId="0" applyNumberFormat="1" applyFill="1" applyBorder="1"/>
    <xf numFmtId="10" fontId="0" fillId="0" borderId="1" xfId="0" applyNumberFormat="1" applyFill="1" applyBorder="1"/>
    <xf numFmtId="0" fontId="0" fillId="0" borderId="4" xfId="0" applyBorder="1"/>
    <xf numFmtId="178" fontId="4" fillId="3" borderId="3" xfId="1" applyNumberFormat="1" applyFont="1" applyFill="1" applyBorder="1"/>
    <xf numFmtId="165" fontId="0" fillId="0" borderId="3" xfId="0" applyNumberFormat="1" applyBorder="1"/>
    <xf numFmtId="0" fontId="0" fillId="0" borderId="8" xfId="0" applyBorder="1"/>
    <xf numFmtId="43" fontId="0" fillId="0" borderId="3" xfId="0" applyNumberFormat="1" applyBorder="1"/>
    <xf numFmtId="166" fontId="10" fillId="0" borderId="3" xfId="1" applyNumberFormat="1" applyFont="1" applyFill="1" applyBorder="1"/>
    <xf numFmtId="43" fontId="0" fillId="0" borderId="9" xfId="0" applyNumberFormat="1" applyBorder="1"/>
    <xf numFmtId="167" fontId="4" fillId="3" borderId="4" xfId="1" applyNumberFormat="1" applyFont="1" applyFill="1" applyBorder="1" applyAlignment="1">
      <alignment horizontal="right"/>
    </xf>
    <xf numFmtId="167" fontId="0" fillId="0" borderId="3" xfId="0" applyNumberFormat="1" applyBorder="1"/>
    <xf numFmtId="0" fontId="2" fillId="9" borderId="10" xfId="0" applyFont="1" applyFill="1" applyBorder="1" applyAlignment="1">
      <alignment horizontal="center"/>
    </xf>
    <xf numFmtId="0" fontId="2" fillId="9" borderId="11" xfId="0" applyFont="1" applyFill="1" applyBorder="1" applyAlignment="1">
      <alignment horizontal="center"/>
    </xf>
    <xf numFmtId="0" fontId="2" fillId="9" borderId="5" xfId="0" applyFont="1" applyFill="1" applyBorder="1" applyAlignment="1">
      <alignment horizontal="center"/>
    </xf>
    <xf numFmtId="0" fontId="2" fillId="2" borderId="4" xfId="0" applyFont="1" applyFill="1" applyBorder="1" applyAlignment="1">
      <alignment horizontal="center" vertical="center" textRotation="90"/>
    </xf>
    <xf numFmtId="0" fontId="2" fillId="2" borderId="6" xfId="0" applyFont="1" applyFill="1" applyBorder="1" applyAlignment="1">
      <alignment horizontal="center" vertical="center" textRotation="90"/>
    </xf>
    <xf numFmtId="0" fontId="2" fillId="2" borderId="8" xfId="0" applyFont="1" applyFill="1" applyBorder="1" applyAlignment="1">
      <alignment horizontal="center" vertical="center" textRotation="90"/>
    </xf>
    <xf numFmtId="0" fontId="2" fillId="0" borderId="2" xfId="0" applyFont="1" applyFill="1" applyBorder="1" applyAlignment="1">
      <alignment horizontal="center"/>
    </xf>
    <xf numFmtId="0" fontId="2" fillId="0" borderId="15" xfId="0" applyFont="1" applyFill="1" applyBorder="1" applyAlignment="1">
      <alignment horizontal="center"/>
    </xf>
    <xf numFmtId="0" fontId="2" fillId="0" borderId="3" xfId="0" applyFont="1" applyFill="1" applyBorder="1" applyAlignment="1">
      <alignment horizontal="center"/>
    </xf>
    <xf numFmtId="0" fontId="2" fillId="2" borderId="13" xfId="0" applyFont="1" applyFill="1" applyBorder="1" applyAlignment="1">
      <alignment horizontal="center"/>
    </xf>
    <xf numFmtId="0" fontId="2" fillId="2" borderId="14" xfId="0" applyFont="1" applyFill="1" applyBorder="1" applyAlignment="1">
      <alignment horizontal="center"/>
    </xf>
    <xf numFmtId="0" fontId="2" fillId="2" borderId="9" xfId="0" applyFont="1" applyFill="1" applyBorder="1" applyAlignment="1">
      <alignment horizontal="center"/>
    </xf>
    <xf numFmtId="0" fontId="2" fillId="2" borderId="2" xfId="0" applyFont="1" applyFill="1" applyBorder="1" applyAlignment="1">
      <alignment horizontal="center"/>
    </xf>
    <xf numFmtId="0" fontId="2" fillId="2" borderId="15" xfId="0" applyFont="1" applyFill="1" applyBorder="1" applyAlignment="1">
      <alignment horizontal="center"/>
    </xf>
    <xf numFmtId="0" fontId="2" fillId="2" borderId="3" xfId="0" applyFont="1" applyFill="1" applyBorder="1" applyAlignment="1">
      <alignment horizontal="center"/>
    </xf>
    <xf numFmtId="0" fontId="2" fillId="0" borderId="10" xfId="0" applyFont="1" applyFill="1" applyBorder="1" applyAlignment="1">
      <alignment horizontal="center"/>
    </xf>
    <xf numFmtId="0" fontId="2" fillId="0" borderId="11" xfId="0" applyFont="1" applyFill="1" applyBorder="1" applyAlignment="1">
      <alignment horizontal="center"/>
    </xf>
    <xf numFmtId="0" fontId="2" fillId="0" borderId="5" xfId="0" applyFont="1" applyFill="1" applyBorder="1" applyAlignment="1">
      <alignment horizontal="center"/>
    </xf>
    <xf numFmtId="0" fontId="29" fillId="11" borderId="2" xfId="0" applyFont="1" applyFill="1" applyBorder="1" applyAlignment="1">
      <alignment horizontal="center"/>
    </xf>
    <xf numFmtId="0" fontId="29" fillId="11" borderId="15" xfId="0" applyFont="1" applyFill="1" applyBorder="1" applyAlignment="1">
      <alignment horizontal="center"/>
    </xf>
    <xf numFmtId="0" fontId="29" fillId="11" borderId="3" xfId="0" applyFont="1" applyFill="1" applyBorder="1" applyAlignment="1">
      <alignment horizontal="center"/>
    </xf>
    <xf numFmtId="0" fontId="2" fillId="0" borderId="2" xfId="0" applyFont="1" applyBorder="1" applyAlignment="1">
      <alignment horizontal="center"/>
    </xf>
    <xf numFmtId="0" fontId="2" fillId="0" borderId="3" xfId="0" applyFont="1" applyBorder="1" applyAlignment="1">
      <alignment horizontal="center"/>
    </xf>
    <xf numFmtId="181" fontId="2" fillId="0" borderId="21" xfId="0" applyNumberFormat="1" applyFont="1" applyBorder="1" applyAlignment="1">
      <alignment horizontal="center"/>
    </xf>
    <xf numFmtId="181" fontId="2" fillId="0" borderId="22" xfId="0" applyNumberFormat="1" applyFont="1" applyBorder="1" applyAlignment="1">
      <alignment horizontal="center"/>
    </xf>
    <xf numFmtId="9" fontId="2" fillId="0" borderId="2" xfId="2" applyFont="1" applyBorder="1" applyAlignment="1">
      <alignment horizontal="center"/>
    </xf>
    <xf numFmtId="9" fontId="2" fillId="0" borderId="3" xfId="2" applyFont="1" applyBorder="1" applyAlignment="1">
      <alignment horizontal="center"/>
    </xf>
  </cellXfs>
  <cellStyles count="18">
    <cellStyle name="20% - Accent1" xfId="17" builtinId="30"/>
    <cellStyle name="Balance" xfId="7" xr:uid="{00000000-0005-0000-0000-000000000000}"/>
    <cellStyle name="Comma" xfId="1" builtinId="3"/>
    <cellStyle name="Comma 2" xfId="3" xr:uid="{00000000-0005-0000-0000-000002000000}"/>
    <cellStyle name="Currency" xfId="15" builtinId="4"/>
    <cellStyle name="Currency 2" xfId="8" xr:uid="{00000000-0005-0000-0000-000003000000}"/>
    <cellStyle name="Header1" xfId="9" xr:uid="{00000000-0005-0000-0000-000004000000}"/>
    <cellStyle name="Header2" xfId="6" xr:uid="{00000000-0005-0000-0000-000005000000}"/>
    <cellStyle name="Hyperlink" xfId="16" builtinId="8"/>
    <cellStyle name="Hyperlink 2" xfId="10" xr:uid="{00000000-0005-0000-0000-000006000000}"/>
    <cellStyle name="Info" xfId="5" xr:uid="{00000000-0005-0000-0000-000007000000}"/>
    <cellStyle name="Normal" xfId="0" builtinId="0"/>
    <cellStyle name="Normal 2" xfId="4" xr:uid="{00000000-0005-0000-0000-000009000000}"/>
    <cellStyle name="Number" xfId="11" xr:uid="{00000000-0005-0000-0000-00000A000000}"/>
    <cellStyle name="Offsheet" xfId="12" xr:uid="{00000000-0005-0000-0000-00000B000000}"/>
    <cellStyle name="Percent" xfId="2" builtinId="5"/>
    <cellStyle name="Percent 2" xfId="13" xr:uid="{00000000-0005-0000-0000-00000D000000}"/>
    <cellStyle name="Table" xfId="14" xr:uid="{00000000-0005-0000-0000-00000E000000}"/>
  </cellStyles>
  <dxfs count="188">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mruColors>
      <color rgb="FF0000FF"/>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1.xml"/><Relationship Id="rId37"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microsoft.com/office/2017/10/relationships/person" Target="persons/perso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5.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226218</xdr:colOff>
      <xdr:row>0</xdr:row>
      <xdr:rowOff>154781</xdr:rowOff>
    </xdr:from>
    <xdr:to>
      <xdr:col>1</xdr:col>
      <xdr:colOff>2251115</xdr:colOff>
      <xdr:row>4</xdr:row>
      <xdr:rowOff>65052</xdr:rowOff>
    </xdr:to>
    <xdr:pic>
      <xdr:nvPicPr>
        <xdr:cNvPr id="2" name="Picture 1" descr="logo.png">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stretch>
          <a:fillRect/>
        </a:stretch>
      </xdr:blipFill>
      <xdr:spPr>
        <a:xfrm>
          <a:off x="3000374" y="154781"/>
          <a:ext cx="2024897" cy="672271"/>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226218</xdr:colOff>
      <xdr:row>0</xdr:row>
      <xdr:rowOff>154781</xdr:rowOff>
    </xdr:from>
    <xdr:to>
      <xdr:col>1</xdr:col>
      <xdr:colOff>2251115</xdr:colOff>
      <xdr:row>4</xdr:row>
      <xdr:rowOff>65052</xdr:rowOff>
    </xdr:to>
    <xdr:pic>
      <xdr:nvPicPr>
        <xdr:cNvPr id="2" name="Picture 1" descr="logo.png">
          <a:extLst>
            <a:ext uri="{FF2B5EF4-FFF2-40B4-BE49-F238E27FC236}">
              <a16:creationId xmlns:a16="http://schemas.microsoft.com/office/drawing/2014/main" id="{BB92B498-1EEA-4574-A86B-8A7EBC5A3776}"/>
            </a:ext>
          </a:extLst>
        </xdr:cNvPr>
        <xdr:cNvPicPr>
          <a:picLocks noChangeAspect="1"/>
        </xdr:cNvPicPr>
      </xdr:nvPicPr>
      <xdr:blipFill>
        <a:blip xmlns:r="http://schemas.openxmlformats.org/officeDocument/2006/relationships" r:embed="rId1" cstate="print"/>
        <a:stretch>
          <a:fillRect/>
        </a:stretch>
      </xdr:blipFill>
      <xdr:spPr>
        <a:xfrm>
          <a:off x="454818" y="154781"/>
          <a:ext cx="2024897" cy="672271"/>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226218</xdr:colOff>
      <xdr:row>0</xdr:row>
      <xdr:rowOff>154781</xdr:rowOff>
    </xdr:from>
    <xdr:to>
      <xdr:col>1</xdr:col>
      <xdr:colOff>2251115</xdr:colOff>
      <xdr:row>4</xdr:row>
      <xdr:rowOff>65052</xdr:rowOff>
    </xdr:to>
    <xdr:pic>
      <xdr:nvPicPr>
        <xdr:cNvPr id="2" name="Picture 1" descr="logo.png">
          <a:extLst>
            <a:ext uri="{FF2B5EF4-FFF2-40B4-BE49-F238E27FC236}">
              <a16:creationId xmlns:a16="http://schemas.microsoft.com/office/drawing/2014/main" id="{8403D4A0-9B07-4CA2-8480-66473F928985}"/>
            </a:ext>
          </a:extLst>
        </xdr:cNvPr>
        <xdr:cNvPicPr>
          <a:picLocks noChangeAspect="1"/>
        </xdr:cNvPicPr>
      </xdr:nvPicPr>
      <xdr:blipFill>
        <a:blip xmlns:r="http://schemas.openxmlformats.org/officeDocument/2006/relationships" r:embed="rId1" cstate="print"/>
        <a:stretch>
          <a:fillRect/>
        </a:stretch>
      </xdr:blipFill>
      <xdr:spPr>
        <a:xfrm>
          <a:off x="454818" y="154781"/>
          <a:ext cx="2024897" cy="672271"/>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21432</xdr:colOff>
      <xdr:row>1</xdr:row>
      <xdr:rowOff>14287</xdr:rowOff>
    </xdr:from>
    <xdr:to>
      <xdr:col>3</xdr:col>
      <xdr:colOff>297657</xdr:colOff>
      <xdr:row>4</xdr:row>
      <xdr:rowOff>66862</xdr:rowOff>
    </xdr:to>
    <xdr:pic>
      <xdr:nvPicPr>
        <xdr:cNvPr id="2" name="Picture 1" descr="logo.png">
          <a:extLst>
            <a:ext uri="{FF2B5EF4-FFF2-40B4-BE49-F238E27FC236}">
              <a16:creationId xmlns:a16="http://schemas.microsoft.com/office/drawing/2014/main" id="{F03BF2E6-E39F-42B1-A64F-3C3AAA846B9B}"/>
            </a:ext>
          </a:extLst>
        </xdr:cNvPr>
        <xdr:cNvPicPr>
          <a:picLocks noChangeAspect="1"/>
        </xdr:cNvPicPr>
      </xdr:nvPicPr>
      <xdr:blipFill>
        <a:blip xmlns:r="http://schemas.openxmlformats.org/officeDocument/2006/relationships" r:embed="rId1" cstate="print"/>
        <a:stretch>
          <a:fillRect/>
        </a:stretch>
      </xdr:blipFill>
      <xdr:spPr>
        <a:xfrm>
          <a:off x="307182" y="204787"/>
          <a:ext cx="2181225" cy="814575"/>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21432</xdr:colOff>
      <xdr:row>1</xdr:row>
      <xdr:rowOff>14287</xdr:rowOff>
    </xdr:from>
    <xdr:to>
      <xdr:col>3</xdr:col>
      <xdr:colOff>297657</xdr:colOff>
      <xdr:row>4</xdr:row>
      <xdr:rowOff>66862</xdr:rowOff>
    </xdr:to>
    <xdr:pic>
      <xdr:nvPicPr>
        <xdr:cNvPr id="2" name="Picture 1" descr="logo.png">
          <a:extLst>
            <a:ext uri="{FF2B5EF4-FFF2-40B4-BE49-F238E27FC236}">
              <a16:creationId xmlns:a16="http://schemas.microsoft.com/office/drawing/2014/main" id="{103B6810-C6E3-4C0B-9AB0-C47B62E2339F}"/>
            </a:ext>
          </a:extLst>
        </xdr:cNvPr>
        <xdr:cNvPicPr>
          <a:picLocks noChangeAspect="1"/>
        </xdr:cNvPicPr>
      </xdr:nvPicPr>
      <xdr:blipFill>
        <a:blip xmlns:r="http://schemas.openxmlformats.org/officeDocument/2006/relationships" r:embed="rId1" cstate="print"/>
        <a:stretch>
          <a:fillRect/>
        </a:stretch>
      </xdr:blipFill>
      <xdr:spPr>
        <a:xfrm>
          <a:off x="307182" y="204787"/>
          <a:ext cx="2181225" cy="814575"/>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21432</xdr:colOff>
      <xdr:row>1</xdr:row>
      <xdr:rowOff>14287</xdr:rowOff>
    </xdr:from>
    <xdr:to>
      <xdr:col>3</xdr:col>
      <xdr:colOff>297657</xdr:colOff>
      <xdr:row>4</xdr:row>
      <xdr:rowOff>66862</xdr:rowOff>
    </xdr:to>
    <xdr:pic>
      <xdr:nvPicPr>
        <xdr:cNvPr id="2" name="Picture 1" descr="logo.png">
          <a:extLst>
            <a:ext uri="{FF2B5EF4-FFF2-40B4-BE49-F238E27FC236}">
              <a16:creationId xmlns:a16="http://schemas.microsoft.com/office/drawing/2014/main" id="{B2A0DD4E-C01C-4772-8AF1-BBD771C17279}"/>
            </a:ext>
          </a:extLst>
        </xdr:cNvPr>
        <xdr:cNvPicPr>
          <a:picLocks noChangeAspect="1"/>
        </xdr:cNvPicPr>
      </xdr:nvPicPr>
      <xdr:blipFill>
        <a:blip xmlns:r="http://schemas.openxmlformats.org/officeDocument/2006/relationships" r:embed="rId1" cstate="print"/>
        <a:stretch>
          <a:fillRect/>
        </a:stretch>
      </xdr:blipFill>
      <xdr:spPr>
        <a:xfrm>
          <a:off x="307182" y="204787"/>
          <a:ext cx="2181225" cy="814575"/>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21432</xdr:colOff>
      <xdr:row>1</xdr:row>
      <xdr:rowOff>14287</xdr:rowOff>
    </xdr:from>
    <xdr:to>
      <xdr:col>3</xdr:col>
      <xdr:colOff>297657</xdr:colOff>
      <xdr:row>4</xdr:row>
      <xdr:rowOff>66862</xdr:rowOff>
    </xdr:to>
    <xdr:pic>
      <xdr:nvPicPr>
        <xdr:cNvPr id="2" name="Picture 1" descr="logo.png">
          <a:extLst>
            <a:ext uri="{FF2B5EF4-FFF2-40B4-BE49-F238E27FC236}">
              <a16:creationId xmlns:a16="http://schemas.microsoft.com/office/drawing/2014/main" id="{5F8C981F-C9AF-4C35-BC14-10149850D481}"/>
            </a:ext>
          </a:extLst>
        </xdr:cNvPr>
        <xdr:cNvPicPr>
          <a:picLocks noChangeAspect="1"/>
        </xdr:cNvPicPr>
      </xdr:nvPicPr>
      <xdr:blipFill>
        <a:blip xmlns:r="http://schemas.openxmlformats.org/officeDocument/2006/relationships" r:embed="rId1" cstate="print"/>
        <a:stretch>
          <a:fillRect/>
        </a:stretch>
      </xdr:blipFill>
      <xdr:spPr>
        <a:xfrm>
          <a:off x="307182" y="204787"/>
          <a:ext cx="2181225" cy="814575"/>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21432</xdr:colOff>
      <xdr:row>1</xdr:row>
      <xdr:rowOff>14287</xdr:rowOff>
    </xdr:from>
    <xdr:to>
      <xdr:col>3</xdr:col>
      <xdr:colOff>297657</xdr:colOff>
      <xdr:row>4</xdr:row>
      <xdr:rowOff>66862</xdr:rowOff>
    </xdr:to>
    <xdr:pic>
      <xdr:nvPicPr>
        <xdr:cNvPr id="2" name="Picture 1" descr="logo.png">
          <a:extLst>
            <a:ext uri="{FF2B5EF4-FFF2-40B4-BE49-F238E27FC236}">
              <a16:creationId xmlns:a16="http://schemas.microsoft.com/office/drawing/2014/main" id="{87759636-2EC2-43BD-BB49-5A4ECD06EC23}"/>
            </a:ext>
          </a:extLst>
        </xdr:cNvPr>
        <xdr:cNvPicPr>
          <a:picLocks noChangeAspect="1"/>
        </xdr:cNvPicPr>
      </xdr:nvPicPr>
      <xdr:blipFill>
        <a:blip xmlns:r="http://schemas.openxmlformats.org/officeDocument/2006/relationships" r:embed="rId1" cstate="print"/>
        <a:stretch>
          <a:fillRect/>
        </a:stretch>
      </xdr:blipFill>
      <xdr:spPr>
        <a:xfrm>
          <a:off x="307182" y="204787"/>
          <a:ext cx="2181225" cy="814575"/>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xdr:col>
      <xdr:colOff>21432</xdr:colOff>
      <xdr:row>1</xdr:row>
      <xdr:rowOff>14287</xdr:rowOff>
    </xdr:from>
    <xdr:to>
      <xdr:col>3</xdr:col>
      <xdr:colOff>297657</xdr:colOff>
      <xdr:row>4</xdr:row>
      <xdr:rowOff>66862</xdr:rowOff>
    </xdr:to>
    <xdr:pic>
      <xdr:nvPicPr>
        <xdr:cNvPr id="2" name="Picture 1" descr="logo.png">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stretch>
          <a:fillRect/>
        </a:stretch>
      </xdr:blipFill>
      <xdr:spPr>
        <a:xfrm>
          <a:off x="307182" y="204787"/>
          <a:ext cx="2181225" cy="814575"/>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xdr:col>
      <xdr:colOff>21432</xdr:colOff>
      <xdr:row>1</xdr:row>
      <xdr:rowOff>14287</xdr:rowOff>
    </xdr:from>
    <xdr:to>
      <xdr:col>3</xdr:col>
      <xdr:colOff>297657</xdr:colOff>
      <xdr:row>4</xdr:row>
      <xdr:rowOff>66862</xdr:rowOff>
    </xdr:to>
    <xdr:pic>
      <xdr:nvPicPr>
        <xdr:cNvPr id="2" name="Picture 1" descr="logo.png">
          <a:extLst>
            <a:ext uri="{FF2B5EF4-FFF2-40B4-BE49-F238E27FC236}">
              <a16:creationId xmlns:a16="http://schemas.microsoft.com/office/drawing/2014/main" id="{D53F395B-B687-4F35-A643-A11D3B510DE0}"/>
            </a:ext>
          </a:extLst>
        </xdr:cNvPr>
        <xdr:cNvPicPr>
          <a:picLocks noChangeAspect="1"/>
        </xdr:cNvPicPr>
      </xdr:nvPicPr>
      <xdr:blipFill>
        <a:blip xmlns:r="http://schemas.openxmlformats.org/officeDocument/2006/relationships" r:embed="rId1" cstate="print"/>
        <a:stretch>
          <a:fillRect/>
        </a:stretch>
      </xdr:blipFill>
      <xdr:spPr>
        <a:xfrm>
          <a:off x="307182" y="204787"/>
          <a:ext cx="2181225" cy="814575"/>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1</xdr:col>
      <xdr:colOff>21432</xdr:colOff>
      <xdr:row>1</xdr:row>
      <xdr:rowOff>14287</xdr:rowOff>
    </xdr:from>
    <xdr:to>
      <xdr:col>3</xdr:col>
      <xdr:colOff>297657</xdr:colOff>
      <xdr:row>4</xdr:row>
      <xdr:rowOff>66862</xdr:rowOff>
    </xdr:to>
    <xdr:pic>
      <xdr:nvPicPr>
        <xdr:cNvPr id="2" name="Picture 1" descr="logo.png">
          <a:extLst>
            <a:ext uri="{FF2B5EF4-FFF2-40B4-BE49-F238E27FC236}">
              <a16:creationId xmlns:a16="http://schemas.microsoft.com/office/drawing/2014/main" id="{70135321-4AF9-4F8C-B5EF-BE056C0E22CA}"/>
            </a:ext>
          </a:extLst>
        </xdr:cNvPr>
        <xdr:cNvPicPr>
          <a:picLocks noChangeAspect="1"/>
        </xdr:cNvPicPr>
      </xdr:nvPicPr>
      <xdr:blipFill>
        <a:blip xmlns:r="http://schemas.openxmlformats.org/officeDocument/2006/relationships" r:embed="rId1" cstate="print"/>
        <a:stretch>
          <a:fillRect/>
        </a:stretch>
      </xdr:blipFill>
      <xdr:spPr>
        <a:xfrm>
          <a:off x="307182" y="204787"/>
          <a:ext cx="2181225" cy="8145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226218</xdr:colOff>
      <xdr:row>0</xdr:row>
      <xdr:rowOff>154781</xdr:rowOff>
    </xdr:from>
    <xdr:to>
      <xdr:col>1</xdr:col>
      <xdr:colOff>2251115</xdr:colOff>
      <xdr:row>4</xdr:row>
      <xdr:rowOff>65052</xdr:rowOff>
    </xdr:to>
    <xdr:pic>
      <xdr:nvPicPr>
        <xdr:cNvPr id="2" name="Picture 1" descr="logo.png">
          <a:extLst>
            <a:ext uri="{FF2B5EF4-FFF2-40B4-BE49-F238E27FC236}">
              <a16:creationId xmlns:a16="http://schemas.microsoft.com/office/drawing/2014/main" id="{5C5B45B5-B24D-4815-BDEF-B71202AC30DB}"/>
            </a:ext>
          </a:extLst>
        </xdr:cNvPr>
        <xdr:cNvPicPr>
          <a:picLocks noChangeAspect="1"/>
        </xdr:cNvPicPr>
      </xdr:nvPicPr>
      <xdr:blipFill>
        <a:blip xmlns:r="http://schemas.openxmlformats.org/officeDocument/2006/relationships" r:embed="rId1" cstate="print"/>
        <a:stretch>
          <a:fillRect/>
        </a:stretch>
      </xdr:blipFill>
      <xdr:spPr>
        <a:xfrm>
          <a:off x="454818" y="154781"/>
          <a:ext cx="2024897" cy="672271"/>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xdr:col>
      <xdr:colOff>21432</xdr:colOff>
      <xdr:row>1</xdr:row>
      <xdr:rowOff>14287</xdr:rowOff>
    </xdr:from>
    <xdr:to>
      <xdr:col>3</xdr:col>
      <xdr:colOff>297657</xdr:colOff>
      <xdr:row>4</xdr:row>
      <xdr:rowOff>66862</xdr:rowOff>
    </xdr:to>
    <xdr:pic>
      <xdr:nvPicPr>
        <xdr:cNvPr id="2" name="Picture 1" descr="logo.png">
          <a:extLst>
            <a:ext uri="{FF2B5EF4-FFF2-40B4-BE49-F238E27FC236}">
              <a16:creationId xmlns:a16="http://schemas.microsoft.com/office/drawing/2014/main" id="{5FA3D99E-5BC6-4784-8B04-828803168DE6}"/>
            </a:ext>
          </a:extLst>
        </xdr:cNvPr>
        <xdr:cNvPicPr>
          <a:picLocks noChangeAspect="1"/>
        </xdr:cNvPicPr>
      </xdr:nvPicPr>
      <xdr:blipFill>
        <a:blip xmlns:r="http://schemas.openxmlformats.org/officeDocument/2006/relationships" r:embed="rId1" cstate="print"/>
        <a:stretch>
          <a:fillRect/>
        </a:stretch>
      </xdr:blipFill>
      <xdr:spPr>
        <a:xfrm>
          <a:off x="307182" y="204787"/>
          <a:ext cx="2181225" cy="814575"/>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1</xdr:col>
      <xdr:colOff>21432</xdr:colOff>
      <xdr:row>1</xdr:row>
      <xdr:rowOff>14287</xdr:rowOff>
    </xdr:from>
    <xdr:to>
      <xdr:col>3</xdr:col>
      <xdr:colOff>297657</xdr:colOff>
      <xdr:row>4</xdr:row>
      <xdr:rowOff>66862</xdr:rowOff>
    </xdr:to>
    <xdr:pic>
      <xdr:nvPicPr>
        <xdr:cNvPr id="2" name="Picture 1" descr="logo.png">
          <a:extLst>
            <a:ext uri="{FF2B5EF4-FFF2-40B4-BE49-F238E27FC236}">
              <a16:creationId xmlns:a16="http://schemas.microsoft.com/office/drawing/2014/main" id="{C271BD10-8729-45F2-99E7-7E0808F48F3D}"/>
            </a:ext>
          </a:extLst>
        </xdr:cNvPr>
        <xdr:cNvPicPr>
          <a:picLocks noChangeAspect="1"/>
        </xdr:cNvPicPr>
      </xdr:nvPicPr>
      <xdr:blipFill>
        <a:blip xmlns:r="http://schemas.openxmlformats.org/officeDocument/2006/relationships" r:embed="rId1" cstate="print"/>
        <a:stretch>
          <a:fillRect/>
        </a:stretch>
      </xdr:blipFill>
      <xdr:spPr>
        <a:xfrm>
          <a:off x="307182" y="204787"/>
          <a:ext cx="2181225" cy="814575"/>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1</xdr:col>
      <xdr:colOff>21432</xdr:colOff>
      <xdr:row>1</xdr:row>
      <xdr:rowOff>14287</xdr:rowOff>
    </xdr:from>
    <xdr:to>
      <xdr:col>3</xdr:col>
      <xdr:colOff>297657</xdr:colOff>
      <xdr:row>4</xdr:row>
      <xdr:rowOff>66862</xdr:rowOff>
    </xdr:to>
    <xdr:pic>
      <xdr:nvPicPr>
        <xdr:cNvPr id="2" name="Picture 1" descr="logo.png">
          <a:extLst>
            <a:ext uri="{FF2B5EF4-FFF2-40B4-BE49-F238E27FC236}">
              <a16:creationId xmlns:a16="http://schemas.microsoft.com/office/drawing/2014/main" id="{181C3177-BC6D-484A-A016-8F80CFF6A22D}"/>
            </a:ext>
          </a:extLst>
        </xdr:cNvPr>
        <xdr:cNvPicPr>
          <a:picLocks noChangeAspect="1"/>
        </xdr:cNvPicPr>
      </xdr:nvPicPr>
      <xdr:blipFill>
        <a:blip xmlns:r="http://schemas.openxmlformats.org/officeDocument/2006/relationships" r:embed="rId1" cstate="print"/>
        <a:stretch>
          <a:fillRect/>
        </a:stretch>
      </xdr:blipFill>
      <xdr:spPr>
        <a:xfrm>
          <a:off x="307182" y="204787"/>
          <a:ext cx="2181225" cy="814575"/>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1</xdr:col>
      <xdr:colOff>1</xdr:colOff>
      <xdr:row>0</xdr:row>
      <xdr:rowOff>119064</xdr:rowOff>
    </xdr:from>
    <xdr:to>
      <xdr:col>4</xdr:col>
      <xdr:colOff>107149</xdr:colOff>
      <xdr:row>3</xdr:row>
      <xdr:rowOff>182608</xdr:rowOff>
    </xdr:to>
    <xdr:pic>
      <xdr:nvPicPr>
        <xdr:cNvPr id="2" name="Picture 1" descr="logo.png">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stretch>
          <a:fillRect/>
        </a:stretch>
      </xdr:blipFill>
      <xdr:spPr>
        <a:xfrm>
          <a:off x="247651" y="119064"/>
          <a:ext cx="1954998" cy="635044"/>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1</xdr:col>
      <xdr:colOff>0</xdr:colOff>
      <xdr:row>0</xdr:row>
      <xdr:rowOff>119062</xdr:rowOff>
    </xdr:from>
    <xdr:to>
      <xdr:col>3</xdr:col>
      <xdr:colOff>380999</xdr:colOff>
      <xdr:row>4</xdr:row>
      <xdr:rowOff>61809</xdr:rowOff>
    </xdr:to>
    <xdr:pic>
      <xdr:nvPicPr>
        <xdr:cNvPr id="2" name="Picture 1" descr="logo.png">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cstate="print"/>
        <a:stretch>
          <a:fillRect/>
        </a:stretch>
      </xdr:blipFill>
      <xdr:spPr>
        <a:xfrm>
          <a:off x="240506" y="119062"/>
          <a:ext cx="2164556" cy="704747"/>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1</xdr:col>
      <xdr:colOff>11906</xdr:colOff>
      <xdr:row>0</xdr:row>
      <xdr:rowOff>71436</xdr:rowOff>
    </xdr:from>
    <xdr:to>
      <xdr:col>1</xdr:col>
      <xdr:colOff>2178843</xdr:colOff>
      <xdr:row>4</xdr:row>
      <xdr:rowOff>14183</xdr:rowOff>
    </xdr:to>
    <xdr:pic>
      <xdr:nvPicPr>
        <xdr:cNvPr id="3" name="Picture 2" descr="logo.png">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cstate="print"/>
        <a:stretch>
          <a:fillRect/>
        </a:stretch>
      </xdr:blipFill>
      <xdr:spPr>
        <a:xfrm>
          <a:off x="619125" y="71436"/>
          <a:ext cx="2166937" cy="70474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226218</xdr:colOff>
      <xdr:row>0</xdr:row>
      <xdr:rowOff>154781</xdr:rowOff>
    </xdr:from>
    <xdr:to>
      <xdr:col>1</xdr:col>
      <xdr:colOff>2251115</xdr:colOff>
      <xdr:row>4</xdr:row>
      <xdr:rowOff>65052</xdr:rowOff>
    </xdr:to>
    <xdr:pic>
      <xdr:nvPicPr>
        <xdr:cNvPr id="2" name="Picture 1" descr="logo.png">
          <a:extLst>
            <a:ext uri="{FF2B5EF4-FFF2-40B4-BE49-F238E27FC236}">
              <a16:creationId xmlns:a16="http://schemas.microsoft.com/office/drawing/2014/main" id="{95807CFA-116F-4BDC-BC50-7699CD6C2822}"/>
            </a:ext>
          </a:extLst>
        </xdr:cNvPr>
        <xdr:cNvPicPr>
          <a:picLocks noChangeAspect="1"/>
        </xdr:cNvPicPr>
      </xdr:nvPicPr>
      <xdr:blipFill>
        <a:blip xmlns:r="http://schemas.openxmlformats.org/officeDocument/2006/relationships" r:embed="rId1" cstate="print"/>
        <a:stretch>
          <a:fillRect/>
        </a:stretch>
      </xdr:blipFill>
      <xdr:spPr>
        <a:xfrm>
          <a:off x="454818" y="154781"/>
          <a:ext cx="2024897" cy="67227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226218</xdr:colOff>
      <xdr:row>0</xdr:row>
      <xdr:rowOff>154781</xdr:rowOff>
    </xdr:from>
    <xdr:to>
      <xdr:col>1</xdr:col>
      <xdr:colOff>2251115</xdr:colOff>
      <xdr:row>4</xdr:row>
      <xdr:rowOff>65052</xdr:rowOff>
    </xdr:to>
    <xdr:pic>
      <xdr:nvPicPr>
        <xdr:cNvPr id="2" name="Picture 1" descr="logo.png">
          <a:extLst>
            <a:ext uri="{FF2B5EF4-FFF2-40B4-BE49-F238E27FC236}">
              <a16:creationId xmlns:a16="http://schemas.microsoft.com/office/drawing/2014/main" id="{4A873138-78C3-4E3D-B0BB-2CDAE5DD2C3A}"/>
            </a:ext>
          </a:extLst>
        </xdr:cNvPr>
        <xdr:cNvPicPr>
          <a:picLocks noChangeAspect="1"/>
        </xdr:cNvPicPr>
      </xdr:nvPicPr>
      <xdr:blipFill>
        <a:blip xmlns:r="http://schemas.openxmlformats.org/officeDocument/2006/relationships" r:embed="rId1" cstate="print"/>
        <a:stretch>
          <a:fillRect/>
        </a:stretch>
      </xdr:blipFill>
      <xdr:spPr>
        <a:xfrm>
          <a:off x="454818" y="154781"/>
          <a:ext cx="2027278" cy="67227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226218</xdr:colOff>
      <xdr:row>0</xdr:row>
      <xdr:rowOff>154781</xdr:rowOff>
    </xdr:from>
    <xdr:to>
      <xdr:col>1</xdr:col>
      <xdr:colOff>2251115</xdr:colOff>
      <xdr:row>4</xdr:row>
      <xdr:rowOff>65052</xdr:rowOff>
    </xdr:to>
    <xdr:pic>
      <xdr:nvPicPr>
        <xdr:cNvPr id="2" name="Picture 1" descr="logo.png">
          <a:extLst>
            <a:ext uri="{FF2B5EF4-FFF2-40B4-BE49-F238E27FC236}">
              <a16:creationId xmlns:a16="http://schemas.microsoft.com/office/drawing/2014/main" id="{C081157C-DAE0-418A-B78A-4043D1E6CB98}"/>
            </a:ext>
          </a:extLst>
        </xdr:cNvPr>
        <xdr:cNvPicPr>
          <a:picLocks noChangeAspect="1"/>
        </xdr:cNvPicPr>
      </xdr:nvPicPr>
      <xdr:blipFill>
        <a:blip xmlns:r="http://schemas.openxmlformats.org/officeDocument/2006/relationships" r:embed="rId1" cstate="print"/>
        <a:stretch>
          <a:fillRect/>
        </a:stretch>
      </xdr:blipFill>
      <xdr:spPr>
        <a:xfrm>
          <a:off x="454818" y="154781"/>
          <a:ext cx="2024897" cy="672271"/>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226218</xdr:colOff>
      <xdr:row>0</xdr:row>
      <xdr:rowOff>154781</xdr:rowOff>
    </xdr:from>
    <xdr:to>
      <xdr:col>1</xdr:col>
      <xdr:colOff>2251115</xdr:colOff>
      <xdr:row>4</xdr:row>
      <xdr:rowOff>65052</xdr:rowOff>
    </xdr:to>
    <xdr:pic>
      <xdr:nvPicPr>
        <xdr:cNvPr id="2" name="Picture 1" descr="logo.png">
          <a:extLst>
            <a:ext uri="{FF2B5EF4-FFF2-40B4-BE49-F238E27FC236}">
              <a16:creationId xmlns:a16="http://schemas.microsoft.com/office/drawing/2014/main" id="{FAAB3CA4-7C8D-416F-B621-6BCFEA2DF567}"/>
            </a:ext>
          </a:extLst>
        </xdr:cNvPr>
        <xdr:cNvPicPr>
          <a:picLocks noChangeAspect="1"/>
        </xdr:cNvPicPr>
      </xdr:nvPicPr>
      <xdr:blipFill>
        <a:blip xmlns:r="http://schemas.openxmlformats.org/officeDocument/2006/relationships" r:embed="rId1" cstate="print"/>
        <a:stretch>
          <a:fillRect/>
        </a:stretch>
      </xdr:blipFill>
      <xdr:spPr>
        <a:xfrm>
          <a:off x="454818" y="154781"/>
          <a:ext cx="2027278" cy="672271"/>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226218</xdr:colOff>
      <xdr:row>0</xdr:row>
      <xdr:rowOff>154781</xdr:rowOff>
    </xdr:from>
    <xdr:to>
      <xdr:col>1</xdr:col>
      <xdr:colOff>2251115</xdr:colOff>
      <xdr:row>4</xdr:row>
      <xdr:rowOff>65052</xdr:rowOff>
    </xdr:to>
    <xdr:pic>
      <xdr:nvPicPr>
        <xdr:cNvPr id="2" name="Picture 1" descr="logo.png">
          <a:extLst>
            <a:ext uri="{FF2B5EF4-FFF2-40B4-BE49-F238E27FC236}">
              <a16:creationId xmlns:a16="http://schemas.microsoft.com/office/drawing/2014/main" id="{99377F30-CDD2-460B-BC72-302B7F5B9E5C}"/>
            </a:ext>
          </a:extLst>
        </xdr:cNvPr>
        <xdr:cNvPicPr>
          <a:picLocks noChangeAspect="1"/>
        </xdr:cNvPicPr>
      </xdr:nvPicPr>
      <xdr:blipFill>
        <a:blip xmlns:r="http://schemas.openxmlformats.org/officeDocument/2006/relationships" r:embed="rId1" cstate="print"/>
        <a:stretch>
          <a:fillRect/>
        </a:stretch>
      </xdr:blipFill>
      <xdr:spPr>
        <a:xfrm>
          <a:off x="454818" y="154781"/>
          <a:ext cx="2024897" cy="672271"/>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226218</xdr:colOff>
      <xdr:row>0</xdr:row>
      <xdr:rowOff>154781</xdr:rowOff>
    </xdr:from>
    <xdr:to>
      <xdr:col>1</xdr:col>
      <xdr:colOff>2251115</xdr:colOff>
      <xdr:row>4</xdr:row>
      <xdr:rowOff>65052</xdr:rowOff>
    </xdr:to>
    <xdr:pic>
      <xdr:nvPicPr>
        <xdr:cNvPr id="2" name="Picture 1" descr="logo.png">
          <a:extLst>
            <a:ext uri="{FF2B5EF4-FFF2-40B4-BE49-F238E27FC236}">
              <a16:creationId xmlns:a16="http://schemas.microsoft.com/office/drawing/2014/main" id="{65489F1D-251D-4169-8FDF-EFA68F9D9493}"/>
            </a:ext>
          </a:extLst>
        </xdr:cNvPr>
        <xdr:cNvPicPr>
          <a:picLocks noChangeAspect="1"/>
        </xdr:cNvPicPr>
      </xdr:nvPicPr>
      <xdr:blipFill>
        <a:blip xmlns:r="http://schemas.openxmlformats.org/officeDocument/2006/relationships" r:embed="rId1" cstate="print"/>
        <a:stretch>
          <a:fillRect/>
        </a:stretch>
      </xdr:blipFill>
      <xdr:spPr>
        <a:xfrm>
          <a:off x="454818" y="154781"/>
          <a:ext cx="2024897" cy="672271"/>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226218</xdr:colOff>
      <xdr:row>0</xdr:row>
      <xdr:rowOff>154781</xdr:rowOff>
    </xdr:from>
    <xdr:to>
      <xdr:col>1</xdr:col>
      <xdr:colOff>2251115</xdr:colOff>
      <xdr:row>4</xdr:row>
      <xdr:rowOff>65052</xdr:rowOff>
    </xdr:to>
    <xdr:pic>
      <xdr:nvPicPr>
        <xdr:cNvPr id="2" name="Picture 1" descr="logo.png">
          <a:extLst>
            <a:ext uri="{FF2B5EF4-FFF2-40B4-BE49-F238E27FC236}">
              <a16:creationId xmlns:a16="http://schemas.microsoft.com/office/drawing/2014/main" id="{21413EB0-A78B-4CDD-BEA0-6E9597467CA1}"/>
            </a:ext>
          </a:extLst>
        </xdr:cNvPr>
        <xdr:cNvPicPr>
          <a:picLocks noChangeAspect="1"/>
        </xdr:cNvPicPr>
      </xdr:nvPicPr>
      <xdr:blipFill>
        <a:blip xmlns:r="http://schemas.openxmlformats.org/officeDocument/2006/relationships" r:embed="rId1" cstate="print"/>
        <a:stretch>
          <a:fillRect/>
        </a:stretch>
      </xdr:blipFill>
      <xdr:spPr>
        <a:xfrm>
          <a:off x="454818" y="154781"/>
          <a:ext cx="2024897" cy="672271"/>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Koye/Desktop/Professional%20Assets/my%20gmx%20model/GreenMax_Solar_Model_Final_KA_3.9.16.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s"/>
      <sheetName val="Cash Flows"/>
      <sheetName val="S&amp;U"/>
      <sheetName val="Results"/>
      <sheetName val="Graphs"/>
      <sheetName val="Debt_Calc"/>
      <sheetName val="Debt_Calc_sweep"/>
      <sheetName val="Sub_Debt_Calc"/>
      <sheetName val="CAPEX"/>
      <sheetName val="Working Cap"/>
      <sheetName val="Schedules"/>
      <sheetName val="Currency"/>
      <sheetName val="Sheet2"/>
      <sheetName val="Debt_Sizing"/>
      <sheetName val="P &amp; L"/>
      <sheetName val="CF Waterfall"/>
      <sheetName val="Cash Flows_"/>
    </sheetNames>
    <sheetDataSet>
      <sheetData sheetId="0">
        <row r="8">
          <cell r="C8">
            <v>42432</v>
          </cell>
        </row>
        <row r="52">
          <cell r="I52">
            <v>107252168.53235596</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refreshError="1"/>
      <sheetData sheetId="15" refreshError="1"/>
      <sheetData sheetId="16"/>
    </sheetDataSet>
  </externalBook>
</externalLink>
</file>

<file path=xl/persons/person.xml><?xml version="1.0" encoding="utf-8"?>
<personList xmlns="http://schemas.microsoft.com/office/spreadsheetml/2018/threadedcomments" xmlns:x="http://schemas.openxmlformats.org/spreadsheetml/2006/main">
  <person displayName="Olukoyejo Alaba" id="{EAAD4659-E668-4CAB-B375-40F3C0383B70}" userId="1ca974034178a2e9" providerId="Windows Live"/>
  <person displayName="Stafford Via" id="{0E376E75-1F02-470C-AC8B-7B58F43F13C4}" userId="d559d34dd4b236ca" providerId="Windows Live"/>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J7" dT="2021-02-16T10:56:11.81" personId="{EAAD4659-E668-4CAB-B375-40F3C0383B70}" id="{428ABFDC-ED88-41B9-9544-CED200277279}">
    <text>Source: See Data Sources Tab</text>
  </threadedComment>
  <threadedComment ref="N7" dT="2021-02-16T10:52:59.22" personId="{EAAD4659-E668-4CAB-B375-40F3C0383B70}" id="{905CC5E1-93DE-4740-9E6F-C87C12DE2116}">
    <text>Source: https://www.diva-portal.org/smash/get/diva2:742038/FULLTEXT01.pdf (Page 43)</text>
  </threadedComment>
  <threadedComment ref="J8" dT="2021-02-18T14:39:01.21" personId="{EAAD4659-E668-4CAB-B375-40F3C0383B70}" id="{C239745A-C1AA-4082-96A1-EF2ED2DD2CE3}">
    <text>Source: See Export Prices Tab</text>
  </threadedComment>
  <threadedComment ref="N8" dT="2021-02-18T15:53:34.21" personId="{EAAD4659-E668-4CAB-B375-40F3C0383B70}" id="{964FB01F-6145-4A9E-82B5-E72CF74B77BA}">
    <text>Source: See Data Sources Tab</text>
  </threadedComment>
  <threadedComment ref="J9" dT="2021-02-16T11:25:41.26" personId="{EAAD4659-E668-4CAB-B375-40F3C0383B70}" id="{B4082369-057B-45E4-ABEA-A62EFC00BC85}">
    <text>User Assumption</text>
  </threadedComment>
  <threadedComment ref="N9" dT="2021-03-08T13:03:09.54" personId="{EAAD4659-E668-4CAB-B375-40F3C0383B70}" id="{E6946F5C-1B6F-4609-AD45-80D0C4BE985D}">
    <text>Source: https://www.wbdg.org/resources/geothermal-energy-direct-use</text>
  </threadedComment>
  <threadedComment ref="J10" dT="2021-02-16T11:25:51.07" personId="{EAAD4659-E668-4CAB-B375-40F3C0383B70}" id="{AA3ADD89-9F90-4CB1-8715-35B4D845E583}">
    <text>User Assumption</text>
  </threadedComment>
  <threadedComment ref="N10" dT="2021-02-19T11:29:34.08" personId="{EAAD4659-E668-4CAB-B375-40F3C0383B70}" id="{B3A00804-AF51-49A1-8EA9-F8EADAD9B83E}">
    <text>Source: See Data Sources Tab</text>
  </threadedComment>
  <threadedComment ref="J11" dT="2021-02-16T10:57:07.41" personId="{EAAD4659-E668-4CAB-B375-40F3C0383B70}" id="{8A384160-3E5C-44A4-88F0-AA27BF984966}">
    <text>User Assumption</text>
  </threadedComment>
  <threadedComment ref="N12" dT="2021-02-24T13:14:57.12" personId="{EAAD4659-E668-4CAB-B375-40F3C0383B70}" id="{625E155A-D92C-48CC-BFF3-17A6C7C2B19D}">
    <text>Source: See Data Sources Tab</text>
  </threadedComment>
  <threadedComment ref="C13" dT="2021-02-24T16:20:49.40" personId="{EAAD4659-E668-4CAB-B375-40F3C0383B70}" id="{28923F86-6C7A-44B9-818B-1DA8C5382375}">
    <text>Source: https://www.diva-portal.org/smash/get/diva2:742038/FULLTEXT01.pdf (Page 42)</text>
  </threadedComment>
  <threadedComment ref="N13" dT="2021-02-19T12:46:51.83" personId="{EAAD4659-E668-4CAB-B375-40F3C0383B70}" id="{06D481D9-5C63-48B0-821D-48A3D9D1E19E}">
    <text>Assumes that equipment will be purchased and not leased</text>
  </threadedComment>
  <threadedComment ref="C14" dT="2021-02-24T16:26:16.55" personId="{EAAD4659-E668-4CAB-B375-40F3C0383B70}" id="{21047D4E-8B48-450C-B8DC-A3D36382D657}">
    <text>Source: https://www.diva-portal.org/smash/get/diva2:742038/FULLTEXT01.pdf (Page 42)</text>
  </threadedComment>
  <threadedComment ref="F14" dT="2021-02-16T12:54:24.21" personId="{EAAD4659-E668-4CAB-B375-40F3C0383B70}" id="{854C7F86-2B94-4DC4-87DE-291A1E6F89D4}">
    <text>User Assumption</text>
  </threadedComment>
  <threadedComment ref="J14" dT="2021-02-16T11:05:49.49" personId="{EAAD4659-E668-4CAB-B375-40F3C0383B70}" id="{E7F59B92-4536-4BF2-ADD9-0C47F121BB8D}">
    <text>Source: See Data Sources Tab</text>
  </threadedComment>
  <threadedComment ref="N14" dT="2021-03-08T16:05:53.35" personId="{EAAD4659-E668-4CAB-B375-40F3C0383B70}" id="{B8CCB64E-8EF0-4B7C-85B2-C6E08445C15E}">
    <text>User Assumption. Assuming same cost as Marketing</text>
  </threadedComment>
  <threadedComment ref="C15" dT="2021-02-24T16:26:24.28" personId="{EAAD4659-E668-4CAB-B375-40F3C0383B70}" id="{4EFCB820-F522-4B3A-A037-D49EF8D45685}">
    <text>Source: https://www.diva-portal.org/smash/get/diva2:742038/FULLTEXT01.pdf (Page 42)</text>
  </threadedComment>
  <threadedComment ref="F15" dT="2021-02-16T12:54:30.98" personId="{EAAD4659-E668-4CAB-B375-40F3C0383B70}" id="{EBFFDCB1-0F41-494A-8E91-29C6BD32D552}">
    <text>User Assumption</text>
  </threadedComment>
  <threadedComment ref="N15" dT="2021-03-08T14:00:53.40" personId="{EAAD4659-E668-4CAB-B375-40F3C0383B70}" id="{59A7A681-6F52-48AC-994F-59890B63F00B}">
    <text>Source: https://www.business2community.com/marketing/how-much-should-you-spend-on-marketing-your-small-business-02316226 (Assuming Walmart figure)</text>
  </threadedComment>
  <threadedComment ref="C16" dT="2021-02-24T16:26:30.74" personId="{EAAD4659-E668-4CAB-B375-40F3C0383B70}" id="{F7FB0E6E-E253-4923-8CB3-E0D2BF1D058C}">
    <text>Source: https://www.diva-portal.org/smash/get/diva2:742038/FULLTEXT01.pdf (Page 42)</text>
  </threadedComment>
  <threadedComment ref="F16" dT="2021-02-16T12:54:38.29" personId="{EAAD4659-E668-4CAB-B375-40F3C0383B70}" id="{CA1D34BA-B9C3-495F-B1DB-381D953A0743}">
    <text>User Assumption</text>
  </threadedComment>
  <threadedComment ref="N16" dT="2021-03-08T14:33:29.39" personId="{EAAD4659-E668-4CAB-B375-40F3C0383B70}" id="{D477B04B-4BE1-4BDD-8086-726C99910504}">
    <text>Source: https://www.justbusiness.com/starting-a-small-business/business-startup-costs</text>
  </threadedComment>
  <threadedComment ref="C17" dT="2021-02-24T16:26:36.71" personId="{EAAD4659-E668-4CAB-B375-40F3C0383B70}" id="{C9024984-BBAF-4FD3-9FE3-076FB0E041CF}">
    <text>Source: https://www.diva-portal.org/smash/get/diva2:742038/FULLTEXT01.pdf (Page 42)</text>
  </threadedComment>
  <threadedComment ref="J17" dT="2021-03-08T12:10:11.37" personId="{EAAD4659-E668-4CAB-B375-40F3C0383B70}" id="{CC1F8F17-42EA-4031-BA9D-3430458F1A2A}">
    <text>Source: "A Guide for the Development of Geothermal Direct – Use Projects in Tanzania" Pg 13</text>
  </threadedComment>
  <threadedComment ref="N17" dT="2021-02-19T11:58:05.89" personId="{EAAD4659-E668-4CAB-B375-40F3C0383B70}" id="{60489DAB-4528-4862-AA1C-DC9BD76127BB}">
    <text>Source: https://www.indiamart.com/proddetail/plastic-packaging-bags-11059930655.html</text>
  </threadedComment>
  <threadedComment ref="C18" dT="2021-02-24T16:26:44.40" personId="{EAAD4659-E668-4CAB-B375-40F3C0383B70}" id="{7BE5B4ED-4A93-43EF-981C-5485A42DAB1F}">
    <text>Source: https://www.diva-portal.org/smash/get/diva2:742038/FULLTEXT01.pdf (Page 42)</text>
  </threadedComment>
  <threadedComment ref="C19" dT="2021-02-24T16:26:51.75" personId="{EAAD4659-E668-4CAB-B375-40F3C0383B70}" id="{B94051F6-3B0D-4D97-937F-9CDABFEA5F4B}">
    <text>Source: https://www.diva-portal.org/smash/get/diva2:742038/FULLTEXT01.pdf (Page 42)</text>
  </threadedComment>
  <threadedComment ref="J19" dT="2021-02-18T19:12:59.26" personId="{EAAD4659-E668-4CAB-B375-40F3C0383B70}" id="{1736CF4B-F2BE-4E94-B9DA-B7E2E300B74E}">
    <text>User Assumption</text>
  </threadedComment>
  <threadedComment ref="C20" dT="2021-02-23T16:36:15.24" personId="{EAAD4659-E668-4CAB-B375-40F3C0383B70}" id="{675ADF4A-CDEB-47CA-BA50-D4EC7F325151}">
    <text>Source: https://m.made-in-china,com/product/Dry-Fruits-Fully-Automatic-Packing-Machine-901463575.html</text>
  </threadedComment>
  <threadedComment ref="G20" dT="2021-02-16T17:05:40.00" personId="{EAAD4659-E668-4CAB-B375-40F3C0383B70}" id="{C5FE898A-816F-499A-B1D6-1BB9D9F34453}">
    <text>User Assumption</text>
  </threadedComment>
  <threadedComment ref="G21" dT="2021-02-16T17:06:04.27" personId="{EAAD4659-E668-4CAB-B375-40F3C0383B70}" id="{17AF0D8D-147A-4740-B65A-5DE0DA1C1B94}">
    <text>User Assumption</text>
  </threadedComment>
  <threadedComment ref="N23" dT="2021-02-18T15:30:49.38" personId="{EAAD4659-E668-4CAB-B375-40F3C0383B70}" id="{468CBD0C-6C59-4FC8-ADBE-303733FF7855}">
    <text>User Assumption</text>
  </threadedComment>
  <threadedComment ref="G25" dT="2021-02-18T14:32:02.79" personId="{EAAD4659-E668-4CAB-B375-40F3C0383B70}" id="{B33C8AB5-A451-430C-BE34-AEDA00DD0EB0}">
    <text>Source: https://www.diva-portal.org/smash/get/diva2:742038/FULLTEXT01.pdf (Page 37)</text>
  </threadedComment>
  <threadedComment ref="G26" dT="2021-02-16T11:13:14.17" personId="{EAAD4659-E668-4CAB-B375-40F3C0383B70}" id="{157670CB-3210-48EA-9C28-138B93B77ADA}">
    <text>Source: https://www.diva-portal.org/smash/get/diva2:742038/FULLTEXT01.pdf (Page 37)</text>
  </threadedComment>
  <threadedComment ref="G27" dT="2021-02-16T11:13:26.27" personId="{EAAD4659-E668-4CAB-B375-40F3C0383B70}" id="{330ACB6E-B3C2-42CF-9319-9EE73A4162F0}">
    <text>Source: https://www.diva-portal.org/smash/get/diva2:742038/FULLTEXT01.pdf (Page 37)</text>
  </threadedComment>
  <threadedComment ref="N27" dT="2021-02-24T19:49:25.54" personId="{EAAD4659-E668-4CAB-B375-40F3C0383B70}" id="{216E6C0D-4BF2-40D2-953A-3A3FD30862C9}">
    <text>Source: See Data Sources Tab</text>
  </threadedComment>
  <threadedComment ref="N28" dT="2021-02-24T19:49:32.51" personId="{EAAD4659-E668-4CAB-B375-40F3C0383B70}" id="{4F2F6B6C-164F-423D-9A3D-A345D96C33C4}">
    <text>Source: See Data Sources Tab</text>
  </threadedComment>
  <threadedComment ref="N29" dT="2021-02-24T19:49:38.63" personId="{EAAD4659-E668-4CAB-B375-40F3C0383B70}" id="{B1F45BB6-5677-44E1-87FF-EECF7CB0A147}">
    <text>Source: See Data Sources Tab</text>
  </threadedComment>
  <threadedComment ref="G30" dT="2021-02-18T15:30:49.38" personId="{EAAD4659-E668-4CAB-B375-40F3C0383B70}" id="{AC230322-77F1-4655-9ECF-733DD3305053}">
    <text>User Assumption</text>
  </threadedComment>
  <threadedComment ref="N31" dT="2021-02-24T19:49:48.73" personId="{EAAD4659-E668-4CAB-B375-40F3C0383B70}" id="{25BABDF7-9DA5-4FFF-818B-907D51C389A2}">
    <text>Source: See Data Sources Tab</text>
  </threadedComment>
  <threadedComment ref="C32" dT="2021-02-25T12:37:54.09" personId="{EAAD4659-E668-4CAB-B375-40F3C0383B70}" id="{EE8BFBB2-F03B-4136-A15B-6347B7DBB476}">
    <text>https://www.diva-portal.org/smash/get/diva2:742038/FULLTEXT01.pdf (Page 35)</text>
  </threadedComment>
  <threadedComment ref="G32" dT="2021-03-10T16:55:09.31" personId="{EAAD4659-E668-4CAB-B375-40F3C0383B70}" id="{7070C64B-BD07-4025-98ED-A4C47BADB34F}">
    <text>Source: https://www.sintef.no/globalassets/project/drymeat/presentation2_fermentedmeat_bantle_dryingeconomics.pdf (Page 42)</text>
  </threadedComment>
  <threadedComment ref="N32" dT="2021-02-24T20:10:35.88" personId="{EAAD4659-E668-4CAB-B375-40F3C0383B70}" id="{033E7B40-E46A-4CCF-B5C5-9DE277CF3C5F}">
    <text>Assuming sales reps/distributors are not on the payroll but get remunerated by price mark-ups</text>
  </threadedComment>
  <threadedComment ref="C33" dT="2021-03-10T17:00:56.74" personId="{EAAD4659-E668-4CAB-B375-40F3C0383B70}" id="{5CB487E6-BA80-495E-9900-F369DE07999E}">
    <text>https://www.diva-portal.org/smash/get/diva2:742038/FULLTEXT01.pdf (Page 35)</text>
  </threadedComment>
  <threadedComment ref="G33" dT="2021-02-25T12:47:13.01" personId="{EAAD4659-E668-4CAB-B375-40F3C0383B70}" id="{81478D10-E704-440B-995D-9F4DB9A57529}">
    <text>Source: https://www.sciencedirect.com/science/article/pii/S0301479720306629</text>
  </threadedComment>
  <threadedComment ref="C34" dT="2021-02-25T12:37:54.09" personId="{EAAD4659-E668-4CAB-B375-40F3C0383B70}" id="{1A21B747-EC94-4927-BB33-5F29F32BB7B6}">
    <text>https://www.diva-portal.org/smash/get/diva2:742038/FULLTEXT01.pdf (Page 35)</text>
  </threadedComment>
  <threadedComment ref="G34" dT="2021-02-18T14:48:23.45" personId="{EAAD4659-E668-4CAB-B375-40F3C0383B70}" id="{66EAF266-E94D-4725-AED0-90FF6E12765D}">
    <text>Source: https://academicjournals.org/journal/AJFS/article-full-text-pdf/AC3F66B49600</text>
  </threadedComment>
  <threadedComment ref="C35" dT="2021-03-10T17:01:41.98" personId="{EAAD4659-E668-4CAB-B375-40F3C0383B70}" id="{7FA57950-6AE9-440A-91FA-EC4DE104A25E}">
    <text>https://www.diva-portal.org/smash/get/diva2:742038/FULLTEXT01.pdf (Page 38)</text>
  </threadedComment>
  <threadedComment ref="G35" dT="2021-02-25T12:37:54.09" personId="{EAAD4659-E668-4CAB-B375-40F3C0383B70}" id="{D57442CB-B6FF-460A-B8E3-73518562E4EC}">
    <text>User Assumption</text>
  </threadedComment>
  <threadedComment ref="C36" dT="2021-03-10T17:01:46.78" personId="{EAAD4659-E668-4CAB-B375-40F3C0383B70}" id="{DBE79C0B-DF50-4754-B5FD-047571F53B9E}">
    <text>https://www.diva-portal.org/smash/get/diva2:742038/FULLTEXT01.pdf (Page 38)</text>
  </threadedComment>
  <threadedComment ref="C37" dT="2021-03-10T18:03:46.61" personId="{EAAD4659-E668-4CAB-B375-40F3C0383B70}" id="{48AFC846-F94F-4DC7-B919-955E525AB354}">
    <text>https://www.diva-portal.org/smash/get/diva2:742038/FULLTEXT01.pdf (Page 35)</text>
  </threadedComment>
  <threadedComment ref="C38" dT="2021-03-10T17:01:34.08" personId="{EAAD4659-E668-4CAB-B375-40F3C0383B70}" id="{C5776159-8C8D-42B7-8B05-9D67EBA919D3}">
    <text>https://www.diva-portal.org/smash/get/diva2:742038/FULLTEXT01.pdf (Page 35,38)</text>
  </threadedComment>
  <threadedComment ref="G38" dT="2021-03-10T17:32:02.69" personId="{EAAD4659-E668-4CAB-B375-40F3C0383B70}" id="{25A4B844-FFC6-4FF4-86D9-468529D74B98}">
    <text>Source: https://www.sciencedirect.com/science/article/pii/S0301479720306629 (The assumed dryer has a max 1-ton per batch capacity)</text>
  </threadedComment>
  <threadedComment ref="M38" dT="2021-02-25T15:14:48.30" personId="{EAAD4659-E668-4CAB-B375-40F3C0383B70}" id="{4EB93B88-1EC4-44E3-AC2B-97F39D4777A7}">
    <text>User Assumption</text>
  </threadedComment>
  <threadedComment ref="M39" dT="2021-02-25T16:21:01.53" personId="{EAAD4659-E668-4CAB-B375-40F3C0383B70}" id="{F126F3FC-2DA0-41AA-AA55-93ADCBB501BB}">
    <text>http://projects.nri.org/nret/fruitnil.pdf Fruit of the Nile also had only 5 FTEs at some point, although the firm only inspects, sorts, packs and exports.</text>
  </threadedComment>
  <threadedComment ref="G40" dT="2021-02-25T12:37:54.09" personId="{EAAD4659-E668-4CAB-B375-40F3C0383B70}" id="{223E3916-39DD-4410-A1D6-043F4C494CCA}">
    <text>User Assumption</text>
  </threadedComment>
  <threadedComment ref="M40" dT="2021-02-25T15:21:37.52" personId="{EAAD4659-E668-4CAB-B375-40F3C0383B70}" id="{20035FE3-0070-41F6-A6EA-9065016AAD28}">
    <text>User Assumption</text>
  </threadedComment>
  <threadedComment ref="G41" dT="2021-02-18T14:36:08.48" personId="{EAAD4659-E668-4CAB-B375-40F3C0383B70}" id="{A3D4E9E9-FB59-4EBA-A9D2-C0C955DFC9EE}">
    <text>User Assumption</text>
  </threadedComment>
  <threadedComment ref="M41" dT="2021-02-19T16:17:55.21" personId="{EAAD4659-E668-4CAB-B375-40F3C0383B70}" id="{C1A5FD72-5AAB-4F3F-9700-B2480680A715}">
    <text>User Assumption
Also see: https://www.thenewsminute.com/article/karnataka-increases-workday-factories-eight-10-hours-day-125110</text>
  </threadedComment>
  <threadedComment ref="C42" dT="2021-03-10T17:00:34.77" personId="{EAAD4659-E668-4CAB-B375-40F3C0383B70}" id="{7A620E58-903C-4DC5-B437-563A3A314C32}">
    <text>https://www.diva-portal.org/smash/get/diva2:742038/FULLTEXT01.pdf (Page 36)</text>
  </threadedComment>
  <threadedComment ref="M42" dT="2021-02-19T16:18:16.76" personId="{EAAD4659-E668-4CAB-B375-40F3C0383B70}" id="{1D7EE924-DF51-40BB-826A-5F4C90084990}">
    <text>User Assumption</text>
  </threadedComment>
  <threadedComment ref="C43" dT="2021-03-10T17:00:41.23" personId="{EAAD4659-E668-4CAB-B375-40F3C0383B70}" id="{61F5DEA2-EE55-4242-837C-86A36F4C5F77}">
    <text>https://www.diva-portal.org/smash/get/diva2:742038/FULLTEXT01.pdf (Page 36)</text>
  </threadedComment>
  <threadedComment ref="M43" dT="2021-02-19T16:19:53.93" personId="{EAAD4659-E668-4CAB-B375-40F3C0383B70}" id="{E13A3EB0-141E-4443-BB9D-9BB5C2DBD35F}">
    <text>User Assumption</text>
  </threadedComment>
  <threadedComment ref="C45" dT="2021-02-18T14:48:23.45" personId="{EAAD4659-E668-4CAB-B375-40F3C0383B70}" id="{383D52E0-AA71-441D-8EE9-63B687960D72}">
    <text>Source: https://www.diva-portal.org/smash/get/diva2:742038/FULLTEXT01.pdf (Page 36)</text>
  </threadedComment>
  <threadedComment ref="C46" dT="2021-03-10T17:00:12.26" personId="{EAAD4659-E668-4CAB-B375-40F3C0383B70}" id="{E0CFB72E-82CA-4C22-9F2F-EC82621BAAB1}">
    <text>https://www.diva-portal.org/smash/get/diva2:742038/FULLTEXT01.pdf (Page 37)</text>
  </threadedComment>
  <threadedComment ref="C47" dT="2021-03-10T18:08:19.95" personId="{EAAD4659-E668-4CAB-B375-40F3C0383B70}" id="{ED727C58-ED4E-4BEF-9B61-5113784774E6}">
    <text>https://www.diva-portal.org/smash/get/diva2:742038/FULLTEXT01.pdf (Page 37) (Different from source doc because it is assumed that the station will not run for 24hrs per day, all year)</text>
  </threadedComment>
</ThreadedComments>
</file>

<file path=xl/threadedComments/threadedComment10.xml><?xml version="1.0" encoding="utf-8"?>
<ThreadedComments xmlns="http://schemas.microsoft.com/office/spreadsheetml/2018/threadedcomments" xmlns:x="http://schemas.openxmlformats.org/spreadsheetml/2006/main">
  <threadedComment ref="M4" dT="2021-04-12T16:47:31.86" personId="{EAAD4659-E668-4CAB-B375-40F3C0383B70}" id="{38073A58-986E-4855-9964-8FE8F650E6BD}">
    <text>User Assumption. Assuming same cost as fuel oil/gas fired hatcheries</text>
  </threadedComment>
  <threadedComment ref="N4" dT="2021-04-12T16:47:31.86" personId="{EAAD4659-E668-4CAB-B375-40F3C0383B70}" id="{C73AA4AA-167B-4D12-A115-4E2B26B17F3A}">
    <text>User Assumption. https://www.rvo.nl/sites/default/files/2020/12/201204%20SVC%20Hatching%20Eggs.pdf (Page 6)</text>
  </threadedComment>
  <threadedComment ref="O4" dT="2021-04-12T16:47:31.86" personId="{EAAD4659-E668-4CAB-B375-40F3C0383B70}" id="{71F98C81-5809-4F6D-BF75-4D5863997E05}">
    <text>Based on model assumption</text>
  </threadedComment>
  <threadedComment ref="M5" dT="2021-04-12T17:22:23.37" personId="{EAAD4659-E668-4CAB-B375-40F3C0383B70}" id="{3D068821-7CCB-41DE-AB6F-E08F49C9167C}">
    <text>User Assumption. Assuming same value as fuel oil/gas-fired hatcheries</text>
  </threadedComment>
  <threadedComment ref="N5" dT="2021-04-12T17:22:23.37" personId="{EAAD4659-E668-4CAB-B375-40F3C0383B70}" id="{A97FDEB0-10E1-4130-9381-F9842557CBEF}">
    <text>Source: https://escholarship.org/content/qt76b25769/qt76b25769_noSplash_ba25f2daf2d92c0e6521ee2432d2873a.pdf?t=krn80d (Page 100)</text>
  </threadedComment>
  <threadedComment ref="O5" dT="2021-04-12T17:11:10.18" personId="{EAAD4659-E668-4CAB-B375-40F3C0383B70}" id="{85F7219D-7EBC-4B92-A700-E77D6790D139}">
    <text>Based on model assumption</text>
  </threadedComment>
  <threadedComment ref="J7" dT="2021-02-16T11:05:49.49" personId="{EAAD4659-E668-4CAB-B375-40F3C0383B70}" id="{3E389B8C-4007-46BC-8528-44E85F944881}">
    <text>Source: See Data Sources Tab</text>
  </threadedComment>
  <threadedComment ref="M7" dT="2021-04-12T17:08:43.49" personId="{EAAD4659-E668-4CAB-B375-40F3C0383B70}" id="{D7964819-67CD-40C1-9269-76A967A23C59}">
    <text>Based on Model Calculation</text>
  </threadedComment>
  <threadedComment ref="N7" dT="2021-04-12T17:08:43.49" personId="{EAAD4659-E668-4CAB-B375-40F3C0383B70}" id="{B19ECF3E-8A1E-43C1-B6BC-273289710A1E}">
    <text>Based on Model Calculation</text>
  </threadedComment>
  <threadedComment ref="O7" dT="2021-04-12T17:08:43.49" personId="{EAAD4659-E668-4CAB-B375-40F3C0383B70}" id="{5B66A56D-C7C2-48EB-9DFF-B303F2F46C75}">
    <text>Based on Model Calculation</text>
  </threadedComment>
  <threadedComment ref="M8" dT="2021-04-19T13:05:41.48" personId="{EAAD4659-E668-4CAB-B375-40F3C0383B70}" id="{55E38D09-BD49-49F8-BCB4-914856DA29A4}">
    <text>Source: http://large.stanford.edu/courses/2017/ph240/timcheck1/docs/fao-krajnc-2015.pdf (pg 15)</text>
  </threadedComment>
  <threadedComment ref="J10" dT="2021-03-08T12:10:11.37" personId="{EAAD4659-E668-4CAB-B375-40F3C0383B70}" id="{6806FC06-9C8F-47A8-97CE-0F8D9C9A70FB}">
    <text>Source: "A Guide for the Development of Geothermal Direct – Use Projects in Tanzania" Pg 13</text>
  </threadedComment>
  <threadedComment ref="M10" dT="2021-04-22T13:59:12.47" personId="{EAAD4659-E668-4CAB-B375-40F3C0383B70}" id="{1DA941C3-3834-4D3A-A5A1-8D7D215DC2C6}">
    <text>See Model Data Sources Tab</text>
  </threadedComment>
  <threadedComment ref="N10" dT="2021-04-12T17:02:33.37" personId="{EAAD4659-E668-4CAB-B375-40F3C0383B70}" id="{20891ED2-A174-4E65-9D57-2ADC1080B843}">
    <text>Source: See Fuel Data Tab</text>
  </threadedComment>
  <threadedComment ref="J12" dT="2021-02-18T19:12:59.26" personId="{EAAD4659-E668-4CAB-B375-40F3C0383B70}" id="{B4C4435B-F87A-424C-BCAE-A66A05C7C9EC}">
    <text>User Assumption</text>
  </threadedComment>
  <threadedComment ref="M12" dT="2021-04-12T16:50:13.88" personId="{EAAD4659-E668-4CAB-B375-40F3C0383B70}" id="{638AD4F5-FE71-4169-BB7B-EF49880440F9}">
    <text>Based on model assumption</text>
  </threadedComment>
  <threadedComment ref="N12" dT="2021-04-12T16:50:13.88" personId="{EAAD4659-E668-4CAB-B375-40F3C0383B70}" id="{E425C81C-60DD-4D67-8BF2-FABD3614B666}">
    <text>Based on model assumption</text>
  </threadedComment>
  <threadedComment ref="O12" dT="2021-04-12T16:50:13.88" personId="{EAAD4659-E668-4CAB-B375-40F3C0383B70}" id="{84257387-67CE-4245-A3C5-186FB3DFA7FE}">
    <text>Based on model assumption</text>
  </threadedComment>
  <threadedComment ref="C13" dT="2021-02-24T16:20:49.40" personId="{EAAD4659-E668-4CAB-B375-40F3C0383B70}" id="{8B34B202-498B-4FB2-9A04-3C2EBA7084F5}">
    <text>Source: https://www.diva-portal.org/smash/get/diva2:742038/FULLTEXT01.pdf (Page 42) (Assuming one unit is needed per dryer)</text>
  </threadedComment>
  <threadedComment ref="C14" dT="2021-02-24T16:26:16.55" personId="{EAAD4659-E668-4CAB-B375-40F3C0383B70}" id="{14E264A8-90B6-47ED-A5BF-FAD54597DE11}">
    <text>Source: https://www.diva-portal.org/smash/get/diva2:742038/FULLTEXT01.pdf (Page 42)</text>
  </threadedComment>
  <threadedComment ref="F14" dT="2021-02-16T12:54:24.21" personId="{EAAD4659-E668-4CAB-B375-40F3C0383B70}" id="{24F9D1B5-C446-4CF4-A7F9-6D4358EDA44C}">
    <text>User Assumption</text>
  </threadedComment>
  <threadedComment ref="C15" dT="2021-02-24T16:26:24.28" personId="{EAAD4659-E668-4CAB-B375-40F3C0383B70}" id="{5CF58936-0F10-42A1-AA2D-CA691A1066C8}">
    <text>Source: https://www.diva-portal.org/smash/get/diva2:742038/FULLTEXT01.pdf (Page 42)</text>
  </threadedComment>
  <threadedComment ref="F15" dT="2021-02-16T12:54:30.98" personId="{EAAD4659-E668-4CAB-B375-40F3C0383B70}" id="{5990116F-B4A2-490F-9CE6-AF6741E86555}">
    <text>User Assumption</text>
  </threadedComment>
  <threadedComment ref="C16" dT="2021-02-24T16:26:36.71" personId="{EAAD4659-E668-4CAB-B375-40F3C0383B70}" id="{D3F82666-E004-468C-A745-E68E974D697B}">
    <text>Source: https://www.diva-portal.org/smash/get/diva2:742038/FULLTEXT01.pdf (Page 42)</text>
  </threadedComment>
  <threadedComment ref="F16" dT="2021-02-16T12:54:38.29" personId="{EAAD4659-E668-4CAB-B375-40F3C0383B70}" id="{7E2CE01A-C74A-40B8-A31B-717939D75BA5}">
    <text>User Assumption</text>
  </threadedComment>
  <threadedComment ref="G20" dT="2021-02-16T17:05:40.00" personId="{EAAD4659-E668-4CAB-B375-40F3C0383B70}" id="{F3EF0981-2419-43AE-AA77-FEC22B1BF389}">
    <text>User Assumption</text>
  </threadedComment>
  <threadedComment ref="G21" dT="2021-02-16T17:06:04.27" personId="{EAAD4659-E668-4CAB-B375-40F3C0383B70}" id="{4A64C4FF-1970-4F6B-AFA2-8DE0F5F837AE}">
    <text>User Assumption</text>
  </threadedComment>
  <threadedComment ref="G25" dT="2021-02-18T14:48:23.45" personId="{EAAD4659-E668-4CAB-B375-40F3C0383B70}" id="{82B1C2BC-E3DF-47D6-8D6F-E615D42B0F5D}">
    <text>Source: Local Expert</text>
  </threadedComment>
  <threadedComment ref="G27" dT="2021-02-18T14:32:02.79" personId="{EAAD4659-E668-4CAB-B375-40F3C0383B70}" id="{6C38A4D7-E9A8-4AA1-8369-B2A7EEE67BEC}">
    <text>Source: http://www.fao.org/3/i3531e/i3531e.pdf (Page 35)</text>
  </threadedComment>
  <threadedComment ref="G29" dT="2021-02-25T12:37:54.09" personId="{EAAD4659-E668-4CAB-B375-40F3C0383B70}" id="{0A1B8901-B512-4AC7-8510-053EFFD91AC0}">
    <text>User Assumption</text>
  </threadedComment>
  <threadedComment ref="G30" dT="2021-02-19T16:18:16.76" personId="{EAAD4659-E668-4CAB-B375-40F3C0383B70}" id="{2906D70D-B98C-4C1F-8174-39D22F21D2B9}">
    <text>User Assumption</text>
  </threadedComment>
  <threadedComment ref="G31" dT="2021-02-19T16:19:53.93" personId="{EAAD4659-E668-4CAB-B375-40F3C0383B70}" id="{E3636535-180F-48B7-97F6-5BA9116A2C0B}">
    <text>User Assumption</text>
  </threadedComment>
  <threadedComment ref="G34" dT="2021-02-25T12:37:54.09" personId="{EAAD4659-E668-4CAB-B375-40F3C0383B70}" id="{30338108-D697-47DF-A4AB-EB4EB1D81D0D}">
    <text>User Assumption</text>
  </threadedComment>
  <threadedComment ref="G35" dT="2021-02-18T15:30:49.38" personId="{EAAD4659-E668-4CAB-B375-40F3C0383B70}" id="{9BF64C23-0154-451D-9A0F-50DE7F6771C4}">
    <text>Source: Local Kenyan Expert</text>
  </threadedComment>
  <threadedComment ref="G37" dT="2021-02-18T14:32:02.79" personId="{EAAD4659-E668-4CAB-B375-40F3C0383B70}" id="{AE027743-4EF6-4856-9995-C4A315BFF8F4}">
    <text>Source: https://ageconsearch.umn.edu/record/307636/files/aer354.pdf (pg 29)</text>
  </threadedComment>
</ThreadedComments>
</file>

<file path=xl/threadedComments/threadedComment11.xml><?xml version="1.0" encoding="utf-8"?>
<ThreadedComments xmlns="http://schemas.microsoft.com/office/spreadsheetml/2018/threadedcomments" xmlns:x="http://schemas.openxmlformats.org/spreadsheetml/2006/main">
  <threadedComment ref="M4" dT="2021-04-12T16:47:31.86" personId="{EAAD4659-E668-4CAB-B375-40F3C0383B70}" id="{5F7DB0B6-4F67-427E-A596-CA91BD2C8BEF}">
    <text>Source: https://www.alibaba.com/showroom/industrial-boiler-price.html</text>
  </threadedComment>
  <threadedComment ref="N4" dT="2021-04-12T16:47:31.86" personId="{EAAD4659-E668-4CAB-B375-40F3C0383B70}" id="{C0C1B37F-749D-4E16-80A4-5CDA06D91E1B}">
    <text>Source: https://www.alibaba.com/showroom/industrial-boiler-price.html</text>
  </threadedComment>
  <threadedComment ref="O4" dT="2021-04-12T16:47:31.86" personId="{EAAD4659-E668-4CAB-B375-40F3C0383B70}" id="{F7A5BE3B-0F98-429C-ABA0-05679616D2B4}">
    <text>Based on model assumption</text>
  </threadedComment>
  <threadedComment ref="M5" dT="2021-04-12T17:22:23.37" personId="{EAAD4659-E668-4CAB-B375-40F3C0383B70}" id="{4A5C440B-A8E9-4810-9FF0-97F2D2C5615D}">
    <text>Source: https://escholarship.org/content/qt76b25769/qt76b25769_noSplash_ba25f2daf2d92c0e6521ee2432d2873a.pdf?t=krn80d (Page 100)</text>
  </threadedComment>
  <threadedComment ref="N5" dT="2021-04-12T17:22:23.37" personId="{EAAD4659-E668-4CAB-B375-40F3C0383B70}" id="{26C474E9-DC14-46C3-BB59-671C909EC2ED}">
    <text>Source: https://escholarship.org/content/qt76b25769/qt76b25769_noSplash_ba25f2daf2d92c0e6521ee2432d2873a.pdf?t=krn80d (Page 100)</text>
  </threadedComment>
  <threadedComment ref="O5" dT="2021-04-12T17:11:10.18" personId="{EAAD4659-E668-4CAB-B375-40F3C0383B70}" id="{BF59EC48-C969-43E3-8519-6730FFC54076}">
    <text>Based on model assumption</text>
  </threadedComment>
  <threadedComment ref="J7" dT="2021-02-16T11:05:49.49" personId="{EAAD4659-E668-4CAB-B375-40F3C0383B70}" id="{6931B1AE-48A3-4430-91F2-8476B81AB299}">
    <text>Source: See Data Sources Tab</text>
  </threadedComment>
  <threadedComment ref="M7" dT="2021-04-12T17:08:43.49" personId="{EAAD4659-E668-4CAB-B375-40F3C0383B70}" id="{CC379BB3-436C-4EF8-A798-61E0FC8E6FC4}">
    <text>Based on Model Calculation</text>
  </threadedComment>
  <threadedComment ref="N7" dT="2021-04-12T17:08:43.49" personId="{EAAD4659-E668-4CAB-B375-40F3C0383B70}" id="{6A11E21D-B566-468E-8861-D107505AE099}">
    <text>Based on Model Calculation</text>
  </threadedComment>
  <threadedComment ref="O7" dT="2021-04-12T17:08:43.49" personId="{EAAD4659-E668-4CAB-B375-40F3C0383B70}" id="{92EAF5FA-2E07-43B1-8FD0-B5676F7CA2D4}">
    <text>Based on Model Calculation</text>
  </threadedComment>
  <threadedComment ref="M8" dT="2021-04-19T13:05:41.48" personId="{EAAD4659-E668-4CAB-B375-40F3C0383B70}" id="{FA116039-0CAE-45AC-BF58-5AF099E98AA2}">
    <text>Source: http://large.stanford.edu/courses/2017/ph240/timcheck1/docs/fao-krajnc-2015.pdf (pg 15)</text>
  </threadedComment>
  <threadedComment ref="N8" dT="2021-04-19T13:05:41.48" personId="{EAAD4659-E668-4CAB-B375-40F3C0383B70}" id="{556546A0-3625-4AC3-8057-1D669CA0FE06}">
    <text>Source: http://large.stanford.edu/courses/2017/ph240/timcheck1/docs/fao-krajnc-2015.pdf (pg 15)</text>
  </threadedComment>
  <threadedComment ref="J10" dT="2021-03-08T12:10:11.37" personId="{EAAD4659-E668-4CAB-B375-40F3C0383B70}" id="{E6DE6B82-8E56-4462-A138-7D3E0F489206}">
    <text>Source: "A Guide for the Development of Geothermal Direct – Use Projects in Tanzania" Pg 13</text>
  </threadedComment>
  <threadedComment ref="M10" dT="2021-04-12T17:02:33.37" personId="{EAAD4659-E668-4CAB-B375-40F3C0383B70}" id="{1E87191E-4E00-4D82-9543-CA18D8CBD1DC}">
    <text>Source: See Fuel Data Tab</text>
  </threadedComment>
  <threadedComment ref="N10" dT="2021-04-12T17:02:33.37" personId="{EAAD4659-E668-4CAB-B375-40F3C0383B70}" id="{772218CE-CCB4-49F9-B156-B59F734670E5}">
    <text>Source: See Fuel Data Tab</text>
  </threadedComment>
  <threadedComment ref="J12" dT="2021-02-18T19:12:59.26" personId="{EAAD4659-E668-4CAB-B375-40F3C0383B70}" id="{823BFAD6-5DCE-4D59-9E0D-8EBFAEDE4D9F}">
    <text>User Assumption</text>
  </threadedComment>
  <threadedComment ref="M12" dT="2021-04-12T16:50:13.88" personId="{EAAD4659-E668-4CAB-B375-40F3C0383B70}" id="{0E765697-DBBB-499D-AC4F-CEB92949A53D}">
    <text>Based on model assumption</text>
  </threadedComment>
  <threadedComment ref="N12" dT="2021-04-12T16:50:13.88" personId="{EAAD4659-E668-4CAB-B375-40F3C0383B70}" id="{55D80645-CA02-4486-AD60-CE37E6022D8F}">
    <text>Based on model assumption</text>
  </threadedComment>
  <threadedComment ref="O12" dT="2021-04-12T16:50:13.88" personId="{EAAD4659-E668-4CAB-B375-40F3C0383B70}" id="{723A97BC-8DB4-4C92-A1FF-551C9A67DD24}">
    <text>Based on model assumption</text>
  </threadedComment>
  <threadedComment ref="C13" dT="2021-02-24T16:20:49.40" personId="{EAAD4659-E668-4CAB-B375-40F3C0383B70}" id="{DFBB3804-F920-42CE-AA59-982DBB1FDAA3}">
    <text>Source: https://www.diva-portal.org/smash/get/diva2:742038/FULLTEXT01.pdf (Page 42) (Assuming one unit is needed per dryer)</text>
  </threadedComment>
  <threadedComment ref="C14" dT="2021-02-24T16:26:16.55" personId="{EAAD4659-E668-4CAB-B375-40F3C0383B70}" id="{5F887793-5474-404D-8EE2-B584FE36DD42}">
    <text>Source: https://www.diva-portal.org/smash/get/diva2:742038/FULLTEXT01.pdf (Page 42)</text>
  </threadedComment>
  <threadedComment ref="F14" dT="2021-02-16T12:54:24.21" personId="{EAAD4659-E668-4CAB-B375-40F3C0383B70}" id="{0468197E-73B0-429B-B71D-E3DB740D03A9}">
    <text>User Assumption</text>
  </threadedComment>
  <threadedComment ref="C15" dT="2021-02-24T16:26:24.28" personId="{EAAD4659-E668-4CAB-B375-40F3C0383B70}" id="{A123EAC5-F8FC-4628-8AA5-F41329F896B8}">
    <text>Source: https://www.diva-portal.org/smash/get/diva2:742038/FULLTEXT01.pdf (Page 42)</text>
  </threadedComment>
  <threadedComment ref="F15" dT="2021-02-16T12:54:30.98" personId="{EAAD4659-E668-4CAB-B375-40F3C0383B70}" id="{24CF9F5A-8A74-4CCB-8D90-EF27D651369E}">
    <text>User Assumption</text>
  </threadedComment>
  <threadedComment ref="C16" dT="2021-02-24T16:26:36.71" personId="{EAAD4659-E668-4CAB-B375-40F3C0383B70}" id="{F5C64C70-1907-4305-B23E-33AB46AD0790}">
    <text>Source: https://www.diva-portal.org/smash/get/diva2:742038/FULLTEXT01.pdf (Page 42)</text>
  </threadedComment>
  <threadedComment ref="F16" dT="2021-02-16T12:54:38.29" personId="{EAAD4659-E668-4CAB-B375-40F3C0383B70}" id="{E5A019F2-B5EE-4C6E-871B-CE27E72088C3}">
    <text>User Assumption</text>
  </threadedComment>
  <threadedComment ref="G20" dT="2021-02-16T17:05:40.00" personId="{EAAD4659-E668-4CAB-B375-40F3C0383B70}" id="{904ACE9C-88D8-49DB-860A-7CEBFF0BF2EA}">
    <text>User Assumption</text>
  </threadedComment>
  <threadedComment ref="G21" dT="2021-02-16T17:06:04.27" personId="{EAAD4659-E668-4CAB-B375-40F3C0383B70}" id="{28371BAA-72AA-4054-AD52-CD141A6EA462}">
    <text>User Assumption</text>
  </threadedComment>
  <threadedComment ref="G25" dT="2021-02-18T14:48:23.45" personId="{EAAD4659-E668-4CAB-B375-40F3C0383B70}" id="{52B8F64D-36F4-4505-B222-F382291AFC21}">
    <text>Source: https://kenyatrade.org/flower-exporters/</text>
  </threadedComment>
  <threadedComment ref="G27" dT="2021-04-19T18:19:29.00" personId="{EAAD4659-E668-4CAB-B375-40F3C0383B70}" id="{2F5DE2C6-070E-429A-8CBD-53956A843BE9}">
    <text>Source: http://oregontechsfcdn.azureedge.net/oregontech/docs/default-source/geoheat-center-documents/publications/greenhouses/tp50.pdf?sfvrsn=c2048d60_2 (Page 3)</text>
  </threadedComment>
  <threadedComment ref="G30" dT="2021-02-19T16:18:16.76" personId="{EAAD4659-E668-4CAB-B375-40F3C0383B70}" id="{21EB90E0-8E7B-4E2A-B299-2058948D550D}">
    <text>User Assumption</text>
  </threadedComment>
  <threadedComment ref="G31" dT="2021-02-19T16:18:16.76" personId="{EAAD4659-E668-4CAB-B375-40F3C0383B70}" id="{B0D3454D-F0DF-4F53-9EDF-259A56C5AB81}">
    <text>User Assumption</text>
  </threadedComment>
  <threadedComment ref="G32" dT="2021-02-19T16:18:16.76" personId="{EAAD4659-E668-4CAB-B375-40F3C0383B70}" id="{3F6F1DCF-C2BF-4F90-9CD4-AD464D523ECF}">
    <text>Based on Kibiro local expert response</text>
  </threadedComment>
</ThreadedComments>
</file>

<file path=xl/threadedComments/threadedComment12.xml><?xml version="1.0" encoding="utf-8"?>
<ThreadedComments xmlns="http://schemas.microsoft.com/office/spreadsheetml/2018/threadedcomments" xmlns:x="http://schemas.openxmlformats.org/spreadsheetml/2006/main">
  <threadedComment ref="D7" dT="2021-02-18T10:52:47.16" personId="{EAAD4659-E668-4CAB-B375-40F3C0383B70}" id="{E4CC0962-4F45-4733-9B62-1C67746A41C4}">
    <text>Assuming 2000 fishermen</text>
  </threadedComment>
  <threadedComment ref="C76" dT="2021-02-24T22:52:31.77" personId="{EAAD4659-E668-4CAB-B375-40F3C0383B70}" id="{17558384-87C4-4E79-8D3B-B8FC7290397C}">
    <text>Assumes similar payscale as sales manager</text>
  </threadedComment>
  <threadedComment ref="E76" dT="2021-02-24T22:52:42.06" personId="{EAAD4659-E668-4CAB-B375-40F3C0383B70}" id="{5D02F398-7F28-40DF-9E33-40E647708303}">
    <text>Assumes similar payscale as sales manager</text>
  </threadedComment>
</ThreadedComments>
</file>

<file path=xl/threadedComments/threadedComment2.xml><?xml version="1.0" encoding="utf-8"?>
<ThreadedComments xmlns="http://schemas.microsoft.com/office/spreadsheetml/2018/threadedcomments" xmlns:x="http://schemas.openxmlformats.org/spreadsheetml/2006/main">
  <threadedComment ref="J7" dT="2021-02-16T10:56:11.81" personId="{EAAD4659-E668-4CAB-B375-40F3C0383B70}" id="{24D04EC4-A9FD-460D-A6B1-9C74F2E56F0D}">
    <text>Source: See Fruit Prices Tab</text>
  </threadedComment>
  <threadedComment ref="N7" dT="2021-02-16T10:52:59.22" personId="{EAAD4659-E668-4CAB-B375-40F3C0383B70}" id="{03726B7D-A36E-403B-A02C-0BBCFC783A6E}">
    <text>Source: See Data Sources Tab</text>
  </threadedComment>
  <threadedComment ref="J8" dT="2021-02-18T14:39:01.21" personId="{EAAD4659-E668-4CAB-B375-40F3C0383B70}" id="{62FDC318-8B8A-4D66-86EB-AB9E0EC51E9B}">
    <text>See Export Prices Tab</text>
  </threadedComment>
  <threadedComment ref="N8" dT="2021-02-18T15:53:34.21" personId="{EAAD4659-E668-4CAB-B375-40F3C0383B70}" id="{2095E9FD-A573-41E0-A252-12DECDB1F426}">
    <text>Source: See Data Sources Tab</text>
  </threadedComment>
  <threadedComment ref="J9" dT="2021-02-16T11:25:41.26" personId="{EAAD4659-E668-4CAB-B375-40F3C0383B70}" id="{62D3B70F-A318-42A3-9655-EA4741FA0ED0}">
    <text>User Assumption</text>
  </threadedComment>
  <threadedComment ref="N9" dT="2021-03-08T13:03:09.54" personId="{EAAD4659-E668-4CAB-B375-40F3C0383B70}" id="{B8DD3020-C7B1-4E98-AB27-09E5822BFA2E}">
    <text>Source: https://www.wbdg.org/resources/geothermal-energy-direct-use
Also see: http://www.knowledgebank.irri.org/step-by-step-production/postharvest/drying/economic-aspects-of-drying</text>
  </threadedComment>
  <threadedComment ref="J10" dT="2021-02-16T11:25:51.07" personId="{EAAD4659-E668-4CAB-B375-40F3C0383B70}" id="{E9B14377-E02A-4B62-889B-ACA06E1B67B5}">
    <text>User Assumption</text>
  </threadedComment>
  <threadedComment ref="N10" dT="2021-02-19T11:29:34.08" personId="{EAAD4659-E668-4CAB-B375-40F3C0383B70}" id="{C0A30451-E5EC-410C-98EE-069CA3B5D297}">
    <text>Source: See Data Sources Tab</text>
  </threadedComment>
  <threadedComment ref="J11" dT="2021-02-16T10:57:07.41" personId="{EAAD4659-E668-4CAB-B375-40F3C0383B70}" id="{27D74F97-0806-4C9C-BA9F-B06340931096}">
    <text>User Assumption</text>
  </threadedComment>
  <threadedComment ref="N12" dT="2021-02-24T13:14:57.12" personId="{EAAD4659-E668-4CAB-B375-40F3C0383B70}" id="{6B41F322-A675-43DD-B8C7-C0E38BEB9144}">
    <text>Source: See Data Sources Tab</text>
  </threadedComment>
  <threadedComment ref="C13" dT="2021-02-24T16:20:49.40" personId="{EAAD4659-E668-4CAB-B375-40F3C0383B70}" id="{0884C16F-BBF4-4B13-9FC1-AD45BCD16C63}">
    <text>Source: https://www.diva-portal.org/smash/get/diva2:742038/FULLTEXT01.pdf (Page 42) (Assuming one unit is needed per dryer)</text>
  </threadedComment>
  <threadedComment ref="N13" dT="2021-02-19T12:46:51.83" personId="{EAAD4659-E668-4CAB-B375-40F3C0383B70}" id="{A716671B-8A55-4A93-BEE1-D89245EBB0A6}">
    <text>Assumes that equipment will be purchased and not leased</text>
  </threadedComment>
  <threadedComment ref="C14" dT="2021-02-24T16:26:16.55" personId="{EAAD4659-E668-4CAB-B375-40F3C0383B70}" id="{023A01DC-22F8-4320-B733-695EA74B21D4}">
    <text>Source: https://www.diva-portal.org/smash/get/diva2:742038/FULLTEXT01.pdf (Page 42)</text>
  </threadedComment>
  <threadedComment ref="F14" dT="2021-02-16T12:54:24.21" personId="{EAAD4659-E668-4CAB-B375-40F3C0383B70}" id="{599FB1C9-6BCA-494A-AC25-59D39488C7CF}">
    <text>User Assumption</text>
  </threadedComment>
  <threadedComment ref="J14" dT="2021-02-16T11:05:49.49" personId="{EAAD4659-E668-4CAB-B375-40F3C0383B70}" id="{3EA3B78B-19F7-48D6-B5E4-07A5AB81FFCD}">
    <text>Source: See Data Sources Tab</text>
  </threadedComment>
  <threadedComment ref="N14" dT="2021-03-08T16:05:53.35" personId="{EAAD4659-E668-4CAB-B375-40F3C0383B70}" id="{B672FAF6-E8FF-477E-91D5-974D31D92EE4}">
    <text>User Assumption. Assuming same cost as Marketing</text>
  </threadedComment>
  <threadedComment ref="C15" dT="2021-02-24T16:26:24.28" personId="{EAAD4659-E668-4CAB-B375-40F3C0383B70}" id="{C1DF1F12-21BE-4835-AD70-6E3B459FCD36}">
    <text>Source: https://www.diva-portal.org/smash/get/diva2:742038/FULLTEXT01.pdf (Page 42)</text>
  </threadedComment>
  <threadedComment ref="F15" dT="2021-02-16T12:54:30.98" personId="{EAAD4659-E668-4CAB-B375-40F3C0383B70}" id="{BC1F7F36-7515-4BB6-BE94-A15B5EB24A16}">
    <text>User Assumption</text>
  </threadedComment>
  <threadedComment ref="N15" dT="2021-03-08T14:00:53.40" personId="{EAAD4659-E668-4CAB-B375-40F3C0383B70}" id="{F0F3BE77-6669-44D0-ADEA-32AD01ECAFAB}">
    <text>Source: https://www.business2community.com/marketing/how-much-should-you-spend-on-marketing-your-small-business-02316226 (Assuming Walmart figure)</text>
  </threadedComment>
  <threadedComment ref="C16" dT="2021-02-24T16:26:30.74" personId="{EAAD4659-E668-4CAB-B375-40F3C0383B70}" id="{FFC1B042-3269-45FF-AD93-217F69045B98}">
    <text>Source: https://www.diva-portal.org/smash/get/diva2:742038/FULLTEXT01.pdf (Page 42)</text>
  </threadedComment>
  <threadedComment ref="F16" dT="2021-02-16T12:54:38.29" personId="{EAAD4659-E668-4CAB-B375-40F3C0383B70}" id="{4245142E-DFB1-4747-88D9-4A3517CEFB0D}">
    <text>User Assumption</text>
  </threadedComment>
  <threadedComment ref="N16" dT="2021-03-08T14:33:29.39" personId="{EAAD4659-E668-4CAB-B375-40F3C0383B70}" id="{714601B9-0AFC-4535-9167-3A47F4C4C468}">
    <text>Source: https://www.justbusiness.com/starting-a-small-business/business-startup-costs</text>
  </threadedComment>
  <threadedComment ref="C17" dT="2021-02-24T16:26:36.71" personId="{EAAD4659-E668-4CAB-B375-40F3C0383B70}" id="{18A208EC-0F44-4FEA-B403-DA89E4572B8F}">
    <text>Source: https://www.diva-portal.org/smash/get/diva2:742038/FULLTEXT01.pdf (Page 42)</text>
  </threadedComment>
  <threadedComment ref="J17" dT="2021-03-08T12:10:11.37" personId="{EAAD4659-E668-4CAB-B375-40F3C0383B70}" id="{3573FD08-413E-4F49-8FE0-324459F88EB1}">
    <text>Source: "A Guide for the Development of Geothermal Direct – Use Projects in Tanzania" Pg 13</text>
  </threadedComment>
  <threadedComment ref="N17" dT="2021-02-19T11:58:05.89" personId="{EAAD4659-E668-4CAB-B375-40F3C0383B70}" id="{37BE6D0E-F7FF-40C2-940E-262370D0DB92}">
    <text>Source: https://www.indiamart.com/proddetail/plastic-packaging-bags-11059930655.html</text>
  </threadedComment>
  <threadedComment ref="C18" dT="2021-02-24T16:26:44.40" personId="{EAAD4659-E668-4CAB-B375-40F3C0383B70}" id="{EEFB50CC-D585-4468-88D7-EBBBD11F5B07}">
    <text>Source: http://repository.pauwes-cop.net/bitstream/handle/1/124/MT_ALBERT_KHAMALA.pdf?sequence=1&amp;isAllowed=y (Page 121)</text>
  </threadedComment>
  <threadedComment ref="C19" dT="2021-02-24T16:26:51.75" personId="{EAAD4659-E668-4CAB-B375-40F3C0383B70}" id="{ACA8289B-D057-49F0-A0DC-C177C7A88802}">
    <text>Source: http://repository.pauwes-cop.net/bitstream/handle/1/124/MT_ALBERT_KHAMALA.pdf?sequence=1&amp;isAllowed=y (Page 121) (Assuming one unit is needed per dryer)</text>
  </threadedComment>
  <threadedComment ref="J19" dT="2021-02-18T19:12:59.26" personId="{EAAD4659-E668-4CAB-B375-40F3C0383B70}" id="{1263376C-0A98-4E9B-93C1-18FF7A73ADE7}">
    <text>User Assumption</text>
  </threadedComment>
  <threadedComment ref="G20" dT="2021-02-16T17:05:40.00" personId="{EAAD4659-E668-4CAB-B375-40F3C0383B70}" id="{8A9219D7-F461-496D-952F-55590675ED96}">
    <text>User Assumption</text>
  </threadedComment>
  <threadedComment ref="C21" dT="2021-02-23T16:33:35.91" personId="{EAAD4659-E668-4CAB-B375-40F3C0383B70}" id="{E7A4ABD5-0382-4B51-A531-862E185F2FCD}">
    <text>Source: https://m.alibaba.com/amp/product/60760387059.html</text>
  </threadedComment>
  <threadedComment ref="G21" dT="2021-02-16T17:06:04.27" personId="{EAAD4659-E668-4CAB-B375-40F3C0383B70}" id="{07ACD79E-3972-4D35-A6F5-286795B3A526}">
    <text>User Assumption</text>
  </threadedComment>
  <threadedComment ref="C22" dT="2021-02-23T16:34:49.46" personId="{EAAD4659-E668-4CAB-B375-40F3C0383B70}" id="{91C82122-095E-4456-A52B-778FCAAF7ACF}">
    <text>Source: https://www.tradewheel.com/p/high-quality-stainless-steel-304-food-689846/</text>
  </threadedComment>
  <threadedComment ref="C23" dT="2021-02-23T16:35:10.37" personId="{EAAD4659-E668-4CAB-B375-40F3C0383B70}" id="{1DA7CF58-F3A1-4525-AA7C-455E4D01FE88}">
    <text>Source: https://www.tradewheel.com/p/fruit-peeling-cutting-machine-vegetables-642597/</text>
  </threadedComment>
  <threadedComment ref="N23" dT="2021-02-18T15:30:49.38" personId="{EAAD4659-E668-4CAB-B375-40F3C0383B70}" id="{F0D282BD-F645-4424-9586-838F28DDB4CC}">
    <text>User Assumption</text>
  </threadedComment>
  <threadedComment ref="C24" dT="2021-02-23T16:35:48.67" personId="{EAAD4659-E668-4CAB-B375-40F3C0383B70}" id="{97F6C3F5-57A8-4919-AF4B-4965C85470D3}">
    <text>Source: https://www.tradewheel.com/p/precooling-machinevacuum-vegetable-cooling-machine-6899813/</text>
  </threadedComment>
  <threadedComment ref="C25" dT="2021-02-23T16:36:15.24" personId="{EAAD4659-E668-4CAB-B375-40F3C0383B70}" id="{C4643502-3BE5-43F8-9C15-93C0833ECBB3}">
    <text>Source: https://m.made-in-china,com/product/Dry-Fruits-Fully-Automatic-Packing-Machine-901463575.html</text>
  </threadedComment>
  <threadedComment ref="G25" dT="2021-02-18T14:32:02.79" personId="{EAAD4659-E668-4CAB-B375-40F3C0383B70}" id="{C5D798C7-5372-44FD-BDC2-5518AB489D16}">
    <text>Assuming prod level to obtain 40MT output. See: http://projects.nri.org/nret/fruitnil.pdf (Page 7)</text>
  </threadedComment>
  <threadedComment ref="G26" dT="2021-02-16T11:13:14.17" personId="{EAAD4659-E668-4CAB-B375-40F3C0383B70}" id="{BF55556D-AB01-430C-8F4B-DB8924AD745F}">
    <text>Source: https://iufost.org/wp-content/uploads/2017/08/Drying-Part-2.pdf (using mango as an example)</text>
  </threadedComment>
  <threadedComment ref="G27" dT="2021-02-16T11:13:26.27" personId="{EAAD4659-E668-4CAB-B375-40F3C0383B70}" id="{E1712B90-4D81-4755-A4DA-E6B7504A7E48}">
    <text>Source: https://iufost.org/wp-content/uploads/2017/08/Drying-Part-2.pdf (using mango as an example)</text>
  </threadedComment>
  <threadedComment ref="N27" dT="2021-02-24T19:49:25.54" personId="{EAAD4659-E668-4CAB-B375-40F3C0383B70}" id="{0F579110-063D-4F30-95FB-A6B8B0ED9E35}">
    <text>Source: See Data Sources Tab</text>
  </threadedComment>
  <threadedComment ref="N28" dT="2021-02-24T19:49:32.51" personId="{EAAD4659-E668-4CAB-B375-40F3C0383B70}" id="{D8E62C9F-29D3-4C74-B170-AB7AFF20AB51}">
    <text>Source: See Data Sources Tab</text>
  </threadedComment>
  <threadedComment ref="G29" dT="2021-03-11T12:16:17.90" personId="{EAAD4659-E668-4CAB-B375-40F3C0383B70}" id="{D6D7E171-39AB-4407-850F-B0FA8B195D48}">
    <text>http://projects.nri.org/nret/fruitnil.pdf (Page 7)</text>
  </threadedComment>
  <threadedComment ref="N29" dT="2021-02-24T19:49:38.63" personId="{EAAD4659-E668-4CAB-B375-40F3C0383B70}" id="{3BA411D7-4239-45E7-999B-95AEA29CA98F}">
    <text>Source: See Data Sources Tab</text>
  </threadedComment>
  <threadedComment ref="G30" dT="2021-02-18T15:30:49.38" personId="{EAAD4659-E668-4CAB-B375-40F3C0383B70}" id="{7D10C107-89E8-4407-B7E8-FFA21926E3A3}">
    <text>User Assumption</text>
  </threadedComment>
  <threadedComment ref="N31" dT="2021-02-24T19:49:48.73" personId="{EAAD4659-E668-4CAB-B375-40F3C0383B70}" id="{EDDBDF8D-D15A-4627-808C-C74F8304B914}">
    <text>Source: See Data Sources Tab</text>
  </threadedComment>
  <threadedComment ref="C32" dT="2021-02-25T12:37:54.09" personId="{EAAD4659-E668-4CAB-B375-40F3C0383B70}" id="{121B230C-A9DF-4442-8BF1-68A0609C97EA}">
    <text>https://www.diva-portal.org/smash/get/diva2:742038/FULLTEXT01.pdf (Page 35)</text>
  </threadedComment>
  <threadedComment ref="G32" dT="2021-03-10T19:53:19.75" personId="{EAAD4659-E668-4CAB-B375-40F3C0383B70}" id="{DC3B09DE-353D-40AE-931F-BF4D2BBF650C}">
    <text>Source: https://www.sintef.no/globalassets/project/drymeat/presentation2_fermentedmeat_bantle_dryingeconomics.pdf (Page 42) (Assuming same parameter as fish drying)</text>
  </threadedComment>
  <threadedComment ref="N32" dT="2021-02-24T20:10:35.88" personId="{EAAD4659-E668-4CAB-B375-40F3C0383B70}" id="{75692AC4-66EB-4CCB-BBC1-B22B3A9F0713}">
    <text>Assuming sales reps/distributors are not on the payroll but get remunerated by price mark-ups</text>
  </threadedComment>
  <threadedComment ref="C33" dT="2021-03-10T17:00:56.74" personId="{EAAD4659-E668-4CAB-B375-40F3C0383B70}" id="{C798EDD8-9AF5-48EC-B179-583D5CAAD721}">
    <text>https://www.diva-portal.org/smash/get/diva2:742038/FULLTEXT01.pdf (Page 35)</text>
  </threadedComment>
  <threadedComment ref="G33" dT="2021-02-18T14:48:23.45" personId="{EAAD4659-E668-4CAB-B375-40F3C0383B70}" id="{3F219F43-7C20-479C-B783-A35A88D77AA0}">
    <text>Source: http://www.bioline.org.br/pdf?nd12095#:~:text=The%20time%20required%20to%20dry,and%2044%C2%B0C%2C%20respectively. (Page 9)</text>
  </threadedComment>
  <threadedComment ref="C34" dT="2021-02-25T12:37:54.09" personId="{EAAD4659-E668-4CAB-B375-40F3C0383B70}" id="{6490BD68-5A82-444D-AE9D-40AEC27819F3}">
    <text>https://www.diva-portal.org/smash/get/diva2:742038/FULLTEXT01.pdf (Page 35)</text>
  </threadedComment>
  <threadedComment ref="G34" dT="2021-02-25T12:37:54.09" personId="{EAAD4659-E668-4CAB-B375-40F3C0383B70}" id="{7BA00B98-CBE4-49D9-86F6-41433BD124B6}">
    <text>User Assumption</text>
  </threadedComment>
  <threadedComment ref="C35" dT="2021-03-10T17:01:41.98" personId="{EAAD4659-E668-4CAB-B375-40F3C0383B70}" id="{7AE74549-9AF3-4D45-8423-2A66815CAA39}">
    <text>https://www.diva-portal.org/smash/get/diva2:742038/FULLTEXT01.pdf (Page 38)</text>
  </threadedComment>
  <threadedComment ref="C36" dT="2021-03-10T17:01:46.78" personId="{EAAD4659-E668-4CAB-B375-40F3C0383B70}" id="{FC3B6759-F4A9-4DD9-9F3A-017072479063}">
    <text>https://www.diva-portal.org/smash/get/diva2:742038/FULLTEXT01.pdf (Page 38)</text>
  </threadedComment>
  <threadedComment ref="G36" dT="2021-02-18T14:48:23.45" personId="{EAAD4659-E668-4CAB-B375-40F3C0383B70}" id="{73F3837B-EAC6-4440-8F5E-A5A6685F1D21}">
    <text>Source: https://www.sciencedirect.com/science/article/pii/S0301479720306629 (The assumed dryer has a max 1-ton per batch capacity)</text>
  </threadedComment>
  <threadedComment ref="C37" dT="2021-03-10T18:03:46.61" personId="{EAAD4659-E668-4CAB-B375-40F3C0383B70}" id="{444679E4-AF5F-4B7C-A794-530D68C9CE59}">
    <text>https://www.diva-portal.org/smash/get/diva2:742038/FULLTEXT01.pdf (Page 35)</text>
  </threadedComment>
  <threadedComment ref="C38" dT="2021-03-10T17:01:34.08" personId="{EAAD4659-E668-4CAB-B375-40F3C0383B70}" id="{F5DB3F55-EB80-425A-BE05-C55D89F665B8}">
    <text>https://www.diva-portal.org/smash/get/diva2:742038/FULLTEXT01.pdf (Page 35,38)</text>
  </threadedComment>
  <threadedComment ref="G38" dT="2021-02-25T12:37:54.09" personId="{EAAD4659-E668-4CAB-B375-40F3C0383B70}" id="{1E13D249-8C30-449E-8F9C-EDCA631CEEDC}">
    <text>User Assumption</text>
  </threadedComment>
  <threadedComment ref="M38" dT="2021-02-25T15:14:48.30" personId="{EAAD4659-E668-4CAB-B375-40F3C0383B70}" id="{154589F1-F8F5-4926-8898-2F349357E92A}">
    <text>User Assumption</text>
  </threadedComment>
  <threadedComment ref="M39" dT="2021-03-11T17:23:25.80" personId="{EAAD4659-E668-4CAB-B375-40F3C0383B70}" id="{1945CD11-3A89-4805-BE3C-21299217E40A}">
    <text>http://projects.nri.org/nret/fruitnil.pdf Fruit of the Nile also had only 5 FTEs at some point, although the firm only inspects, sorts, packs and exports.</text>
  </threadedComment>
  <threadedComment ref="M40" dT="2021-03-09T16:11:20.29" personId="{EAAD4659-E668-4CAB-B375-40F3C0383B70}" id="{65ECFD8D-5DCA-42F3-880A-8513E0FD808C}">
    <text>User Assumption</text>
  </threadedComment>
  <threadedComment ref="C42" dT="2021-03-10T17:00:34.77" personId="{EAAD4659-E668-4CAB-B375-40F3C0383B70}" id="{AC0942C3-764A-460A-991A-56081FFA8BE0}">
    <text>http://nhb.gov.in/pdf/fruits/mango/man012.pdf</text>
  </threadedComment>
  <threadedComment ref="G42" dT="2021-02-25T12:37:54.09" personId="{EAAD4659-E668-4CAB-B375-40F3C0383B70}" id="{90233B2A-8F7B-406B-B375-22C108C20224}">
    <text>Source: https://www.sciencedirect.com/science/article/pii/S0301479720306629</text>
  </threadedComment>
  <threadedComment ref="M42" dT="2021-02-19T16:18:16.76" personId="{EAAD4659-E668-4CAB-B375-40F3C0383B70}" id="{58DD17A8-CEEF-4610-AE0E-FB6001233E12}">
    <text>User Assumption</text>
  </threadedComment>
  <threadedComment ref="C43" dT="2021-03-10T17:00:41.23" personId="{EAAD4659-E668-4CAB-B375-40F3C0383B70}" id="{CBE945D3-EEA8-4D0D-84BF-C544CE77DE5F}">
    <text>http://www.bioline.org.br/pdf?nd12095#:~:text=The%20time%20required%20to%20dry,and%2044%C2%B0C%2C%20respectively. (Page 9)</text>
  </threadedComment>
  <threadedComment ref="G43" dT="2021-02-25T12:37:54.09" personId="{EAAD4659-E668-4CAB-B375-40F3C0383B70}" id="{46B12996-49CB-4A63-B3FD-518FBE8591D6}">
    <text>User Assumption</text>
  </threadedComment>
  <threadedComment ref="M43" dT="2021-02-19T16:19:53.93" personId="{EAAD4659-E668-4CAB-B375-40F3C0383B70}" id="{862F83D6-B180-456F-97CF-9BC61BBEA0E5}">
    <text>Source: http://projects.nri.org/nret/fruitnil.pdf The main periods for drying fruit are May-September and November-February. (So, this means drying is done for 9 months)</text>
  </threadedComment>
  <threadedComment ref="G44" dT="2021-02-18T14:36:08.48" personId="{EAAD4659-E668-4CAB-B375-40F3C0383B70}" id="{AA9214A5-011F-47BE-B0CC-11BD156BB1F4}">
    <text>User Assumption</text>
  </threadedComment>
  <threadedComment ref="C45" dT="2021-02-18T14:48:23.45" personId="{EAAD4659-E668-4CAB-B375-40F3C0383B70}" id="{CBE36E55-C1D1-4182-96D2-E60B2516BCC1}">
    <text>Source: https://www.diva-portal.org/smash/get/diva2:742038/FULLTEXT01.pdf (Page 36)</text>
  </threadedComment>
  <threadedComment ref="C46" dT="2021-03-10T17:00:12.26" personId="{EAAD4659-E668-4CAB-B375-40F3C0383B70}" id="{094EE5CA-E796-4B97-A460-1D1790D51C92}">
    <text>https://www.diva-portal.org/smash/get/diva2:742038/FULLTEXT01.pdf (Page 37)</text>
  </threadedComment>
  <threadedComment ref="C47" dT="2021-03-10T18:08:19.95" personId="{EAAD4659-E668-4CAB-B375-40F3C0383B70}" id="{50413B2A-8E8C-47EC-93B1-AE614A279485}">
    <text>https://www.diva-portal.org/smash/get/diva2:742038/FULLTEXT01.pdf (Page 37) (Different from source doc because it is assumed that the station will not run for 24hrs per day, all year)</text>
  </threadedComment>
</ThreadedComments>
</file>

<file path=xl/threadedComments/threadedComment3.xml><?xml version="1.0" encoding="utf-8"?>
<ThreadedComments xmlns="http://schemas.microsoft.com/office/spreadsheetml/2018/threadedcomments" xmlns:x="http://schemas.openxmlformats.org/spreadsheetml/2006/main">
  <threadedComment ref="J7" dT="2021-02-16T10:56:11.81" personId="{EAAD4659-E668-4CAB-B375-40F3C0383B70}" id="{11B39DE6-B7E5-4809-9DF5-EBFE4E82532D}">
    <text>Source: See Veg Prices Tab</text>
  </threadedComment>
  <threadedComment ref="N7" dT="2021-02-16T10:52:59.22" personId="{EAAD4659-E668-4CAB-B375-40F3C0383B70}" id="{92ED955D-4040-4574-98E9-0BBDA30438BB}">
    <text>Source: See Data Sources Tab</text>
  </threadedComment>
  <threadedComment ref="J8" dT="2021-02-16T10:56:11.81" personId="{EAAD4659-E668-4CAB-B375-40F3C0383B70}" id="{90027BFB-918C-4FFB-9898-B11D8CE43624}">
    <text>Source: See Veg Prices Tab</text>
  </threadedComment>
  <threadedComment ref="N8" dT="2021-02-18T15:53:34.21" personId="{EAAD4659-E668-4CAB-B375-40F3C0383B70}" id="{18C55FF1-02DA-4F5F-9861-342BBCFFA533}">
    <text>Source: See Data Sources Tab</text>
  </threadedComment>
  <threadedComment ref="J9" dT="2021-02-16T11:25:41.26" personId="{EAAD4659-E668-4CAB-B375-40F3C0383B70}" id="{A43612E1-0F13-4942-B72A-F74B7BA06B59}">
    <text>User Assumption</text>
  </threadedComment>
  <threadedComment ref="N9" dT="2021-03-08T13:03:09.54" personId="{EAAD4659-E668-4CAB-B375-40F3C0383B70}" id="{76468B54-E0C5-47CA-ADCB-9CB4F61A6466}">
    <text>Source: https://www.wbdg.org/resources/geothermal-energy-direct-use
Also see: http://www.knowledgebank.irri.org/step-by-step-production/postharvest/drying/economic-aspects-of-drying</text>
  </threadedComment>
  <threadedComment ref="J10" dT="2021-02-16T11:25:51.07" personId="{EAAD4659-E668-4CAB-B375-40F3C0383B70}" id="{AC4A6066-3D51-45E3-AC87-0629FF92DA82}">
    <text>User Assumption</text>
  </threadedComment>
  <threadedComment ref="N10" dT="2021-02-19T11:29:34.08" personId="{EAAD4659-E668-4CAB-B375-40F3C0383B70}" id="{C4B2966C-89BD-4F1D-AD73-DAEA046B05DA}">
    <text>Source: See Data Sources Tab</text>
  </threadedComment>
  <threadedComment ref="J11" dT="2021-02-16T10:57:07.41" personId="{EAAD4659-E668-4CAB-B375-40F3C0383B70}" id="{490BC686-1799-4CB7-9FD8-BB01D33127C2}">
    <text>User Assumption</text>
  </threadedComment>
  <threadedComment ref="N12" dT="2021-02-24T13:14:57.12" personId="{EAAD4659-E668-4CAB-B375-40F3C0383B70}" id="{347A5663-EA2F-474C-AB0E-423B4FE37C12}">
    <text>Source: See Data Sources Tab</text>
  </threadedComment>
  <threadedComment ref="C13" dT="2021-02-24T16:20:49.40" personId="{EAAD4659-E668-4CAB-B375-40F3C0383B70}" id="{BC294B85-874A-4A45-B800-A9097FC62FC4}">
    <text>Source: https://www.diva-portal.org/smash/get/diva2:742038/FULLTEXT01.pdf (Page 42) (Assuming one unit is needed per dryer)</text>
  </threadedComment>
  <threadedComment ref="N13" dT="2021-02-19T12:46:51.83" personId="{EAAD4659-E668-4CAB-B375-40F3C0383B70}" id="{7062DA9F-C261-4AC5-8B12-D57DB45F7843}">
    <text>Assumes that equipment will be purchased and not leased</text>
  </threadedComment>
  <threadedComment ref="C14" dT="2021-02-24T16:26:16.55" personId="{EAAD4659-E668-4CAB-B375-40F3C0383B70}" id="{72737917-0405-438C-8CFA-48AD9F302C7A}">
    <text>Source: https://www.diva-portal.org/smash/get/diva2:742038/FULLTEXT01.pdf (Page 42)</text>
  </threadedComment>
  <threadedComment ref="F14" dT="2021-02-16T12:54:24.21" personId="{EAAD4659-E668-4CAB-B375-40F3C0383B70}" id="{7334074D-CC4A-4F17-9D61-C5EB17BE8BCF}">
    <text>User Assumption</text>
  </threadedComment>
  <threadedComment ref="J14" dT="2021-02-16T11:05:49.49" personId="{EAAD4659-E668-4CAB-B375-40F3C0383B70}" id="{D1E6185A-8C13-46EE-A119-A8DA7AA486E1}">
    <text>Source: See Data Sources Tab</text>
  </threadedComment>
  <threadedComment ref="N14" dT="2021-03-08T16:05:53.35" personId="{EAAD4659-E668-4CAB-B375-40F3C0383B70}" id="{80CE35AE-E865-4CB9-8A7F-140090F01133}">
    <text>User Assumption. Assuming same cost as Marketing</text>
  </threadedComment>
  <threadedComment ref="C15" dT="2021-02-24T16:26:24.28" personId="{EAAD4659-E668-4CAB-B375-40F3C0383B70}" id="{E06E290D-B9DC-4B36-BA3B-9E456784CB14}">
    <text>Source: https://www.diva-portal.org/smash/get/diva2:742038/FULLTEXT01.pdf (Page 42)</text>
  </threadedComment>
  <threadedComment ref="F15" dT="2021-02-16T12:54:30.98" personId="{EAAD4659-E668-4CAB-B375-40F3C0383B70}" id="{F5B86D68-3843-485D-A1DF-CF8C8582EC8B}">
    <text>User Assumption</text>
  </threadedComment>
  <threadedComment ref="N15" dT="2021-03-08T14:00:53.40" personId="{EAAD4659-E668-4CAB-B375-40F3C0383B70}" id="{C2B1F742-7BDD-4AC0-9515-46EDB31C8564}">
    <text>Source: https://www.business2community.com/marketing/how-much-should-you-spend-on-marketing-your-small-business-02316226 (Assuming Walmart figure)</text>
  </threadedComment>
  <threadedComment ref="C16" dT="2021-02-24T16:26:30.74" personId="{EAAD4659-E668-4CAB-B375-40F3C0383B70}" id="{DBCBBE8A-82DF-4654-96DB-880AA5CB0A4B}">
    <text>Source: https://www.diva-portal.org/smash/get/diva2:742038/FULLTEXT01.pdf (Page 42)</text>
  </threadedComment>
  <threadedComment ref="F16" dT="2021-02-16T12:54:38.29" personId="{EAAD4659-E668-4CAB-B375-40F3C0383B70}" id="{787B4FE5-976C-44FB-AA09-3940DE2D25D3}">
    <text>User Assumption</text>
  </threadedComment>
  <threadedComment ref="N16" dT="2021-03-08T14:33:29.39" personId="{EAAD4659-E668-4CAB-B375-40F3C0383B70}" id="{AA2A3CCE-9BA2-4E19-8B98-25EE7ED88A46}">
    <text>Source: https://www.justbusiness.com/starting-a-small-business/business-startup-costs</text>
  </threadedComment>
  <threadedComment ref="C17" dT="2021-02-24T16:26:36.71" personId="{EAAD4659-E668-4CAB-B375-40F3C0383B70}" id="{5E4D5E3F-5295-4618-93DD-8CAA6FFAF1A0}">
    <text>Source: https://www.diva-portal.org/smash/get/diva2:742038/FULLTEXT01.pdf (Page 42)</text>
  </threadedComment>
  <threadedComment ref="J17" dT="2021-03-08T12:10:11.37" personId="{EAAD4659-E668-4CAB-B375-40F3C0383B70}" id="{23917BBF-956C-41C7-B976-07ACB1FC8AE8}">
    <text>Source: "A Guide for the Development of Geothermal Direct – Use Projects in Tanzania" Pg 13</text>
  </threadedComment>
  <threadedComment ref="N17" dT="2021-02-19T11:58:05.89" personId="{EAAD4659-E668-4CAB-B375-40F3C0383B70}" id="{E34CE6FC-2408-4215-ACE8-4C3A2ADAC5AC}">
    <text>Source: https://www.indiamart.com/proddetail/plastic-packaging-bags-11059930655.html
Assuming twice the cost due to the lighter weight of vegetables</text>
  </threadedComment>
  <threadedComment ref="C18" dT="2021-02-24T16:26:44.40" personId="{EAAD4659-E668-4CAB-B375-40F3C0383B70}" id="{3AB1EF9C-CCAC-4141-9889-B36D8AEB5B23}">
    <text>Source: http://repository.pauwes-cop.net/bitstream/handle/1/124/MT_ALBERT_KHAMALA.pdf?sequence=1&amp;isAllowed=y (Page 121)</text>
  </threadedComment>
  <threadedComment ref="C19" dT="2021-02-24T16:26:51.75" personId="{EAAD4659-E668-4CAB-B375-40F3C0383B70}" id="{A7BF2DF0-6375-438E-9552-63895E3B92BE}">
    <text>Source: http://repository.pauwes-cop.net/bitstream/handle/1/124/MT_ALBERT_KHAMALA.pdf?sequence=1&amp;isAllowed=y (Page 121) (Assuming one unit is needed per dryer)</text>
  </threadedComment>
  <threadedComment ref="J19" dT="2021-02-18T19:12:59.26" personId="{EAAD4659-E668-4CAB-B375-40F3C0383B70}" id="{39F89DE3-A9DA-4CF3-857D-01BD21C1453B}">
    <text>User Assumption</text>
  </threadedComment>
  <threadedComment ref="G20" dT="2021-02-16T17:05:40.00" personId="{EAAD4659-E668-4CAB-B375-40F3C0383B70}" id="{FEE46E14-C439-4CC1-9BFD-27FEA6387A21}">
    <text>User Assumption</text>
  </threadedComment>
  <threadedComment ref="C21" dT="2021-02-23T16:35:10.37" personId="{EAAD4659-E668-4CAB-B375-40F3C0383B70}" id="{476BDDAB-2A7F-4EA4-83D8-ACC905ADF754}">
    <text>Source: https://www.tradewheel.com/p/fruit-peeling-cutting-machine-vegetables-642597/</text>
  </threadedComment>
  <threadedComment ref="G21" dT="2021-02-16T17:06:04.27" personId="{EAAD4659-E668-4CAB-B375-40F3C0383B70}" id="{4D274629-B9D5-4DB0-AA74-FE55777CC779}">
    <text>User Assumption</text>
  </threadedComment>
  <threadedComment ref="C22" dT="2021-02-23T16:35:48.67" personId="{EAAD4659-E668-4CAB-B375-40F3C0383B70}" id="{97AADE6F-FEF0-4D49-9CB6-1541E8BB6A7D}">
    <text>Source: https://www.tradewheel.com/p/precooling-machinevacuum-vegetable-cooling-machine-6899813/</text>
  </threadedComment>
  <threadedComment ref="C23" dT="2021-02-23T16:36:15.24" personId="{EAAD4659-E668-4CAB-B375-40F3C0383B70}" id="{0F8EAD5B-2ADC-4E2C-A0B9-F207790D8165}">
    <text>Source: https://m.made-in-china,com/product/Dry-Fruits-Fully-Automatic-Packing-Machine-901463575.html</text>
  </threadedComment>
  <threadedComment ref="N23" dT="2021-02-18T15:30:49.38" personId="{EAAD4659-E668-4CAB-B375-40F3C0383B70}" id="{9C27D897-6FB7-4730-8C3A-0542354DC28F}">
    <text>User Assumption</text>
  </threadedComment>
  <threadedComment ref="G25" dT="2021-02-18T14:32:02.79" personId="{EAAD4659-E668-4CAB-B375-40F3C0383B70}" id="{F7ADA7F9-05BE-42E1-9F93-C2EA4305577C}">
    <text>Source: See Data Sources Tab</text>
  </threadedComment>
  <threadedComment ref="G26" dT="2021-02-16T11:13:14.17" personId="{EAAD4659-E668-4CAB-B375-40F3C0383B70}" id="{3D0CDAFD-85A2-4BAF-BB2D-F30F321F412A}">
    <text>Source: https://iufost.org/wp-content/uploads/2017/08/Drying-Part-2.pdf (using oregano as an example)</text>
  </threadedComment>
  <threadedComment ref="G27" dT="2021-02-16T11:13:26.27" personId="{EAAD4659-E668-4CAB-B375-40F3C0383B70}" id="{FAE1B11E-97D0-41D3-A2C9-E89EB7EDA1D4}">
    <text>Source: https://iufost.org/wp-content/uploads/2017/08/Drying-Part-2.pdf (using oregano as an example)</text>
  </threadedComment>
  <threadedComment ref="N27" dT="2021-02-24T19:49:25.54" personId="{EAAD4659-E668-4CAB-B375-40F3C0383B70}" id="{EF98B3F8-E630-4C1D-BABD-8D890C8CAB2F}">
    <text>Source: See Data Sources Tab</text>
  </threadedComment>
  <threadedComment ref="N28" dT="2021-02-24T19:49:32.51" personId="{EAAD4659-E668-4CAB-B375-40F3C0383B70}" id="{0306599E-BB77-4903-9D91-E77E690057FA}">
    <text>Source: See Data Sources Tab</text>
  </threadedComment>
  <threadedComment ref="G29" dT="2021-03-11T12:16:17.90" personId="{EAAD4659-E668-4CAB-B375-40F3C0383B70}" id="{61474E54-0434-42F8-8BDE-5341F90E1FB2}">
    <text>http://projects.nri.org/nret/fruitnil.pdf (Page 7)</text>
  </threadedComment>
  <threadedComment ref="N29" dT="2021-02-24T19:49:38.63" personId="{EAAD4659-E668-4CAB-B375-40F3C0383B70}" id="{88347A99-F899-4CAB-847F-984D9D2979CA}">
    <text>Source: See Data Sources Tab</text>
  </threadedComment>
  <threadedComment ref="G30" dT="2021-02-18T15:30:49.38" personId="{EAAD4659-E668-4CAB-B375-40F3C0383B70}" id="{1DECA6D6-AA0B-4AD1-978A-E77606AA40E0}">
    <text>User Assumption</text>
  </threadedComment>
  <threadedComment ref="N31" dT="2021-02-24T19:49:48.73" personId="{EAAD4659-E668-4CAB-B375-40F3C0383B70}" id="{764B96F7-D718-4F7F-95C4-B24576D01695}">
    <text>Source: See Data Sources Tab</text>
  </threadedComment>
  <threadedComment ref="C32" dT="2021-02-25T12:37:54.09" personId="{EAAD4659-E668-4CAB-B375-40F3C0383B70}" id="{C8D1716D-FC50-4772-8128-679CD8D4B3E6}">
    <text>https://www.diva-portal.org/smash/get/diva2:742038/FULLTEXT01.pdf (Page 35)</text>
  </threadedComment>
  <threadedComment ref="G32" dT="2021-03-10T19:53:19.75" personId="{EAAD4659-E668-4CAB-B375-40F3C0383B70}" id="{25E70AD6-04EC-40CE-A0A3-D9227B60A6C5}">
    <text>Source: https://www.sintef.no/globalassets/project/drymeat/presentation2_fermentedmeat_bantle_dryingeconomics.pdf (Page 42) (Assuming same parameter as fish drying)</text>
  </threadedComment>
  <threadedComment ref="N32" dT="2021-02-24T20:10:35.88" personId="{EAAD4659-E668-4CAB-B375-40F3C0383B70}" id="{631F2317-7946-452A-8FB2-0DC75D365C06}">
    <text>Assuming sales reps/distributors are not on the payroll but get remunerated by price mark-ups</text>
  </threadedComment>
  <threadedComment ref="C33" dT="2021-03-10T17:00:56.74" personId="{EAAD4659-E668-4CAB-B375-40F3C0383B70}" id="{9BF8A00F-FD74-411D-8F74-89B76502C241}">
    <text>https://www.diva-portal.org/smash/get/diva2:742038/FULLTEXT01.pdf (Page 35)</text>
  </threadedComment>
  <threadedComment ref="G33" dT="2021-02-25T12:47:13.01" personId="{EAAD4659-E668-4CAB-B375-40F3C0383B70}" id="{1B49329E-8EDB-4AF7-8706-C114B7C4B1CB}">
    <text>Source: http://www.fao.org/3/W6864E/w6864e0b.htm</text>
  </threadedComment>
  <threadedComment ref="C34" dT="2021-02-25T12:37:54.09" personId="{EAAD4659-E668-4CAB-B375-40F3C0383B70}" id="{C5706941-36CC-4811-AD10-7331A91E2591}">
    <text>https://www.diva-portal.org/smash/get/diva2:742038/FULLTEXT01.pdf (Page 35)</text>
  </threadedComment>
  <threadedComment ref="G34" dT="2021-02-18T14:48:23.45" personId="{EAAD4659-E668-4CAB-B375-40F3C0383B70}" id="{5E72E36A-4285-4217-8063-1D97D6BA9909}">
    <text>Source: https://iufost.org/wp-content/uploads/2017/08/Drying-Part-2.pdf (Page 57) (Assuming Oregano)</text>
  </threadedComment>
  <threadedComment ref="C35" dT="2021-03-10T17:01:41.98" personId="{EAAD4659-E668-4CAB-B375-40F3C0383B70}" id="{B6311D9D-C308-4C75-B348-0D0DE8D64549}">
    <text>https://www.diva-portal.org/smash/get/diva2:742038/FULLTEXT01.pdf (Page 38)</text>
  </threadedComment>
  <threadedComment ref="G35" dT="2021-02-25T12:37:54.09" personId="{EAAD4659-E668-4CAB-B375-40F3C0383B70}" id="{91569CAD-B5AE-4C93-88CD-7BCADD545B86}">
    <text>User Assumption</text>
  </threadedComment>
  <threadedComment ref="C36" dT="2021-03-10T17:01:46.78" personId="{EAAD4659-E668-4CAB-B375-40F3C0383B70}" id="{6A3F4A1C-7207-4390-B149-81FD19FF080D}">
    <text>https://www.diva-portal.org/smash/get/diva2:742038/FULLTEXT01.pdf (Page 38)</text>
  </threadedComment>
  <threadedComment ref="C37" dT="2021-03-10T18:03:46.61" personId="{EAAD4659-E668-4CAB-B375-40F3C0383B70}" id="{D4E59F99-3A71-4379-80E7-69B57C8BDF5A}">
    <text>https://www.diva-portal.org/smash/get/diva2:742038/FULLTEXT01.pdf (Page 35)</text>
  </threadedComment>
  <threadedComment ref="G37" dT="2021-02-18T14:48:23.45" personId="{EAAD4659-E668-4CAB-B375-40F3C0383B70}" id="{BFFB677A-B08E-456E-A752-D1C4BC438333}">
    <text>Source: https://www.sciencedirect.com/science/article/pii/S0301479720306629 (The assumed dryer has a max 1-ton per batch capacity)</text>
  </threadedComment>
  <threadedComment ref="C38" dT="2021-03-10T17:01:34.08" personId="{EAAD4659-E668-4CAB-B375-40F3C0383B70}" id="{AA19D63A-27FC-405D-B8AB-8C02F219B576}">
    <text>https://www.diva-portal.org/smash/get/diva2:742038/FULLTEXT01.pdf (Page 35,38)</text>
  </threadedComment>
  <threadedComment ref="M38" dT="2021-02-25T15:14:48.30" personId="{EAAD4659-E668-4CAB-B375-40F3C0383B70}" id="{1ECAD4ED-4005-4209-BF4B-8FDCBD9E11CB}">
    <text>User Assumption</text>
  </threadedComment>
  <threadedComment ref="G39" dT="2021-02-25T12:37:54.09" personId="{EAAD4659-E668-4CAB-B375-40F3C0383B70}" id="{8341C042-7A9E-4059-9B90-0F8F3D555297}">
    <text>User Assumption</text>
  </threadedComment>
  <threadedComment ref="M39" dT="2021-03-11T17:23:37.68" personId="{EAAD4659-E668-4CAB-B375-40F3C0383B70}" id="{62542DAC-FCD4-4FE7-ABD1-7D8D29E62385}">
    <text>http://projects.nri.org/nret/fruitnil.pdf Fruit of the Nile also had only 5 FTEs at some point, although the firm only inspects, sorts, packs and exports.</text>
  </threadedComment>
  <threadedComment ref="M40" dT="2021-03-09T16:11:20.29" personId="{EAAD4659-E668-4CAB-B375-40F3C0383B70}" id="{D114B6E3-D9BC-47EA-8C84-C6FCB38E7D21}">
    <text>User Assumption</text>
  </threadedComment>
  <threadedComment ref="C42" dT="2021-03-10T17:00:34.77" personId="{EAAD4659-E668-4CAB-B375-40F3C0383B70}" id="{51638710-C753-4CD0-BE93-E9D75F8B337E}">
    <text>https://www.gardeningknowhow.com/edible/herbs/oregano/growing-oregano-indoors.htm#:~:text=Indoor%20oregano%20plants%20need%20similar,day%20and%2055%2D60%20F.</text>
  </threadedComment>
  <threadedComment ref="M42" dT="2021-02-19T16:18:16.76" personId="{EAAD4659-E668-4CAB-B375-40F3C0383B70}" id="{3C7C60D7-D80E-4E5A-810C-87E5ECD02125}">
    <text>User Assumption</text>
  </threadedComment>
  <threadedComment ref="C43" dT="2021-03-10T17:00:41.23" personId="{EAAD4659-E668-4CAB-B375-40F3C0383B70}" id="{4C2F8F54-2978-48B7-9A00-A45A6B88AB13}">
    <text>https://iufost.org/wp-content/uploads/2017/08/Drying-Part-2.pdf (Page 54) (Assuming Oregano)</text>
  </threadedComment>
  <threadedComment ref="G43" dT="2021-02-25T12:37:54.09" personId="{EAAD4659-E668-4CAB-B375-40F3C0383B70}" id="{0D910EE3-4A0E-408A-87E1-0D699C936729}">
    <text>Source: https://www.sciencedirect.com/science/article/pii/S0301479720306629</text>
  </threadedComment>
  <threadedComment ref="M43" dT="2021-02-19T16:19:53.93" personId="{EAAD4659-E668-4CAB-B375-40F3C0383B70}" id="{6C324A4D-079B-46D5-B4E8-0DE11064E6BB}">
    <text>User Assumption. Assuming various types of vegetables will be harvested year round</text>
  </threadedComment>
  <threadedComment ref="G44" dT="2021-02-25T12:37:54.09" personId="{EAAD4659-E668-4CAB-B375-40F3C0383B70}" id="{B2594E54-8D27-4148-B819-FC5BA2E3E810}">
    <text>User Assumption</text>
  </threadedComment>
  <threadedComment ref="C45" dT="2021-02-18T14:48:23.45" personId="{EAAD4659-E668-4CAB-B375-40F3C0383B70}" id="{ED3CF7FA-C802-47B7-BF9A-3D01166808A1}">
    <text>Source: https://www.diva-portal.org/smash/get/diva2:742038/FULLTEXT01.pdf (Page 36)</text>
  </threadedComment>
  <threadedComment ref="G45" dT="2021-02-18T14:36:08.48" personId="{EAAD4659-E668-4CAB-B375-40F3C0383B70}" id="{97561AC3-04F5-4513-89C5-91E2D1CE4940}">
    <text>User Assumption</text>
  </threadedComment>
  <threadedComment ref="C46" dT="2021-03-10T17:00:12.26" personId="{EAAD4659-E668-4CAB-B375-40F3C0383B70}" id="{B459E022-384B-4CCB-A342-ABF0AD911C26}">
    <text>https://www.diva-portal.org/smash/get/diva2:742038/FULLTEXT01.pdf (Page 37)</text>
  </threadedComment>
  <threadedComment ref="C47" dT="2021-03-10T18:08:19.95" personId="{EAAD4659-E668-4CAB-B375-40F3C0383B70}" id="{3FCD8A8B-91AC-4DDC-A449-4C58EC1CD160}">
    <text>https://www.diva-portal.org/smash/get/diva2:742038/FULLTEXT01.pdf (Page 37) (Different from source doc because it is assumed that the station will not run for 24hrs per day, all year)</text>
  </threadedComment>
</ThreadedComments>
</file>

<file path=xl/threadedComments/threadedComment4.xml><?xml version="1.0" encoding="utf-8"?>
<ThreadedComments xmlns="http://schemas.microsoft.com/office/spreadsheetml/2018/threadedcomments" xmlns:x="http://schemas.openxmlformats.org/spreadsheetml/2006/main">
  <threadedComment ref="J7" dT="2021-02-16T10:56:11.81" personId="{EAAD4659-E668-4CAB-B375-40F3C0383B70}" id="{DC2FC38E-8338-455E-AFA1-1C74D0DF3DFF}">
    <text>See Data Sources Tab</text>
  </threadedComment>
  <threadedComment ref="N7" dT="2021-02-16T10:52:59.22" personId="{EAAD4659-E668-4CAB-B375-40F3C0383B70}" id="{6FBA11E1-E294-45AF-A237-063612887899}">
    <text>Source: See Data Sources Tab</text>
  </threadedComment>
  <threadedComment ref="J8" dT="2021-02-18T14:39:01.21" personId="{EAAD4659-E668-4CAB-B375-40F3C0383B70}" id="{5DC133FE-07FC-487E-939C-F22D260771C4}">
    <text>Assumes that 100% of production is sold locally as Uganda is a net rice importer. See: https://www.agriculture.go.ug/enhancing-national-food-security-through-increased-rice-production-project/</text>
  </threadedComment>
  <threadedComment ref="N8" dT="2021-02-18T15:53:34.21" personId="{EAAD4659-E668-4CAB-B375-40F3C0383B70}" id="{D7257761-5853-4C4D-92BD-C6EBA0B6B07D}">
    <text>Source: See Data Sources Tab</text>
  </threadedComment>
  <threadedComment ref="J9" dT="2021-02-16T11:25:41.26" personId="{EAAD4659-E668-4CAB-B375-40F3C0383B70}" id="{3783B91F-BB31-4C2E-ADDC-F88528FFF655}">
    <text>User Assumption</text>
  </threadedComment>
  <threadedComment ref="N9" dT="2021-03-08T13:03:09.54" personId="{EAAD4659-E668-4CAB-B375-40F3C0383B70}" id="{8CF4B4F2-28A7-4EFC-9148-61CDCEDB64DE}">
    <text>Source: https://www.wbdg.org/resources/geothermal-energy-direct-use
Also see: http://www.knowledgebank.irri.org/step-by-step-production/postharvest/drying/economic-aspects-of-drying</text>
  </threadedComment>
  <threadedComment ref="J10" dT="2021-02-16T11:25:51.07" personId="{EAAD4659-E668-4CAB-B375-40F3C0383B70}" id="{A9DC5BB6-CDDE-46B0-9DA6-792590596412}">
    <text>Assumes that 100% of production is sold locally as Uganda is a net rice importer. See: https://www.agriculture.go.ug/enhancing-national-food-security-through-increased-rice-production-project/</text>
  </threadedComment>
  <threadedComment ref="N10" dT="2021-02-19T11:29:34.08" personId="{EAAD4659-E668-4CAB-B375-40F3C0383B70}" id="{27B7482E-70B3-4D9E-AC28-AC24CB6E0655}">
    <text>Source: See Data Sources Tab</text>
  </threadedComment>
  <threadedComment ref="J11" dT="2021-02-16T10:57:07.41" personId="{EAAD4659-E668-4CAB-B375-40F3C0383B70}" id="{B2BFF11B-7E78-4826-9E1C-90DCFBD9F901}">
    <text>User Assumption</text>
  </threadedComment>
  <threadedComment ref="N12" dT="2021-02-24T13:14:57.12" personId="{EAAD4659-E668-4CAB-B375-40F3C0383B70}" id="{1E878C62-436B-4766-B789-BABCAB431591}">
    <text>Source: See Data Sources Tab</text>
  </threadedComment>
  <threadedComment ref="C13" dT="2021-02-24T16:20:49.40" personId="{EAAD4659-E668-4CAB-B375-40F3C0383B70}" id="{2D73C279-0FC5-4B11-83AE-A4A1FC8077E0}">
    <text>Source: https://www.diva-portal.org/smash/get/diva2:742038/FULLTEXT01.pdf (Page 42) (Assuming one unit is needed per dryer)</text>
  </threadedComment>
  <threadedComment ref="N13" dT="2021-02-19T12:46:51.83" personId="{EAAD4659-E668-4CAB-B375-40F3C0383B70}" id="{2CEB1218-8A9A-4E70-9A19-21E9211633C3}">
    <text>Assumes that equipment will be purchased and not leased</text>
  </threadedComment>
  <threadedComment ref="C14" dT="2021-02-24T16:26:16.55" personId="{EAAD4659-E668-4CAB-B375-40F3C0383B70}" id="{826EE641-2EF4-4F97-B9CF-678263809B48}">
    <text>Source: https://www.diva-portal.org/smash/get/diva2:742038/FULLTEXT01.pdf (Page 42)</text>
  </threadedComment>
  <threadedComment ref="F14" dT="2021-02-16T12:54:24.21" personId="{EAAD4659-E668-4CAB-B375-40F3C0383B70}" id="{EF07031D-BEE4-430E-9628-F1F56F98DA3E}">
    <text>User Assumption</text>
  </threadedComment>
  <threadedComment ref="J14" dT="2021-02-16T11:05:49.49" personId="{EAAD4659-E668-4CAB-B375-40F3C0383B70}" id="{9757413A-5921-43B8-9513-28F661948ED7}">
    <text>Source: See Data Sources Tab</text>
  </threadedComment>
  <threadedComment ref="N14" dT="2021-03-08T16:05:53.35" personId="{EAAD4659-E668-4CAB-B375-40F3C0383B70}" id="{6DF95FA8-745F-4A65-9454-8242B1BF9FD8}">
    <text>User Assumption. Assuming same cost as Marketing</text>
  </threadedComment>
  <threadedComment ref="C15" dT="2021-02-24T16:26:24.28" personId="{EAAD4659-E668-4CAB-B375-40F3C0383B70}" id="{3E187DE0-0E40-401D-8272-CEC85194F511}">
    <text>Source: https://www.diva-portal.org/smash/get/diva2:742038/FULLTEXT01.pdf (Page 42)</text>
  </threadedComment>
  <threadedComment ref="F15" dT="2021-02-16T12:54:30.98" personId="{EAAD4659-E668-4CAB-B375-40F3C0383B70}" id="{CDEB199B-29AC-449A-BB0A-FED684826E81}">
    <text>User Assumption</text>
  </threadedComment>
  <threadedComment ref="N15" dT="2021-03-08T14:00:53.40" personId="{EAAD4659-E668-4CAB-B375-40F3C0383B70}" id="{401F9D2F-249D-4C25-9824-125B45E70BA8}">
    <text>Source: https://www.business2community.com/marketing/how-much-should-you-spend-on-marketing-your-small-business-02316226 (Assuming Walmart figure)</text>
  </threadedComment>
  <threadedComment ref="C16" dT="2021-02-24T16:26:30.74" personId="{EAAD4659-E668-4CAB-B375-40F3C0383B70}" id="{37E2BF97-5898-41FC-9E60-C0084A23944E}">
    <text>Source: https://www.diva-portal.org/smash/get/diva2:742038/FULLTEXT01.pdf (Page 42)</text>
  </threadedComment>
  <threadedComment ref="F16" dT="2021-02-16T12:54:38.29" personId="{EAAD4659-E668-4CAB-B375-40F3C0383B70}" id="{B7FA89E7-14F7-4AF1-B00C-1F8538E808E3}">
    <text>User Assumption</text>
  </threadedComment>
  <threadedComment ref="N16" dT="2021-03-08T14:33:29.39" personId="{EAAD4659-E668-4CAB-B375-40F3C0383B70}" id="{B0999C2C-166A-446C-8E36-5E78E0EEE58B}">
    <text>Source: https://www.justbusiness.com/starting-a-small-business/business-startup-costs</text>
  </threadedComment>
  <threadedComment ref="C17" dT="2021-02-24T16:26:36.71" personId="{EAAD4659-E668-4CAB-B375-40F3C0383B70}" id="{8D63262C-C3AD-460C-8B55-EDCB089925DE}">
    <text>Source: https://www.diva-portal.org/smash/get/diva2:742038/FULLTEXT01.pdf (Page 42)</text>
  </threadedComment>
  <threadedComment ref="J17" dT="2021-03-08T12:10:11.37" personId="{EAAD4659-E668-4CAB-B375-40F3C0383B70}" id="{BB302EE8-29D4-4A15-AE53-D2BE11FF80FF}">
    <text>Source: "A Guide for the Development of Geothermal Direct – Use Projects in Tanzania" Pg 13</text>
  </threadedComment>
  <threadedComment ref="N17" dT="2021-02-19T11:58:05.89" personId="{EAAD4659-E668-4CAB-B375-40F3C0383B70}" id="{680DC329-9256-4016-B89D-FE6A34EAB195}">
    <text>Source: https://www.indiamart.com/proddetail/plastic-rice-bags-21486799830.html</text>
  </threadedComment>
  <threadedComment ref="C18" dT="2021-02-24T16:26:44.40" personId="{EAAD4659-E668-4CAB-B375-40F3C0383B70}" id="{2F8FC46E-5B66-4C55-9DF4-4425F7CEC665}">
    <text>Source: http://repository.pauwes-cop.net/bitstream/handle/1/124/MT_ALBERT_KHAMALA.pdf?sequence=1&amp;isAllowed=y (Page 121)</text>
  </threadedComment>
  <threadedComment ref="C19" dT="2021-02-24T16:26:51.75" personId="{EAAD4659-E668-4CAB-B375-40F3C0383B70}" id="{51D08AA8-DAC1-46A5-A3D9-F309B46CFF93}">
    <text>Source: http://repository.pauwes-cop.net/bitstream/handle/1/124/MT_ALBERT_KHAMALA.pdf?sequence=1&amp;isAllowed=y (Page 121) (Assuming one unit is needed per dryer)</text>
  </threadedComment>
  <threadedComment ref="J19" dT="2021-02-18T19:12:59.26" personId="{EAAD4659-E668-4CAB-B375-40F3C0383B70}" id="{29B05514-3F17-4EA2-9099-A7A45A6FE339}">
    <text>User Assumption</text>
  </threadedComment>
  <threadedComment ref="C20" dT="2021-02-23T16:36:15.24" personId="{EAAD4659-E668-4CAB-B375-40F3C0383B70}" id="{6F8164CE-4B6C-4C3A-B570-07B1FB37C63D}">
    <text>Source: https://m.made-in-china,com/product/Dry-Fruits-Fully-Automatic-Packing-Machine-901463575.html</text>
  </threadedComment>
  <threadedComment ref="G20" dT="2021-02-16T17:05:40.00" personId="{EAAD4659-E668-4CAB-B375-40F3C0383B70}" id="{5275C9D1-31A6-4345-A548-963B3E55B445}">
    <text>User Assumption</text>
  </threadedComment>
  <threadedComment ref="G21" dT="2021-02-16T17:06:04.27" personId="{EAAD4659-E668-4CAB-B375-40F3C0383B70}" id="{C094F1DB-BF46-45F7-B54A-EF0AC6BD3319}">
    <text>User Assumption</text>
  </threadedComment>
  <threadedComment ref="N23" dT="2021-02-18T15:30:49.38" personId="{EAAD4659-E668-4CAB-B375-40F3C0383B70}" id="{AC922D7B-C045-4691-9D4B-E60738AD209A}">
    <text>User Assumption</text>
  </threadedComment>
  <threadedComment ref="G25" dT="2021-02-18T14:32:02.79" personId="{EAAD4659-E668-4CAB-B375-40F3C0383B70}" id="{3DEB6FAA-30CB-4C4F-BBD5-7F221BDD488F}">
    <text>See Data Sources Tab</text>
  </threadedComment>
  <threadedComment ref="G26" dT="2021-02-16T11:13:14.17" personId="{EAAD4659-E668-4CAB-B375-40F3C0383B70}" id="{ABCC8921-FF75-4ABD-9798-5D8FBDA7992A}">
    <text>Source: http://www.knowledgebank.irri.org/step-by-step-production/postharvest/drying/economic-aspects-of-drying</text>
  </threadedComment>
  <threadedComment ref="G27" dT="2021-02-16T11:13:26.27" personId="{EAAD4659-E668-4CAB-B375-40F3C0383B70}" id="{D5A49C68-9439-4EAF-9599-F84B44A42784}">
    <text>Source: http://www.knowledgebank.irri.org/step-by-step-production/postharvest/drying/economic-aspects-of-drying</text>
  </threadedComment>
  <threadedComment ref="N27" dT="2021-02-24T19:49:25.54" personId="{EAAD4659-E668-4CAB-B375-40F3C0383B70}" id="{28A426CB-9C18-4874-9509-365ED36397D0}">
    <text>Source: See Data Sources Tab</text>
  </threadedComment>
  <threadedComment ref="N28" dT="2021-02-24T19:49:32.51" personId="{EAAD4659-E668-4CAB-B375-40F3C0383B70}" id="{D3565474-83C9-4B47-8D41-14776107D14D}">
    <text>Source: See Data Sources Tab</text>
  </threadedComment>
  <threadedComment ref="N29" dT="2021-02-24T19:49:38.63" personId="{EAAD4659-E668-4CAB-B375-40F3C0383B70}" id="{AEA74A0A-01C9-499A-8DD0-F9A283BFE41C}">
    <text>Source: See Data Sources Tab</text>
  </threadedComment>
  <threadedComment ref="G30" dT="2021-03-10T19:53:19.75" personId="{EAAD4659-E668-4CAB-B375-40F3C0383B70}" id="{320AAA4A-10AC-45EA-9D25-7E6A5AF87E99}">
    <text>Source: https://www.sintef.no/globalassets/project/drymeat/presentation2_fermentedmeat_bantle_dryingeconomics.pdf (Page 42) (Assuming same parameter as fish drying)</text>
  </threadedComment>
  <threadedComment ref="G31" dT="2021-02-18T14:48:23.45" personId="{EAAD4659-E668-4CAB-B375-40F3C0383B70}" id="{7DA8A149-4FEB-474B-B3FC-BF69881E431B}">
    <text>Source: http://www.knowledgebank.irri.org/step-by-step-production/postharvest/drying/economic-aspects-of-drying</text>
  </threadedComment>
  <threadedComment ref="N31" dT="2021-02-24T19:49:48.73" personId="{EAAD4659-E668-4CAB-B375-40F3C0383B70}" id="{40769C36-1FDA-4E54-BCC3-67787B4F2D2C}">
    <text>Source: See Data Sources Tab</text>
  </threadedComment>
  <threadedComment ref="C32" dT="2021-02-25T12:37:54.09" personId="{EAAD4659-E668-4CAB-B375-40F3C0383B70}" id="{D68FA59F-8EC0-409A-BDFD-E38107F5C5D6}">
    <text>https://www.diva-portal.org/smash/get/diva2:742038/FULLTEXT01.pdf (Page 35)</text>
  </threadedComment>
  <threadedComment ref="G32" dT="2021-02-25T12:37:54.09" personId="{EAAD4659-E668-4CAB-B375-40F3C0383B70}" id="{503D43CA-88B2-42A5-850D-931DE3D639D6}">
    <text>User Assumption</text>
  </threadedComment>
  <threadedComment ref="N32" dT="2021-02-24T20:10:35.88" personId="{EAAD4659-E668-4CAB-B375-40F3C0383B70}" id="{B0FF8485-DA31-4A63-B5E8-127BB64B3C27}">
    <text>Assuming sales reps/distributors are not on the payroll but get remunerated by price mark-ups</text>
  </threadedComment>
  <threadedComment ref="C33" dT="2021-03-10T17:00:56.74" personId="{EAAD4659-E668-4CAB-B375-40F3C0383B70}" id="{3956E9E0-9CF4-4780-AB5C-AE0641A9D8F0}">
    <text>https://www.diva-portal.org/smash/get/diva2:742038/FULLTEXT01.pdf (Page 35)</text>
  </threadedComment>
  <threadedComment ref="C34" dT="2021-02-25T12:37:54.09" personId="{EAAD4659-E668-4CAB-B375-40F3C0383B70}" id="{DB6CA26D-595C-4BEB-90FA-8F88ABEA51F8}">
    <text>https://www.diva-portal.org/smash/get/diva2:742038/FULLTEXT01.pdf (Page 35)</text>
  </threadedComment>
  <threadedComment ref="G34" dT="2021-02-18T14:48:23.45" personId="{EAAD4659-E668-4CAB-B375-40F3C0383B70}" id="{4CAB8CCA-3085-41A9-B46D-8DBCAFD276A0}">
    <text>Source: http://www.knowledgebank.irri.org/step-by-step-production/postharvest/drying/economic-aspects-of-drying</text>
  </threadedComment>
  <threadedComment ref="C35" dT="2021-03-10T17:01:41.98" personId="{EAAD4659-E668-4CAB-B375-40F3C0383B70}" id="{03600DA3-E7F7-4968-B2A2-5A719BDF04EA}">
    <text>https://www.diva-portal.org/smash/get/diva2:742038/FULLTEXT01.pdf (Page 38)</text>
  </threadedComment>
  <threadedComment ref="G35" dT="2021-02-18T14:48:23.45" personId="{EAAD4659-E668-4CAB-B375-40F3C0383B70}" id="{748E2E35-8D80-441A-8A3A-60C6F73E762A}">
    <text>Source: http://www.knowledgebank.irri.org/step-by-step-production/postharvest/drying/economic-aspects-of-drying</text>
  </threadedComment>
  <threadedComment ref="C36" dT="2021-03-10T17:01:46.78" personId="{EAAD4659-E668-4CAB-B375-40F3C0383B70}" id="{BBA76DE8-7FB2-4CA5-AB3D-BFB1AC7DCC4B}">
    <text>https://www.diva-portal.org/smash/get/diva2:742038/FULLTEXT01.pdf (Page 38)</text>
  </threadedComment>
  <threadedComment ref="G36" dT="2021-02-25T12:37:54.09" personId="{EAAD4659-E668-4CAB-B375-40F3C0383B70}" id="{472C4A36-B535-49DC-8A3F-BC5305D18091}">
    <text>User Assumption</text>
  </threadedComment>
  <threadedComment ref="C37" dT="2021-03-10T18:03:46.61" personId="{EAAD4659-E668-4CAB-B375-40F3C0383B70}" id="{995827E9-3B73-4C97-990A-B9681689CBE5}">
    <text>https://www.diva-portal.org/smash/get/diva2:742038/FULLTEXT01.pdf (Page 35)</text>
  </threadedComment>
  <threadedComment ref="C38" dT="2021-03-10T17:01:34.08" personId="{EAAD4659-E668-4CAB-B375-40F3C0383B70}" id="{32DB0783-9D8F-4D73-AE84-B0155A6D149B}">
    <text>https://www.diva-portal.org/smash/get/diva2:742038/FULLTEXT01.pdf (Page 35,38)</text>
  </threadedComment>
  <threadedComment ref="M38" dT="2021-02-25T15:14:48.30" personId="{EAAD4659-E668-4CAB-B375-40F3C0383B70}" id="{6B310C3F-7299-4AED-9798-83298309F3DE}">
    <text>User Assumption. http://www.knowledgebank.irri.org/step-by-step-production/postharvest/drying/economic-aspects-of-drying suggests 1.2 manhours per batch</text>
  </threadedComment>
  <threadedComment ref="G40" dT="2021-02-25T12:37:54.09" personId="{EAAD4659-E668-4CAB-B375-40F3C0383B70}" id="{E3C817DF-99FB-4BB7-B97F-C8560B255B35}">
    <text>User Assumption. Also see http://books.irri.org/LP9_content.pdf</text>
  </threadedComment>
  <threadedComment ref="M40" dT="2021-03-09T16:11:20.29" personId="{EAAD4659-E668-4CAB-B375-40F3C0383B70}" id="{CE3939EC-3546-4937-ADDB-DDE00F9FBBE0}">
    <text>User Assumption</text>
  </threadedComment>
  <threadedComment ref="G41" dT="2021-02-25T12:37:54.09" personId="{EAAD4659-E668-4CAB-B375-40F3C0383B70}" id="{F96437FE-B532-46CF-8B5A-30B135E61FD5}">
    <text>User Assumption</text>
  </threadedComment>
  <threadedComment ref="M41" dT="2021-02-19T16:17:55.21" personId="{EAAD4659-E668-4CAB-B375-40F3C0383B70}" id="{F5684E04-9090-4FB0-84E0-516D88E4421A}">
    <text>User Assumption</text>
  </threadedComment>
  <threadedComment ref="C42" dT="2021-03-10T17:00:34.77" personId="{EAAD4659-E668-4CAB-B375-40F3C0383B70}" id="{7CE4B6E4-B91F-4C2C-8700-336803A08578}">
    <text>https://www.hindawi.com/journals/ija/2014/846707/</text>
  </threadedComment>
  <threadedComment ref="G42" dT="2021-02-18T14:36:08.48" personId="{EAAD4659-E668-4CAB-B375-40F3C0383B70}" id="{62BCB80D-043C-4E4D-B058-DFDD5B9D2A69}">
    <text>User Assumption</text>
  </threadedComment>
  <threadedComment ref="M42" dT="2021-02-19T16:18:16.76" personId="{EAAD4659-E668-4CAB-B375-40F3C0383B70}" id="{242FA102-6E73-4B31-9D63-DA424149DE06}">
    <text>User Assumption</text>
  </threadedComment>
  <threadedComment ref="C43" dT="2021-03-10T17:00:41.23" personId="{EAAD4659-E668-4CAB-B375-40F3C0383B70}" id="{CA40F267-F1C9-4F6C-A7E6-BB37C5299ED3}">
    <text>http://www.ikisan.com/pb-rice-harvesting-storage.html</text>
  </threadedComment>
  <threadedComment ref="M43" dT="2021-02-19T16:19:53.93" personId="{EAAD4659-E668-4CAB-B375-40F3C0383B70}" id="{D7312D67-962C-4AB9-9DA9-73EB56FFA9BB}">
    <text>User Assumption</text>
  </threadedComment>
  <threadedComment ref="C45" dT="2021-02-18T14:48:23.45" personId="{EAAD4659-E668-4CAB-B375-40F3C0383B70}" id="{F37A704A-B105-4222-8BEA-D701B7CE6B5F}">
    <text>Source: https://www.diva-portal.org/smash/get/diva2:742038/FULLTEXT01.pdf (Page 36)</text>
  </threadedComment>
  <threadedComment ref="C46" dT="2021-03-10T17:00:12.26" personId="{EAAD4659-E668-4CAB-B375-40F3C0383B70}" id="{6CB4B354-2D42-4584-A845-3D6F900BCD9E}">
    <text>https://www.diva-portal.org/smash/get/diva2:742038/FULLTEXT01.pdf (Page 37)</text>
  </threadedComment>
  <threadedComment ref="C47" dT="2021-03-10T18:08:19.95" personId="{EAAD4659-E668-4CAB-B375-40F3C0383B70}" id="{EFB1E822-7A37-47F7-BFDE-2A2EBDB691CC}">
    <text>https://www.diva-portal.org/smash/get/diva2:742038/FULLTEXT01.pdf (Page 37) (Different from source doc because it is assumed that the station will not run for 24hrs per day, all year)</text>
  </threadedComment>
</ThreadedComments>
</file>

<file path=xl/threadedComments/threadedComment5.xml><?xml version="1.0" encoding="utf-8"?>
<ThreadedComments xmlns="http://schemas.microsoft.com/office/spreadsheetml/2018/threadedcomments" xmlns:x="http://schemas.openxmlformats.org/spreadsheetml/2006/main">
  <threadedComment ref="J7" dT="2021-02-16T10:52:59.22" personId="{EAAD4659-E668-4CAB-B375-40F3C0383B70}" id="{3F04CBFA-0FFA-43C6-B54A-DC41B44A2A0D}">
    <text>Source: See Data Sources Tab.
Additional data from local experts show max price of dried Pyre at  Ksh200 ($1.84)</text>
  </threadedComment>
  <threadedComment ref="N7" dT="2021-02-16T10:52:59.22" personId="{EAAD4659-E668-4CAB-B375-40F3C0383B70}" id="{F31FAD5E-B836-4AE7-83A2-930CCDEEFD14}">
    <text>Source: See Data Sources Tab
Additional data from local expert - Lydia shows price of fresh Pyre can be up to Ksh50 ($0.46)</text>
  </threadedComment>
  <threadedComment ref="J8" dT="2021-02-16T10:56:11.81" personId="{EAAD4659-E668-4CAB-B375-40F3C0383B70}" id="{EDCD4EDC-C171-418A-A582-763A3E2925E7}">
    <text>Assuming same price as local</text>
  </threadedComment>
  <threadedComment ref="N8" dT="2021-02-18T15:53:34.21" personId="{EAAD4659-E668-4CAB-B375-40F3C0383B70}" id="{4F5AD618-121B-4A10-8104-7E2B0B4FF51E}">
    <text>Source: See Data Sources Tab</text>
  </threadedComment>
  <threadedComment ref="J9" dT="2021-02-16T11:25:41.26" personId="{EAAD4659-E668-4CAB-B375-40F3C0383B70}" id="{A9CFE712-153B-49DB-AEFD-AE7EBB38690E}">
    <text>User Assumption</text>
  </threadedComment>
  <threadedComment ref="N9" dT="2021-03-08T13:03:09.54" personId="{EAAD4659-E668-4CAB-B375-40F3C0383B70}" id="{522CC5D4-5AF4-442E-BF29-238575352C5A}">
    <text>Source: https://www.wbdg.org/resources/geothermal-energy-direct-use
Also see: http://www.knowledgebank.irri.org/step-by-step-production/postharvest/drying/economic-aspects-of-drying</text>
  </threadedComment>
  <threadedComment ref="J10" dT="2021-02-16T11:25:51.07" personId="{EAAD4659-E668-4CAB-B375-40F3C0383B70}" id="{DD73970E-77A1-456D-9209-BC3E10D0E6F1}">
    <text>User Assumption</text>
  </threadedComment>
  <threadedComment ref="N10" dT="2021-02-19T11:29:34.08" personId="{EAAD4659-E668-4CAB-B375-40F3C0383B70}" id="{40657AAA-E64A-48F6-9A9E-62B1B565A1DE}">
    <text>Source: See Data Sources Tab</text>
  </threadedComment>
  <threadedComment ref="J11" dT="2021-02-16T10:57:07.41" personId="{EAAD4659-E668-4CAB-B375-40F3C0383B70}" id="{11FB3F7C-9BC2-42D5-BC37-5C6DCEF04DF7}">
    <text>User Assumption</text>
  </threadedComment>
  <threadedComment ref="N12" dT="2021-02-24T13:14:57.12" personId="{EAAD4659-E668-4CAB-B375-40F3C0383B70}" id="{68B436C0-DDCB-473D-B65E-E7357B8BC31F}">
    <text>Source: See Data Sources Tab</text>
  </threadedComment>
  <threadedComment ref="C13" dT="2021-02-24T16:20:49.40" personId="{EAAD4659-E668-4CAB-B375-40F3C0383B70}" id="{B38FDD05-FCDC-416B-AE33-1C307D437FC6}">
    <text>Source: https://www.diva-portal.org/smash/get/diva2:742038/FULLTEXT01.pdf (Page 42) (Assuming one unit is needed per dryer)</text>
  </threadedComment>
  <threadedComment ref="N13" dT="2021-02-19T12:46:51.83" personId="{EAAD4659-E668-4CAB-B375-40F3C0383B70}" id="{D0BEBE93-E476-4808-AC53-5DFA7E3E0038}">
    <text>Assumes that equipment will be purchased and not leased</text>
  </threadedComment>
  <threadedComment ref="C14" dT="2021-02-24T16:26:16.55" personId="{EAAD4659-E668-4CAB-B375-40F3C0383B70}" id="{73B61878-9F15-40D1-81A9-7E34668DEEC0}">
    <text>Source: https://www.diva-portal.org/smash/get/diva2:742038/FULLTEXT01.pdf (Page 42)</text>
  </threadedComment>
  <threadedComment ref="F14" dT="2021-02-16T12:54:24.21" personId="{EAAD4659-E668-4CAB-B375-40F3C0383B70}" id="{BE336B9A-5FFB-4659-AAB7-391A5D8CB129}">
    <text>User Assumption</text>
  </threadedComment>
  <threadedComment ref="J14" dT="2021-02-16T11:05:49.49" personId="{EAAD4659-E668-4CAB-B375-40F3C0383B70}" id="{FC0F252B-D250-43E9-BB4A-520CDA4231F6}">
    <text>Source: See Data Sources Tab</text>
  </threadedComment>
  <threadedComment ref="N14" dT="2021-03-08T16:05:53.35" personId="{EAAD4659-E668-4CAB-B375-40F3C0383B70}" id="{3B2B7315-6DE4-45B5-A547-1CC4A4AE58EA}">
    <text>User Assumption. Assuming same cost as Marketing</text>
  </threadedComment>
  <threadedComment ref="C15" dT="2021-02-24T16:26:24.28" personId="{EAAD4659-E668-4CAB-B375-40F3C0383B70}" id="{7BA7AB7B-81AC-4C8E-A228-972C7B727924}">
    <text>Source: https://www.diva-portal.org/smash/get/diva2:742038/FULLTEXT01.pdf (Page 42)</text>
  </threadedComment>
  <threadedComment ref="F15" dT="2021-02-16T12:54:30.98" personId="{EAAD4659-E668-4CAB-B375-40F3C0383B70}" id="{D7C7DB14-648A-4FB9-8A2A-B96E79D8DD4E}">
    <text>User Assumption</text>
  </threadedComment>
  <threadedComment ref="N15" dT="2021-03-08T14:00:53.40" personId="{EAAD4659-E668-4CAB-B375-40F3C0383B70}" id="{527589F4-1FE4-4586-A0B0-45078723C818}">
    <text>Source: https://www.business2community.com/marketing/how-much-should-you-spend-on-marketing-your-small-business-02316226 (Assuming Walmart figure)</text>
  </threadedComment>
  <threadedComment ref="C16" dT="2021-02-24T16:26:30.74" personId="{EAAD4659-E668-4CAB-B375-40F3C0383B70}" id="{E676BB5A-DCC9-4C07-8911-B298E6DF377E}">
    <text>Source: https://www.diva-portal.org/smash/get/diva2:742038/FULLTEXT01.pdf (Page 42)</text>
  </threadedComment>
  <threadedComment ref="F16" dT="2021-02-16T12:54:38.29" personId="{EAAD4659-E668-4CAB-B375-40F3C0383B70}" id="{AD35D092-AD5D-4EC7-A2F1-0C48C831B6B3}">
    <text>User Assumption</text>
  </threadedComment>
  <threadedComment ref="N16" dT="2021-03-08T14:33:29.39" personId="{EAAD4659-E668-4CAB-B375-40F3C0383B70}" id="{4C6DD776-9404-46E7-AA7F-34F327774891}">
    <text>Source: https://www.justbusiness.com/starting-a-small-business/business-startup-costs</text>
  </threadedComment>
  <threadedComment ref="C17" dT="2021-02-24T16:26:36.71" personId="{EAAD4659-E668-4CAB-B375-40F3C0383B70}" id="{E492B652-C7E7-444F-9408-5100CA984023}">
    <text>Source: https://www.diva-portal.org/smash/get/diva2:742038/FULLTEXT01.pdf (Page 42)</text>
  </threadedComment>
  <threadedComment ref="J17" dT="2021-03-08T12:10:11.37" personId="{EAAD4659-E668-4CAB-B375-40F3C0383B70}" id="{2E3D7479-B098-4033-80E2-CEE4CC12E166}">
    <text>Source: "A Guide for the Development of Geothermal Direct – Use Projects in Tanzania" Pg 13</text>
  </threadedComment>
  <threadedComment ref="N17" dT="2021-02-19T11:58:05.89" personId="{EAAD4659-E668-4CAB-B375-40F3C0383B70}" id="{BEF38AA9-67FC-47DE-972A-2B0ED31E324B}">
    <text>Source: https://www.indiamart.com/proddetail/plastic-rice-bags-21486799830.html</text>
  </threadedComment>
  <threadedComment ref="C18" dT="2021-02-24T16:26:44.40" personId="{EAAD4659-E668-4CAB-B375-40F3C0383B70}" id="{120E03A6-CB64-4952-9CAC-25DF7DAA733A}">
    <text>Source: http://repository.pauwes-cop.net/bitstream/handle/1/124/MT_ALBERT_KHAMALA.pdf?sequence=1&amp;isAllowed=y (Page 121)</text>
  </threadedComment>
  <threadedComment ref="C19" dT="2021-02-24T16:26:51.75" personId="{EAAD4659-E668-4CAB-B375-40F3C0383B70}" id="{1B453DF9-AE83-41E3-ACA0-DDBFC3D99DCF}">
    <text>Source: http://repository.pauwes-cop.net/bitstream/handle/1/124/MT_ALBERT_KHAMALA.pdf?sequence=1&amp;isAllowed=y (Page 121) (Assuming one unit is needed per dryer)</text>
  </threadedComment>
  <threadedComment ref="J19" dT="2021-02-18T19:12:59.26" personId="{EAAD4659-E668-4CAB-B375-40F3C0383B70}" id="{4B5995B6-C432-43BB-BD82-906C3EB3C512}">
    <text>User Assumption</text>
  </threadedComment>
  <threadedComment ref="G20" dT="2021-02-16T17:05:40.00" personId="{EAAD4659-E668-4CAB-B375-40F3C0383B70}" id="{B84FF942-EAAD-469A-8A64-64BCB535CF00}">
    <text>User Assumption</text>
  </threadedComment>
  <threadedComment ref="C21" dT="2021-02-23T16:35:10.37" personId="{EAAD4659-E668-4CAB-B375-40F3C0383B70}" id="{4B937B0D-BBA9-4436-B54B-7610AE0418AB}">
    <text>Source: https://kawiarniapinokio.pl/2020-20-15/16899.html</text>
  </threadedComment>
  <threadedComment ref="G21" dT="2021-02-16T17:06:04.27" personId="{EAAD4659-E668-4CAB-B375-40F3C0383B70}" id="{5588E42B-5C67-494D-888D-FF13E587A6F8}">
    <text>User Assumption</text>
  </threadedComment>
  <threadedComment ref="C22" dT="2021-02-23T16:35:48.67" personId="{EAAD4659-E668-4CAB-B375-40F3C0383B70}" id="{6E6DC664-7E23-4356-BB8F-55E8D90D51B6}">
    <text>Source: https://www.tradewheel.com/p/precooling-machinevacuum-vegetable-cooling-machine-6899813/</text>
  </threadedComment>
  <threadedComment ref="C23" dT="2021-02-23T16:36:15.24" personId="{EAAD4659-E668-4CAB-B375-40F3C0383B70}" id="{6E4EF696-1F54-439A-B8B4-214BF8BF826E}">
    <text>Source: https://m.made-in-china,com/product/Dry-Fruits-Fully-Automatic-Packing-Machine-901463575.html</text>
  </threadedComment>
  <threadedComment ref="N23" dT="2021-02-18T15:30:49.38" personId="{EAAD4659-E668-4CAB-B375-40F3C0383B70}" id="{22106AB0-43D4-486E-AFA1-B102AF9A1ED6}">
    <text>User Assumption</text>
  </threadedComment>
  <threadedComment ref="G25" dT="2021-02-18T14:32:02.79" personId="{EAAD4659-E668-4CAB-B375-40F3C0383B70}" id="{D99F1587-81AB-4604-84E2-14B3A183E330}">
    <text>Source: Data sources tab</text>
  </threadedComment>
  <threadedComment ref="G26" dT="2021-02-16T11:13:14.17" personId="{EAAD4659-E668-4CAB-B375-40F3C0383B70}" id="{56D31278-B0FE-4F00-931C-80A0D5787067}">
    <text>Source: http://erepository.uonbi.ac.ke/handle/11295/18830</text>
  </threadedComment>
  <threadedComment ref="G27" dT="2021-02-16T11:13:26.27" personId="{EAAD4659-E668-4CAB-B375-40F3C0383B70}" id="{B5FA21CF-B3E9-41ED-A5CA-233D775533B0}">
    <text>http://www.eap.mcgill.ca/agrobio/ab360-02e.htm</text>
  </threadedComment>
  <threadedComment ref="N27" dT="2021-02-24T19:49:25.54" personId="{EAAD4659-E668-4CAB-B375-40F3C0383B70}" id="{75660F99-DF54-418F-A79E-A62EE6EA4CCD}">
    <text>Source: See Data Sources Tab</text>
  </threadedComment>
  <threadedComment ref="N28" dT="2021-02-24T19:49:32.51" personId="{EAAD4659-E668-4CAB-B375-40F3C0383B70}" id="{7290EC89-5A36-4FCF-8E34-97FCCE8D0392}">
    <text>Source: See Data Sources Tab</text>
  </threadedComment>
  <threadedComment ref="G29" dT="2021-03-11T12:16:17.90" personId="{EAAD4659-E668-4CAB-B375-40F3C0383B70}" id="{1629CC40-739B-43AB-9C49-0D2A56B64D31}">
    <text>http://projects.nri.org/nret/fruitnil.pdf (Page 7)</text>
  </threadedComment>
  <threadedComment ref="N29" dT="2021-02-24T19:49:38.63" personId="{EAAD4659-E668-4CAB-B375-40F3C0383B70}" id="{57490208-1E78-4FF4-B6C5-91ACD78E1EA1}">
    <text>Source: See Data Sources Tab</text>
  </threadedComment>
  <threadedComment ref="G30" dT="2021-02-18T15:30:49.38" personId="{EAAD4659-E668-4CAB-B375-40F3C0383B70}" id="{67A5833F-D5C2-464C-A58B-316DF7111E97}">
    <text>User Assumption</text>
  </threadedComment>
  <threadedComment ref="N31" dT="2021-02-24T19:49:48.73" personId="{EAAD4659-E668-4CAB-B375-40F3C0383B70}" id="{DC1FA9F1-0B44-4BF7-90D9-DF4264AF5D22}">
    <text>Source: See Data Sources Tab</text>
  </threadedComment>
  <threadedComment ref="C32" dT="2021-02-25T12:37:54.09" personId="{EAAD4659-E668-4CAB-B375-40F3C0383B70}" id="{FB274CF6-5945-44A3-B0F2-238537707EEE}">
    <text>https://www.diva-portal.org/smash/get/diva2:742038/FULLTEXT01.pdf (Page 35)</text>
  </threadedComment>
  <threadedComment ref="G32" dT="2021-03-10T19:53:19.75" personId="{EAAD4659-E668-4CAB-B375-40F3C0383B70}" id="{303640AD-68AB-4B14-9A2D-56AF8B2E1859}">
    <text>Source: https://www.sintef.no/globalassets/project/drymeat/presentation2_fermentedmeat_bantle_dryingeconomics.pdf (Page 42) (Assuming same parameter as fish drying)</text>
  </threadedComment>
  <threadedComment ref="N32" dT="2021-02-24T20:10:35.88" personId="{EAAD4659-E668-4CAB-B375-40F3C0383B70}" id="{185010A7-8D5D-419F-8CDB-C3E98F21E256}">
    <text>Assuming sales reps/distributors are not on the payroll but get remunerated by price mark-ups</text>
  </threadedComment>
  <threadedComment ref="C33" dT="2021-03-10T17:00:56.74" personId="{EAAD4659-E668-4CAB-B375-40F3C0383B70}" id="{F0D06A21-2F71-4656-9A51-4CEE92CD7071}">
    <text>https://www.diva-portal.org/smash/get/diva2:742038/FULLTEXT01.pdf (Page 35)</text>
  </threadedComment>
  <threadedComment ref="G33" dT="2021-02-25T12:47:13.01" personId="{EAAD4659-E668-4CAB-B375-40F3C0383B70}" id="{F0B41338-0C08-4854-AB51-C28EC83B516B}">
    <text>Source: http://www.fao.org/3/W6864E/w6864e0b.htm</text>
  </threadedComment>
  <threadedComment ref="C34" dT="2021-02-25T12:37:54.09" personId="{EAAD4659-E668-4CAB-B375-40F3C0383B70}" id="{8E4959CF-4B28-4782-9265-BF2396FB0BF6}">
    <text>https://www.diva-portal.org/smash/get/diva2:742038/FULLTEXT01.pdf (Page 35)</text>
  </threadedComment>
  <threadedComment ref="G34" dT="2021-02-18T14:48:23.45" personId="{EAAD4659-E668-4CAB-B375-40F3C0383B70}" id="{C558B2EA-7EF4-43B3-823A-AF10E36E01CC}">
    <text>https://www.researchgate.net/publication/341356146_Pyrethrum_Chrysanthemum_cinerariifolium_Flowers'_Drying_Conditions_for_Optimum_Extractable_Pyrethrins_Content#:~:text=The%20optimum%20temperature%20and%20time,50%20%C2%BAC%20for%2021%20hrs.&amp;text=C.The%20optimum-,temperature%20and%20time%20for%20drying%20pyrethrum%20flowers%20was%20found%20to,%C2%BAC%20for%2021%20hrs.</text>
  </threadedComment>
  <threadedComment ref="C35" dT="2021-03-10T17:01:41.98" personId="{EAAD4659-E668-4CAB-B375-40F3C0383B70}" id="{7D3134B3-F9A4-4B06-9FD2-A246F0DA39BE}">
    <text>https://www.diva-portal.org/smash/get/diva2:742038/FULLTEXT01.pdf (Page 38)</text>
  </threadedComment>
  <threadedComment ref="G35" dT="2021-02-25T12:37:54.09" personId="{EAAD4659-E668-4CAB-B375-40F3C0383B70}" id="{06A7A193-4981-4C4E-A013-D67C80E63634}">
    <text>User Assumption</text>
  </threadedComment>
  <threadedComment ref="C36" dT="2021-03-10T17:01:46.78" personId="{EAAD4659-E668-4CAB-B375-40F3C0383B70}" id="{1BD09030-6442-43F3-88CD-881ED9266F71}">
    <text>https://www.diva-portal.org/smash/get/diva2:742038/FULLTEXT01.pdf (Page 38)</text>
  </threadedComment>
  <threadedComment ref="C37" dT="2021-03-10T18:03:46.61" personId="{EAAD4659-E668-4CAB-B375-40F3C0383B70}" id="{88A543EE-47B4-4F92-8963-63C79FB7B69A}">
    <text>https://www.diva-portal.org/smash/get/diva2:742038/FULLTEXT01.pdf (Page 35)</text>
  </threadedComment>
  <threadedComment ref="G37" dT="2021-02-18T14:48:23.45" personId="{EAAD4659-E668-4CAB-B375-40F3C0383B70}" id="{07DD039B-5562-4932-996F-3E9B844006C5}">
    <text>Source: https://www.sciencedirect.com/science/article/pii/S0301479720306629 (The assumed dryer has a max 1-ton per batch capacity)</text>
  </threadedComment>
  <threadedComment ref="C38" dT="2021-03-10T17:01:34.08" personId="{EAAD4659-E668-4CAB-B375-40F3C0383B70}" id="{2B4CD178-D881-4A11-A5C8-C0F295E18848}">
    <text>https://www.diva-portal.org/smash/get/diva2:742038/FULLTEXT01.pdf (Page 35,38)</text>
  </threadedComment>
  <threadedComment ref="M38" dT="2021-02-25T15:14:48.30" personId="{EAAD4659-E668-4CAB-B375-40F3C0383B70}" id="{419A74AD-FD44-4581-8009-FA995E8893DB}">
    <text>User Assumption. Assumes 2 shifts per batch given the long drying time</text>
  </threadedComment>
  <threadedComment ref="G39" dT="2021-02-25T12:37:54.09" personId="{EAAD4659-E668-4CAB-B375-40F3C0383B70}" id="{C53BDD3D-84B2-483D-A2BE-F8609E386DA7}">
    <text>User Assumption</text>
  </threadedComment>
  <threadedComment ref="M39" dT="2021-03-11T17:23:37.68" personId="{EAAD4659-E668-4CAB-B375-40F3C0383B70}" id="{EC30C828-738C-4412-B6E6-9519F72E2C67}">
    <text>http://projects.nri.org/nret/fruitnil.pdf Fruit of the Nile also had only 5 FTEs at some point, although the firm only inspects, sorts, packs and exports.</text>
  </threadedComment>
  <threadedComment ref="M40" dT="2021-03-09T16:11:20.29" personId="{EAAD4659-E668-4CAB-B375-40F3C0383B70}" id="{44141E09-CF0A-4857-BDF1-BFBF42BC96C7}">
    <text>User Assumption</text>
  </threadedComment>
  <threadedComment ref="C42" dT="2021-03-10T17:00:34.77" personId="{EAAD4659-E668-4CAB-B375-40F3C0383B70}" id="{AE780AB8-40E6-4EC8-A224-9580C4D39121}">
    <text>https://cropnuts.com/wp-content/uploads/2020/03/Pyrethrum-flyer-min.pdf</text>
  </threadedComment>
  <threadedComment ref="M42" dT="2021-02-19T16:18:16.76" personId="{EAAD4659-E668-4CAB-B375-40F3C0383B70}" id="{C419FBDE-25A2-47D4-93DD-D21D079C8BC3}">
    <text>User Assumption</text>
  </threadedComment>
  <threadedComment ref="C43" dT="2021-03-10T17:00:41.23" personId="{EAAD4659-E668-4CAB-B375-40F3C0383B70}" id="{98BDEA92-FE1F-42D4-94A5-46AD506BD959}">
    <text>https://www.researchgate.net/publication/341356146_Pyrethrum_Chrysanthemum_cinerariifolium_Flowers'_Drying_Conditions_for_Optimum_Extractable_Pyrethrins_Content#:~:text=The%20optimum%20temperature%20and%20time,50%20%C2%BAC%20for%2021%20hrs.&amp;text=C.The%20optimum-,temperature%20and%20time%20for%20drying%20pyrethrum%20flowers%20was%20found%20to,%C2%BAC%20for%2021%20hrs.</text>
  </threadedComment>
  <threadedComment ref="G43" dT="2021-02-25T12:37:54.09" personId="{EAAD4659-E668-4CAB-B375-40F3C0383B70}" id="{B73829E2-58F8-42FF-A0E1-F581664DDB7E}">
    <text>Source: https://www.sciencedirect.com/science/article/pii/S0301479720306629</text>
  </threadedComment>
  <threadedComment ref="M43" dT="2021-02-19T16:19:53.93" personId="{EAAD4659-E668-4CAB-B375-40F3C0383B70}" id="{6574F3B9-0116-4DA7-B446-02BFDF559E8B}">
    <text>https://www.businessdailyafrica.com/bd/lifestyle/society/pyrethrum-s-rich-history-in-kenya-and-old-good-days-2266582 (Assuming the station will have supply for 10 out of 12 months annually)</text>
  </threadedComment>
  <threadedComment ref="G44" dT="2021-02-25T12:37:54.09" personId="{EAAD4659-E668-4CAB-B375-40F3C0383B70}" id="{CDDA934A-BEF7-42DE-AC42-66F4E660BD3A}">
    <text>User Assumption</text>
  </threadedComment>
  <threadedComment ref="C45" dT="2021-02-18T14:48:23.45" personId="{EAAD4659-E668-4CAB-B375-40F3C0383B70}" id="{8CF35E0C-11E2-4A10-A760-544F97F52CFB}">
    <text>Source: https://www.diva-portal.org/smash/get/diva2:742038/FULLTEXT01.pdf (Page 36)</text>
  </threadedComment>
  <threadedComment ref="G45" dT="2021-02-18T14:36:08.48" personId="{EAAD4659-E668-4CAB-B375-40F3C0383B70}" id="{385FD204-D1B2-491F-A742-734530322391}">
    <text>User Assumption</text>
  </threadedComment>
  <threadedComment ref="C46" dT="2021-03-10T17:00:12.26" personId="{EAAD4659-E668-4CAB-B375-40F3C0383B70}" id="{BA8DF2CD-43C3-4D87-9B59-50405A0AF175}">
    <text>https://www.diva-portal.org/smash/get/diva2:742038/FULLTEXT01.pdf (Page 37)</text>
  </threadedComment>
  <threadedComment ref="C47" dT="2021-03-10T18:08:19.95" personId="{EAAD4659-E668-4CAB-B375-40F3C0383B70}" id="{0F34F523-21F7-402D-BB73-A32C04A9DAF1}">
    <text>https://www.diva-portal.org/smash/get/diva2:742038/FULLTEXT01.pdf (Page 37) (Different from source doc because it is assumed that the station will not run for 24hrs per day, all year)</text>
  </threadedComment>
</ThreadedComments>
</file>

<file path=xl/threadedComments/threadedComment6.xml><?xml version="1.0" encoding="utf-8"?>
<ThreadedComments xmlns="http://schemas.microsoft.com/office/spreadsheetml/2018/threadedcomments" xmlns:x="http://schemas.openxmlformats.org/spreadsheetml/2006/main">
  <threadedComment ref="J6" dT="2021-02-16T10:56:11.81" personId="{EAAD4659-E668-4CAB-B375-40F3C0383B70}" id="{A0103FCA-03AB-4E09-B1EF-BB1805102C89}">
    <text>See Spa Prices Tab</text>
  </threadedComment>
  <threadedComment ref="J7" dT="2021-03-08T19:50:53.99" personId="{EAAD4659-E668-4CAB-B375-40F3C0383B70}" id="{044B6D64-DC1F-4DAB-80B4-A57D8FDF206E}">
    <text>See Spa Prices Tab</text>
  </threadedComment>
  <threadedComment ref="N7" dT="2021-02-16T10:52:59.22" personId="{EAAD4659-E668-4CAB-B375-40F3C0383B70}" id="{1B0D8CAC-1354-4A14-9EF1-8F7295595CFE}">
    <text>Source: https://dir.indiamart.com/impcat/hotel-towel.html</text>
  </threadedComment>
  <threadedComment ref="J8" dT="2021-03-08T19:50:59.22" personId="{EAAD4659-E668-4CAB-B375-40F3C0383B70}" id="{1670E60B-DBA9-482E-9D3D-A8A6BE39C9BE}">
    <text>See Spa Prices Tab</text>
  </threadedComment>
  <threadedComment ref="N8" dT="2021-02-18T15:53:34.21" personId="{EAAD4659-E668-4CAB-B375-40F3C0383B70}" id="{8DD4C515-DB00-425B-A427-5F0711F28AD8}">
    <text>Source: See Data Sources Tab</text>
  </threadedComment>
  <threadedComment ref="J9" dT="2021-03-08T19:51:04.31" personId="{EAAD4659-E668-4CAB-B375-40F3C0383B70}" id="{A573C1F9-DDA7-4A7F-A61E-7F9C04A1CB07}">
    <text>See Spa Prices Tab</text>
  </threadedComment>
  <threadedComment ref="N9" dT="2021-03-08T13:03:09.54" personId="{EAAD4659-E668-4CAB-B375-40F3C0383B70}" id="{4614D11D-606E-4EA2-8F38-EA6E7E54952F}">
    <text>Source: https://www.wbdg.org/resources/geothermal-energy-direct-use</text>
  </threadedComment>
  <threadedComment ref="J10" dT="2021-03-08T19:51:10.03" personId="{EAAD4659-E668-4CAB-B375-40F3C0383B70}" id="{5CF104C3-6A1F-404F-B867-B36AB811E5CF}">
    <text>See Spa Prices Tab</text>
  </threadedComment>
  <threadedComment ref="N10" dT="2021-02-19T11:29:34.08" personId="{EAAD4659-E668-4CAB-B375-40F3C0383B70}" id="{440A9EA8-5D50-4F13-9CCA-CD3DB72C9D06}">
    <text>Source: See Data Sources Tab</text>
  </threadedComment>
  <threadedComment ref="J11" dT="2021-03-08T19:51:15.66" personId="{EAAD4659-E668-4CAB-B375-40F3C0383B70}" id="{2C0D4A58-6670-46AF-8179-2EDB1BFD652A}">
    <text>See Spa Prices Tab</text>
  </threadedComment>
  <threadedComment ref="J12" dT="2021-02-16T11:25:41.26" personId="{EAAD4659-E668-4CAB-B375-40F3C0383B70}" id="{3D7BC2BF-6DB4-4BB4-B325-A3901B417894}">
    <text>User Assumption</text>
  </threadedComment>
  <threadedComment ref="N12" dT="2021-02-24T13:14:57.12" personId="{EAAD4659-E668-4CAB-B375-40F3C0383B70}" id="{8103633C-7B87-4B92-91A3-10ED9C3AC080}">
    <text>Source: See Data Sources Tab</text>
  </threadedComment>
  <threadedComment ref="C13" dT="2021-02-24T16:20:49.40" personId="{EAAD4659-E668-4CAB-B375-40F3C0383B70}" id="{4CB0C77D-FFB4-425A-8D8F-DFD4FD26D6EE}">
    <text>Source: https://www.diva-portal.org/smash/get/diva2:742038/FULLTEXT01.pdf (Page 42) According to https://orkustofnun.is/gogn/unu-gtp-report/UNU-GTP-2013-09.pdf "A stainless
steel heat exchanger coil is
installed in the cooling pond."</text>
  </threadedComment>
  <threadedComment ref="J13" dT="2021-02-16T11:25:51.07" personId="{EAAD4659-E668-4CAB-B375-40F3C0383B70}" id="{8BDCB134-FDD0-40D8-88B5-BAA35D2E8D55}">
    <text>User Assumption</text>
  </threadedComment>
  <threadedComment ref="N13" dT="2021-02-19T12:46:51.83" personId="{EAAD4659-E668-4CAB-B375-40F3C0383B70}" id="{A7F93BA4-24BB-4EAE-8B76-ECBFEFADA459}">
    <text>Assumes that equipment will be purchased and not leased</text>
  </threadedComment>
  <threadedComment ref="C14" dT="2021-02-24T16:26:16.55" personId="{EAAD4659-E668-4CAB-B375-40F3C0383B70}" id="{2A1D0D43-2515-4E6D-99FB-7BC181852C18}">
    <text>Source: https://www.diva-portal.org/smash/get/diva2:742038/FULLTEXT01.pdf (Page 42)
According to https://orkustofnun.is/gogn/unu-gtp-report/UNU-GTP-2013-09.pdf pg 11 "Three submersible
drainage pumps (Figure 10) are
installed in the bathing pond to recirculate and mix the water"</text>
  </threadedComment>
  <threadedComment ref="F14" dT="2021-02-16T12:54:24.21" personId="{EAAD4659-E668-4CAB-B375-40F3C0383B70}" id="{C0C3C1F3-6EE9-4C36-BC57-5A19FD949320}">
    <text>User Assumption</text>
  </threadedComment>
  <threadedComment ref="J14" dT="2021-02-16T11:25:41.26" personId="{EAAD4659-E668-4CAB-B375-40F3C0383B70}" id="{934C14CD-2748-4AD4-8C86-9CE9FB16C466}">
    <text>User Assumption</text>
  </threadedComment>
  <threadedComment ref="N14" dT="2021-03-08T16:05:53.35" personId="{EAAD4659-E668-4CAB-B375-40F3C0383B70}" id="{85C67EA2-6B03-4386-848C-BB22CD62DFD9}">
    <text>User Assumption. Assuming same cost as Marketing</text>
  </threadedComment>
  <threadedComment ref="C15" dT="2021-03-10T19:53:19.75" personId="{EAAD4659-E668-4CAB-B375-40F3C0383B70}" id="{81620112-0AD2-4B33-9436-68DB0C796A02}">
    <text>Source: https://orkustofnun.is/gogn/unu-gtp-report/UNU-GTP-2013-09.pdf (Page 10)</text>
  </threadedComment>
  <threadedComment ref="F15" dT="2021-02-16T12:54:30.98" personId="{EAAD4659-E668-4CAB-B375-40F3C0383B70}" id="{B007375F-2679-4E8D-BD45-466F6A7BB9D0}">
    <text>User Assumption</text>
  </threadedComment>
  <threadedComment ref="J15" dT="2021-02-16T11:25:51.07" personId="{EAAD4659-E668-4CAB-B375-40F3C0383B70}" id="{51D4D479-9E5C-44BC-90EE-327103238BE1}">
    <text>User Assumption</text>
  </threadedComment>
  <threadedComment ref="N15" dT="2021-03-08T14:00:53.40" personId="{EAAD4659-E668-4CAB-B375-40F3C0383B70}" id="{EA7FA746-9427-4F52-9D7F-DC8D87C46DC0}">
    <text>Source: https://www.business2community.com/marketing/how-much-should-you-spend-on-marketing-your-small-business-02316226 (Assuming Walmart figure)</text>
  </threadedComment>
  <threadedComment ref="C16" dT="2021-03-18T19:08:44.25" personId="{EAAD4659-E668-4CAB-B375-40F3C0383B70}" id="{4EC41BD5-B777-497D-903E-D5BF8E0A0A2E}">
    <text>Source: https://www.theeastafrican.co.ke/tea/magazine/kenya-s-286-200-natural-spa--1319036</text>
  </threadedComment>
  <threadedComment ref="F16" dT="2021-02-16T12:54:38.29" personId="{EAAD4659-E668-4CAB-B375-40F3C0383B70}" id="{ACF0324D-1913-4E02-92A9-FC94282485A6}">
    <text>User Assumption</text>
  </threadedComment>
  <threadedComment ref="J16" dT="2021-02-16T11:25:41.26" personId="{EAAD4659-E668-4CAB-B375-40F3C0383B70}" id="{941B128D-5F90-44EB-B0B8-2969C6C3005D}">
    <text>User Assumption</text>
  </threadedComment>
  <threadedComment ref="N16" dT="2021-03-08T14:33:29.39" personId="{EAAD4659-E668-4CAB-B375-40F3C0383B70}" id="{921E0BA6-A295-46CE-A301-2C37372A6263}">
    <text>Source: https://www.justbusiness.com/starting-a-small-business/business-startup-costs</text>
  </threadedComment>
  <threadedComment ref="O16" dT="2021-03-19T12:17:09.69" personId="{EAAD4659-E668-4CAB-B375-40F3C0383B70}" id="{D9AFCDE7-7DBE-4826-A7FF-9DE832350F4B}">
    <text>Assuming the building covers 5% of total land area</text>
  </threadedComment>
  <threadedComment ref="J17" dT="2021-02-16T11:25:51.07" personId="{EAAD4659-E668-4CAB-B375-40F3C0383B70}" id="{9583DE63-4347-4742-8C14-2679AB5695DE}">
    <text>User Assumption</text>
  </threadedComment>
  <threadedComment ref="J18" dT="2021-02-16T10:57:07.41" personId="{EAAD4659-E668-4CAB-B375-40F3C0383B70}" id="{61F31388-E296-45F3-9A49-20301CA70540}">
    <text>User Assumption</text>
  </threadedComment>
  <threadedComment ref="G20" dT="2021-02-16T17:05:40.00" personId="{EAAD4659-E668-4CAB-B375-40F3C0383B70}" id="{7F6E3221-60EC-42CA-8A88-B69A62B7C147}">
    <text>User Assumption</text>
  </threadedComment>
  <threadedComment ref="G21" dT="2021-02-16T17:06:04.27" personId="{EAAD4659-E668-4CAB-B375-40F3C0383B70}" id="{1C66C5D5-5CB5-42A8-97D4-6DCDDE1344CE}">
    <text>User Assumption</text>
  </threadedComment>
  <threadedComment ref="J21" dT="2021-02-16T11:05:49.49" personId="{EAAD4659-E668-4CAB-B375-40F3C0383B70}" id="{16557C7D-9A53-467F-8D66-FE7484725705}">
    <text>Source: See Data Sources Tab</text>
  </threadedComment>
  <threadedComment ref="N23" dT="2021-02-18T15:30:49.38" personId="{EAAD4659-E668-4CAB-B375-40F3C0383B70}" id="{0004FB1F-4C8E-44B8-BA9A-4EBC76A8C47E}">
    <text>User Assumption</text>
  </threadedComment>
  <threadedComment ref="F24" dT="2021-02-18T14:32:02.79" personId="{EAAD4659-E668-4CAB-B375-40F3C0383B70}" id="{548C81C7-7049-43A4-85FC-7CE60767558F}">
    <text>Source: https://orkustofnun.is/gogn/unu-gtp-report/UNU-GTP-2015-21.pdf (Page 1). Entry must not exceed maximum annual capacity</text>
  </threadedComment>
  <threadedComment ref="J24" dT="2021-03-08T12:10:11.37" personId="{EAAD4659-E668-4CAB-B375-40F3C0383B70}" id="{AD7FE4B0-A4E8-4772-ADC5-DFCCE0D7A16E}">
    <text>Source: "A Guide for the Development of Geothermal Direct – Use Projects in Tanzania" Pg 13</text>
  </threadedComment>
  <threadedComment ref="F25" dT="2021-02-25T12:47:13.01" personId="{EAAD4659-E668-4CAB-B375-40F3C0383B70}" id="{179B26BB-B1BA-4973-A1D1-FB3171135BF4}">
    <text>Source: https://orkustofnun.is/gogn/unu-gtp-report/UNU-GTP-2013-09.pdf</text>
  </threadedComment>
  <threadedComment ref="F26" dT="2021-02-25T12:47:13.01" personId="{EAAD4659-E668-4CAB-B375-40F3C0383B70}" id="{0F68D2E7-86AE-417A-AD56-8D21CC4D1F22}">
    <text>Source: https://orkustofnun.is/gogn/unu-gtp-report/UNU-GTP-2013-09.pdf</text>
  </threadedComment>
  <threadedComment ref="J26" dT="2021-02-18T19:12:59.26" personId="{EAAD4659-E668-4CAB-B375-40F3C0383B70}" id="{E5749151-1E18-4950-9095-8BE1E3E69C56}">
    <text>User Assumption</text>
  </threadedComment>
  <threadedComment ref="N27" dT="2021-02-24T19:49:25.54" personId="{EAAD4659-E668-4CAB-B375-40F3C0383B70}" id="{D5FFD182-96B5-4677-80A2-A97AC4E139E4}">
    <text>Source: See Data Sources Tab</text>
  </threadedComment>
  <threadedComment ref="F28" dT="2021-03-10T19:53:19.75" personId="{EAAD4659-E668-4CAB-B375-40F3C0383B70}" id="{BCE54E1C-1071-4EFD-89AD-EEE7ECE601CE}">
    <text>Source: https://orkustofnun.is/gogn/unu-gtp-report/UNU-GTP-2013-09.pdf (Page 12)</text>
  </threadedComment>
  <threadedComment ref="N28" dT="2021-02-24T19:49:32.51" personId="{EAAD4659-E668-4CAB-B375-40F3C0383B70}" id="{71D44DE3-24AB-4BE6-98C0-1B35427AB2B9}">
    <text>Source: See Data Sources Tab</text>
  </threadedComment>
  <threadedComment ref="F29" dT="2021-02-18T14:48:23.45" personId="{EAAD4659-E668-4CAB-B375-40F3C0383B70}" id="{05F2E0A3-7F15-4604-907B-73DC0C798EFC}">
    <text>Source: https://www.energy.gov/sites/prod/files/2016/02/f29/jemezpueblo05final.pdf (Page 37)</text>
  </threadedComment>
  <threadedComment ref="N29" dT="2021-02-24T19:49:38.63" personId="{EAAD4659-E668-4CAB-B375-40F3C0383B70}" id="{80C1DCF5-71D1-48C6-AEBF-9F61F03A1361}">
    <text>Source: See Data Sources Tab</text>
  </threadedComment>
  <threadedComment ref="F31" dT="2021-02-25T12:47:13.01" personId="{EAAD4659-E668-4CAB-B375-40F3C0383B70}" id="{1CDE633E-5E86-44B6-987A-ACA5F1F3A560}">
    <text>Source: https://orkustofnun.is/gogn/unu-gtp-report/UNU-GTP-2013-09.pdf</text>
  </threadedComment>
  <threadedComment ref="N31" dT="2021-02-24T19:49:48.73" personId="{EAAD4659-E668-4CAB-B375-40F3C0383B70}" id="{5E1142AE-3185-496C-A4A1-F22DB14B1CB5}">
    <text>Source: See Data Sources Tab</text>
  </threadedComment>
  <threadedComment ref="N32" dT="2021-02-24T20:10:35.88" personId="{EAAD4659-E668-4CAB-B375-40F3C0383B70}" id="{9CED971F-3561-4DAA-8675-1185A145C51F}">
    <text>Assuming sales reps/distributors are not on the payroll but get remunerated by price mark-ups</text>
  </threadedComment>
  <threadedComment ref="F33" dT="2021-02-18T14:48:23.45" personId="{EAAD4659-E668-4CAB-B375-40F3C0383B70}" id="{C62B1338-3A21-4871-B209-832617B20FB7}">
    <text>Source: https://www.energy.gov/sites/prod/files/2016/02/f29/jemezpueblo05final.pdf (Page 37)</text>
  </threadedComment>
  <threadedComment ref="F35" dT="2021-02-25T12:37:54.09" personId="{EAAD4659-E668-4CAB-B375-40F3C0383B70}" id="{2E00E69E-EE9C-469E-9CFE-DC88992323F6}">
    <text>User Assumption
See https://orkustofnun.is/gogn/unu-gtp-report/UNU-GTP-2013-09.pdf (Page 3)</text>
  </threadedComment>
  <threadedComment ref="M38" dT="2021-02-25T15:14:48.30" personId="{EAAD4659-E668-4CAB-B375-40F3C0383B70}" id="{60CBDECA-8762-4A16-9D0B-E27F021BC763}">
    <text>Source: https://arsskyrsla2019.bluelagoon.is/badstadir/; https://arsskyrsla2019.bluelagoon.is/mannaudur/. Blue Lagoon in Iceland had 809 staffs to 968k visitors in 2019. This is cut in half to exlude the hotel, catering, shops staffs</text>
  </threadedComment>
  <threadedComment ref="M40" dT="2021-02-25T15:21:37.52" personId="{EAAD4659-E668-4CAB-B375-40F3C0383B70}" id="{C8F797F8-DC29-48BB-B762-34BCA3659445}">
    <text>User Assumption</text>
  </threadedComment>
  <threadedComment ref="M41" dT="2021-02-19T16:17:55.21" personId="{EAAD4659-E668-4CAB-B375-40F3C0383B70}" id="{D7A79D0B-102C-43D1-A945-2B6FFBBFCA66}">
    <text>User Assumption</text>
  </threadedComment>
  <threadedComment ref="M42" dT="2021-02-19T16:18:16.76" personId="{EAAD4659-E668-4CAB-B375-40F3C0383B70}" id="{F0C33C69-F4E1-47B0-AAB5-5BB284FA6C66}">
    <text>Source: https://orkustofnun.is/gogn/unu-gtp-report/UNU-GTP-2013-09.pdf Pg 17 (330 days/yr)</text>
  </threadedComment>
  <threadedComment ref="M43" dT="2021-02-19T16:19:53.93" personId="{EAAD4659-E668-4CAB-B375-40F3C0383B70}" id="{EA8CD552-A0A2-45B8-B17E-1C5B28B2BE35}">
    <text>Source: https://orkustofnun.is/gogn/unu-gtp-report/UNU-GTP-2013-09.pdf Pg 17 (330 days/yr)</text>
  </threadedComment>
</ThreadedComments>
</file>

<file path=xl/threadedComments/threadedComment7.xml><?xml version="1.0" encoding="utf-8"?>
<ThreadedComments xmlns="http://schemas.microsoft.com/office/spreadsheetml/2018/threadedcomments" xmlns:x="http://schemas.openxmlformats.org/spreadsheetml/2006/main">
  <threadedComment ref="M4" dT="2021-04-12T17:08:43.49" personId="{EAAD4659-E668-4CAB-B375-40F3C0383B70}" id="{629BF0FE-3C95-492D-9201-933FC87AF592}">
    <text>Based on model assumption</text>
  </threadedComment>
  <threadedComment ref="N4" dT="2021-04-12T17:08:43.49" personId="{EAAD4659-E668-4CAB-B375-40F3C0383B70}" id="{7F552056-77FB-4B05-930E-5F89171AC3D1}">
    <text>Based on model assumption</text>
  </threadedComment>
  <threadedComment ref="O4" dT="2021-04-12T17:08:43.49" personId="{EAAD4659-E668-4CAB-B375-40F3C0383B70}" id="{1AE641DC-AE22-4663-97FE-BD7334B468E5}">
    <text>Based on model assumption</text>
  </threadedComment>
  <threadedComment ref="M5" dT="2021-04-12T17:05:56.29" personId="{EAAD4659-E668-4CAB-B375-40F3C0383B70}" id="{6BE7C38C-9ABF-46D5-9F21-38C1E899C838}">
    <text>Based on model assumption</text>
  </threadedComment>
  <threadedComment ref="N5" dT="2021-04-12T17:05:56.29" personId="{EAAD4659-E668-4CAB-B375-40F3C0383B70}" id="{4B35FF49-C344-4EBB-9791-1D6E08D68798}">
    <text>Based on model assumption</text>
  </threadedComment>
  <threadedComment ref="O5" dT="2021-04-12T17:05:56.29" personId="{EAAD4659-E668-4CAB-B375-40F3C0383B70}" id="{B2CEDA60-1D00-4F91-9844-ACEC6B52F719}">
    <text>Based on model assumption</text>
  </threadedComment>
  <threadedComment ref="J7" dT="2021-02-16T11:05:49.49" personId="{EAAD4659-E668-4CAB-B375-40F3C0383B70}" id="{DF5FB97C-62CC-4C4A-842A-6EFCC4C8E74B}">
    <text>Source: See Data Sources Tab</text>
  </threadedComment>
  <threadedComment ref="M7" dT="2021-04-12T17:05:08.61" personId="{EAAD4659-E668-4CAB-B375-40F3C0383B70}" id="{F30F10C2-E55B-4F31-B9EB-424AD28B5F1F}">
    <text>Based on model assumption</text>
  </threadedComment>
  <threadedComment ref="N7" dT="2021-04-12T17:05:08.61" personId="{EAAD4659-E668-4CAB-B375-40F3C0383B70}" id="{CB3DB8FF-7DC2-4156-96CF-2678B82A3442}">
    <text>Based on model assumption</text>
  </threadedComment>
  <threadedComment ref="O7" dT="2021-04-12T17:05:08.61" personId="{EAAD4659-E668-4CAB-B375-40F3C0383B70}" id="{F3C22549-9B2F-4A1D-BDC3-809388D3493F}">
    <text>Based on model assumption</text>
  </threadedComment>
  <threadedComment ref="M9" dT="2021-04-12T16:47:31.86" personId="{EAAD4659-E668-4CAB-B375-40F3C0383B70}" id="{3239C7D4-0CC7-4CE2-A585-284037109EA4}">
    <text>Source: https://www.alibaba.com/showroom/industrial-boiler-price.html</text>
  </threadedComment>
  <threadedComment ref="N9" dT="2021-04-12T16:47:31.86" personId="{EAAD4659-E668-4CAB-B375-40F3C0383B70}" id="{2074D23D-903F-44A1-B728-B63A076B28CC}">
    <text>Source: https://www.alibaba.com/showroom/firewood-steam-boiler.html</text>
  </threadedComment>
  <threadedComment ref="O9" dT="2021-04-12T17:33:32.84" personId="{EAAD4659-E668-4CAB-B375-40F3C0383B70}" id="{D67917C3-7B22-4071-82A5-E129C9C2DEA1}">
    <text>Based on model assumption</text>
  </threadedComment>
  <threadedComment ref="J10" dT="2021-03-08T12:10:11.37" personId="{EAAD4659-E668-4CAB-B375-40F3C0383B70}" id="{D91BE274-9358-467A-A35E-83711435A853}">
    <text>Source: "A Guide for the Development of Geothermal Direct – Use Projects in Tanzania" Pg 13</text>
  </threadedComment>
  <threadedComment ref="M10" dT="2021-04-12T17:03:14.65" personId="{EAAD4659-E668-4CAB-B375-40F3C0383B70}" id="{2F297847-7224-4E4F-9F93-7F3BDBDD0CEA}">
    <text>Source: https://nttinc.com/blog/how-long-do-boilers-last/</text>
  </threadedComment>
  <threadedComment ref="N10" dT="2021-04-12T17:03:14.65" personId="{EAAD4659-E668-4CAB-B375-40F3C0383B70}" id="{30D506B7-B5B4-4F46-AF4B-403BC21A19A7}">
    <text>Source: https://nttinc.com/blog/how-long-do-boilers-last/</text>
  </threadedComment>
  <threadedComment ref="O10" dT="2021-04-12T17:11:10.18" personId="{EAAD4659-E668-4CAB-B375-40F3C0383B70}" id="{C38F2301-B3F8-49D7-802D-B13DA25BC885}">
    <text>Based on model assumption</text>
  </threadedComment>
  <threadedComment ref="J12" dT="2021-02-18T19:12:59.26" personId="{EAAD4659-E668-4CAB-B375-40F3C0383B70}" id="{7FD5EE80-B506-470F-B169-0B9B7641AE99}">
    <text>User Assumption</text>
  </threadedComment>
  <threadedComment ref="M12" dT="2021-04-12T17:01:52.11" personId="{EAAD4659-E668-4CAB-B375-40F3C0383B70}" id="{654ED7D0-44E5-4393-952B-8AD1C4904337}">
    <text>Source: Local Expert</text>
  </threadedComment>
  <threadedComment ref="N12" dT="2021-04-12T17:01:58.23" personId="{EAAD4659-E668-4CAB-B375-40F3C0383B70}" id="{A773FF2E-C51B-4728-BA72-7A8F8099BDDE}">
    <text>Source: Local Expert</text>
  </threadedComment>
  <threadedComment ref="C13" dT="2021-02-24T16:20:49.40" personId="{EAAD4659-E668-4CAB-B375-40F3C0383B70}" id="{3F2BC146-C429-411E-BC02-CB432260A995}">
    <text>Source: https://www.diva-portal.org/smash/get/diva2:742038/FULLTEXT01.pdf (Page 42) (Assuming one unit is needed per dryer)</text>
  </threadedComment>
  <threadedComment ref="M13" dT="2021-04-12T17:02:33.37" personId="{EAAD4659-E668-4CAB-B375-40F3C0383B70}" id="{FD3142F9-6984-4800-B1E8-E53290A0DC92}">
    <text>Source: Local Expert</text>
  </threadedComment>
  <threadedComment ref="N13" dT="2021-04-12T17:02:38.97" personId="{EAAD4659-E668-4CAB-B375-40F3C0383B70}" id="{1EEFB0AD-FAF1-4ED7-9B9D-25DF7FF85A88}">
    <text>Source: Local Expert</text>
  </threadedComment>
  <threadedComment ref="C14" dT="2021-02-24T16:26:16.55" personId="{EAAD4659-E668-4CAB-B375-40F3C0383B70}" id="{958ABFAE-3784-44AA-9DF6-D3FBB5E9562E}">
    <text>Source: https://www.diva-portal.org/smash/get/diva2:742038/FULLTEXT01.pdf (Page 42)</text>
  </threadedComment>
  <threadedComment ref="F14" dT="2021-02-16T12:54:24.21" personId="{EAAD4659-E668-4CAB-B375-40F3C0383B70}" id="{5C938CF7-AE1C-410F-9CEA-3EE8E8EFAEDC}">
    <text>User Assumption</text>
  </threadedComment>
  <threadedComment ref="C15" dT="2021-02-24T16:26:24.28" personId="{EAAD4659-E668-4CAB-B375-40F3C0383B70}" id="{07B4C6A5-90C3-4B94-B25B-145CA072A5DC}">
    <text>Source: https://www.diva-portal.org/smash/get/diva2:742038/FULLTEXT01.pdf (Page 42)</text>
  </threadedComment>
  <threadedComment ref="F15" dT="2021-02-16T12:54:30.98" personId="{EAAD4659-E668-4CAB-B375-40F3C0383B70}" id="{B4A74468-F637-4967-8723-D050DC923F90}">
    <text>User Assumption</text>
  </threadedComment>
  <threadedComment ref="M15" dT="2021-04-12T16:58:27.42" personId="{EAAD4659-E668-4CAB-B375-40F3C0383B70}" id="{36790BA8-7CC7-40A1-A952-82390D6FA318}">
    <text>Source: Local Expert</text>
  </threadedComment>
  <threadedComment ref="N15" dT="2021-04-12T16:58:34.35" personId="{EAAD4659-E668-4CAB-B375-40F3C0383B70}" id="{FCA15F5D-0168-41DC-AEC8-5A57D3E78639}">
    <text>Source: Local Expert</text>
  </threadedComment>
  <threadedComment ref="O15" dT="2021-04-12T16:58:40.36" personId="{EAAD4659-E668-4CAB-B375-40F3C0383B70}" id="{28DF02BD-816E-42FC-A711-43A472E7FFBA}">
    <text>Source: Local Expert</text>
  </threadedComment>
  <threadedComment ref="C16" dT="2021-02-24T16:26:36.71" personId="{EAAD4659-E668-4CAB-B375-40F3C0383B70}" id="{E633D2C9-40D1-4D38-A5F4-CB790DFAEDB9}">
    <text>Source: https://www.diva-portal.org/smash/get/diva2:742038/FULLTEXT01.pdf (Page 42)</text>
  </threadedComment>
  <threadedComment ref="F16" dT="2021-02-16T12:54:38.29" personId="{EAAD4659-E668-4CAB-B375-40F3C0383B70}" id="{6B9DF018-ABDA-435C-B139-C5D014635D6E}">
    <text>User Assumption</text>
  </threadedComment>
  <threadedComment ref="M16" dT="2021-04-12T16:55:39.21" personId="{EAAD4659-E668-4CAB-B375-40F3C0383B70}" id="{E741FDDF-E596-4826-BAEA-EB0D65C93EE6}">
    <text>Source: Local Expert</text>
  </threadedComment>
  <threadedComment ref="N16" dT="2021-04-12T16:55:39.21" personId="{EAAD4659-E668-4CAB-B375-40F3C0383B70}" id="{3AB9A9F9-5062-438C-83C1-15D42479D47C}">
    <text>Source: Local Expert</text>
  </threadedComment>
  <threadedComment ref="O16" dT="2021-04-12T16:55:39.21" personId="{EAAD4659-E668-4CAB-B375-40F3C0383B70}" id="{22871E56-C27E-41D9-ADD9-F71EC342882C}">
    <text>Source: Local Expert</text>
  </threadedComment>
  <threadedComment ref="M18" dT="2021-04-12T16:56:46.41" personId="{EAAD4659-E668-4CAB-B375-40F3C0383B70}" id="{70166652-FA73-4A64-B26D-67E8ADB0039F}">
    <text>Assuming non-firewood fuels require 25% less labor</text>
  </threadedComment>
  <threadedComment ref="N18" dT="2021-04-12T16:57:12.46" personId="{EAAD4659-E668-4CAB-B375-40F3C0383B70}" id="{502672D9-541F-4807-A101-10B5F4250B0A}">
    <text>Source: Local Expert</text>
  </threadedComment>
  <threadedComment ref="O18" dT="2021-04-12T16:57:23.55" personId="{EAAD4659-E668-4CAB-B375-40F3C0383B70}" id="{B6B132D0-A226-4585-A8FE-7DE7207F59E2}">
    <text>Assuming non-firewood fuels require 25% less labor</text>
  </threadedComment>
  <threadedComment ref="G20" dT="2021-02-16T17:05:40.00" personId="{EAAD4659-E668-4CAB-B375-40F3C0383B70}" id="{2B2A474E-DB1D-4B55-9A05-8C9ACAD6E56D}">
    <text>User Assumption</text>
  </threadedComment>
  <threadedComment ref="M20" dT="2021-04-12T16:54:09.26" personId="{EAAD4659-E668-4CAB-B375-40F3C0383B70}" id="{96D2F985-12D4-4246-8124-A8D850E267EC}">
    <text>Source: See Model Data Sources Tab.</text>
  </threadedComment>
  <threadedComment ref="N20" dT="2021-04-12T16:54:09.26" personId="{EAAD4659-E668-4CAB-B375-40F3C0383B70}" id="{9C9DB301-6BCD-4ABD-BA85-CFF2C6F77DBE}">
    <text>Source: See Model Data Sources Tab.</text>
  </threadedComment>
  <threadedComment ref="O20" dT="2021-04-12T16:54:09.26" personId="{EAAD4659-E668-4CAB-B375-40F3C0383B70}" id="{C1D9107C-73FE-4907-B209-04B8A428CBDB}">
    <text>Source: See Model Data Sources Tab.</text>
  </threadedComment>
  <threadedComment ref="G21" dT="2021-02-16T17:06:04.27" personId="{EAAD4659-E668-4CAB-B375-40F3C0383B70}" id="{9D1BF96D-F211-4ACD-901B-B66D8DCBB1AC}">
    <text>User Assumption</text>
  </threadedComment>
  <threadedComment ref="M21" dT="2021-04-12T16:50:43.74" personId="{EAAD4659-E668-4CAB-B375-40F3C0383B70}" id="{51849367-C2D0-49F5-9BA6-164F6C72011B}">
    <text>Based on model assumption</text>
  </threadedComment>
  <threadedComment ref="N21" dT="2021-04-12T16:50:43.74" personId="{EAAD4659-E668-4CAB-B375-40F3C0383B70}" id="{023E48C9-DF9D-44E5-9C21-6C1B46B15F88}">
    <text>Based on model assumption</text>
  </threadedComment>
  <threadedComment ref="O21" dT="2021-04-12T16:50:43.74" personId="{EAAD4659-E668-4CAB-B375-40F3C0383B70}" id="{FCD96986-1782-458B-A5FE-5A269FCBA022}">
    <text>Based on model assumption</text>
  </threadedComment>
  <threadedComment ref="M23" dT="2021-04-12T16:50:13.88" personId="{EAAD4659-E668-4CAB-B375-40F3C0383B70}" id="{3C4B1C34-A79F-4CD8-A7FD-8F8ACF611C78}">
    <text>Based on model assumption</text>
  </threadedComment>
  <threadedComment ref="N23" dT="2021-04-12T16:50:13.88" personId="{EAAD4659-E668-4CAB-B375-40F3C0383B70}" id="{D088CCE4-4E47-4AFE-88BC-6595A717C849}">
    <text>Based on model assumption</text>
  </threadedComment>
  <threadedComment ref="O23" dT="2021-04-12T16:50:13.88" personId="{EAAD4659-E668-4CAB-B375-40F3C0383B70}" id="{A8837375-1D92-4DC9-88EF-19CA0FABB066}">
    <text>Based on model assumption</text>
  </threadedComment>
  <threadedComment ref="G25" dT="2021-02-18T14:32:02.79" personId="{EAAD4659-E668-4CAB-B375-40F3C0383B70}" id="{71080FE3-9F72-461F-A358-3F214A97069C}">
    <text>Source: See Data Sources Tab</text>
  </threadedComment>
  <threadedComment ref="L25" dT="2021-03-24T17:58:14.32" personId="{EAAD4659-E668-4CAB-B375-40F3C0383B70}" id="{2534DC75-79D4-4836-8F9F-41AF971E81FE}">
    <text>Pricing in the implicit cost of lost revenue due to inability to charge premium price due to poor taste, quality etc.</text>
  </threadedComment>
  <threadedComment ref="G26" dT="2021-02-16T11:13:14.17" personId="{EAAD4659-E668-4CAB-B375-40F3C0383B70}" id="{24600FFB-A1EB-4CAB-9693-181B54616963}">
    <text>Source: https://edepot.wur.nl/197258 (Page 20) This refers to moisture content pre-withering, while post-withering is 71% (page 25)
Also, page 5 of https://core.ac.uk/download/pdf/188220067.pdf</text>
  </threadedComment>
  <threadedComment ref="G27" dT="2021-02-16T11:13:26.27" personId="{EAAD4659-E668-4CAB-B375-40F3C0383B70}" id="{62D30132-369B-47CA-AC0E-403BA26E6797}">
    <text>Source: https://core.ac.uk/download/pdf/188220067.pdf (Page 7); https://www.geothermal-energy.org/pdf/IGAstandard/WGC/2010/2841.pdf (Page 2)</text>
  </threadedComment>
  <threadedComment ref="G29" dT="2021-03-11T12:16:17.90" personId="{EAAD4659-E668-4CAB-B375-40F3C0383B70}" id="{AFED6D73-CC27-4BFA-81D6-F10895CAD3AA}">
    <text>http://projects.nri.org/nret/fruitnil.pdf (Page 7)</text>
  </threadedComment>
  <threadedComment ref="G30" dT="2021-02-18T15:30:49.38" personId="{EAAD4659-E668-4CAB-B375-40F3C0383B70}" id="{E6DD734A-7D3F-47AD-812C-272E67450BEC}">
    <text>https://core.ac.uk/download/pdf/188220067.pdf (Pg 15)</text>
  </threadedComment>
  <threadedComment ref="C32" dT="2021-02-25T12:37:54.09" personId="{EAAD4659-E668-4CAB-B375-40F3C0383B70}" id="{7E2C254B-593D-47A7-AD39-22EC47E66DC9}">
    <text>https://www.diva-portal.org/smash/get/diva2:742038/FULLTEXT01.pdf (Page 35)</text>
  </threadedComment>
  <threadedComment ref="G32" dT="2021-02-19T16:18:16.76" personId="{EAAD4659-E668-4CAB-B375-40F3C0383B70}" id="{DBD7D55A-7492-4772-A3E9-872C92C27010}">
    <text>Based on Kibiro local expert response</text>
  </threadedComment>
  <threadedComment ref="C33" dT="2021-03-10T17:00:56.74" personId="{EAAD4659-E668-4CAB-B375-40F3C0383B70}" id="{D01AC084-DF7B-4969-8A8C-92B1ED9C4124}">
    <text>https://www.diva-portal.org/smash/get/diva2:742038/FULLTEXT01.pdf (Page 35)</text>
  </threadedComment>
  <threadedComment ref="G33" dT="2021-02-19T16:18:16.76" personId="{EAAD4659-E668-4CAB-B375-40F3C0383B70}" id="{E01304A2-8E7E-4644-9EF6-43A020FAA466}">
    <text>Based on Kibiro local expert response</text>
  </threadedComment>
  <threadedComment ref="C34" dT="2021-02-25T12:37:54.09" personId="{EAAD4659-E668-4CAB-B375-40F3C0383B70}" id="{51523539-B1F3-4AB9-BA1C-952EA463D076}">
    <text>https://www.diva-portal.org/smash/get/diva2:742038/FULLTEXT01.pdf (Page 35)</text>
  </threadedComment>
  <threadedComment ref="C35" dT="2021-03-10T17:01:41.98" personId="{EAAD4659-E668-4CAB-B375-40F3C0383B70}" id="{DA92993E-695C-4AD5-90FD-A5274C0B698C}">
    <text>https://www.diva-portal.org/smash/get/diva2:742038/FULLTEXT01.pdf (Page 38)</text>
  </threadedComment>
  <threadedComment ref="G35" dT="2021-02-18T14:48:23.45" personId="{EAAD4659-E668-4CAB-B375-40F3C0383B70}" id="{BACBB79E-FEAA-4D3C-A21F-2E683AC39B8A}">
    <text>Source: Based on Kibiro local expert response</text>
  </threadedComment>
  <threadedComment ref="C36" dT="2021-03-10T17:01:46.78" personId="{EAAD4659-E668-4CAB-B375-40F3C0383B70}" id="{F8A5DDAC-63D4-4734-8AD1-FA2B92E9F4E7}">
    <text>https://www.diva-portal.org/smash/get/diva2:742038/FULLTEXT01.pdf (Page 38)</text>
  </threadedComment>
  <threadedComment ref="G36" dT="2021-02-19T16:18:16.76" personId="{EAAD4659-E668-4CAB-B375-40F3C0383B70}" id="{11BD28D3-DFA2-4F4F-B5BB-9DB76D663C85}">
    <text>Based on Kibiro local expert response</text>
  </threadedComment>
  <threadedComment ref="C37" dT="2021-03-10T18:03:46.61" personId="{EAAD4659-E668-4CAB-B375-40F3C0383B70}" id="{72C5DCEF-6909-4E4B-BD9D-58DAD7FA0EC9}">
    <text>https://www.diva-portal.org/smash/get/diva2:742038/FULLTEXT01.pdf (Page 35)</text>
  </threadedComment>
  <threadedComment ref="G37" dT="2021-02-19T16:18:16.76" personId="{EAAD4659-E668-4CAB-B375-40F3C0383B70}" id="{AA958282-B252-4F34-A0BD-AC84ADF1A551}">
    <text>Based on Kibiro local expert response</text>
  </threadedComment>
  <threadedComment ref="C38" dT="2021-03-10T17:01:34.08" personId="{EAAD4659-E668-4CAB-B375-40F3C0383B70}" id="{D0264367-D74B-4FEB-9DCD-EF7445C5F397}">
    <text>https://www.diva-portal.org/smash/get/diva2:742038/FULLTEXT01.pdf (Page 35,38)</text>
  </threadedComment>
  <threadedComment ref="G38" dT="2021-02-19T16:18:16.76" personId="{EAAD4659-E668-4CAB-B375-40F3C0383B70}" id="{067700B7-795A-40B2-B228-C8E4AC5CF679}">
    <text>Based on Kibiro local expert response</text>
  </threadedComment>
  <threadedComment ref="G40" dT="2021-02-25T12:37:54.09" personId="{EAAD4659-E668-4CAB-B375-40F3C0383B70}" id="{0AA2811E-83B5-4052-8DDC-D1B4D22B6B6C}">
    <text>Based on Kibiro local expert response</text>
  </threadedComment>
  <threadedComment ref="C42" dT="2021-03-10T17:00:34.77" personId="{EAAD4659-E668-4CAB-B375-40F3C0383B70}" id="{7C433364-37C8-4D95-8DF0-34EE7B5BD3C9}">
    <text>https://www.researchgate.net/publication/322351481_Environmental_and_nutritional_requirements_for_tea_cultivation/fulltext/5a557af6a6fdcc30f86ba4e5/Environmental-and-nutritional-requirements-for-tea-cultivation.pdf (Pg 6)</text>
  </threadedComment>
  <threadedComment ref="C43" dT="2021-03-10T17:00:41.23" personId="{EAAD4659-E668-4CAB-B375-40F3C0383B70}" id="{729B91D9-75FB-4FC2-A145-B4869674FDAF}">
    <text>https://www.geothermal-energy.org/pdf/IGAstandard/WGC/2010/2841.pdf (Page 2) and https://cigrjournal.org/index.php/Ejounral/article/download/5048/2902 (Page 7)</text>
  </threadedComment>
  <threadedComment ref="C45" dT="2021-02-18T14:48:23.45" personId="{EAAD4659-E668-4CAB-B375-40F3C0383B70}" id="{9B4C0A73-F057-4325-A7F6-C864AB5E79FA}">
    <text>Source: https://www.diva-portal.org/smash/get/diva2:742038/FULLTEXT01.pdf (Page 36)</text>
  </threadedComment>
  <threadedComment ref="C46" dT="2021-03-10T17:00:12.26" personId="{EAAD4659-E668-4CAB-B375-40F3C0383B70}" id="{E1EEE9CE-2E17-49F2-AADE-4FF31A5EDBF3}">
    <text>https://www.diva-portal.org/smash/get/diva2:742038/FULLTEXT01.pdf (Page 37)</text>
  </threadedComment>
  <threadedComment ref="C47" dT="2021-03-10T18:08:19.95" personId="{EAAD4659-E668-4CAB-B375-40F3C0383B70}" id="{3AD7F8CA-5D1A-49C7-9600-0E38E64E5313}">
    <text>https://www.diva-portal.org/smash/get/diva2:742038/FULLTEXT01.pdf (Page 37) (Different from source doc because it is assumed that the station will not run for 24hrs per day, all year)</text>
  </threadedComment>
</ThreadedComments>
</file>

<file path=xl/threadedComments/threadedComment8.xml><?xml version="1.0" encoding="utf-8"?>
<ThreadedComments xmlns="http://schemas.microsoft.com/office/spreadsheetml/2018/threadedcomments" xmlns:x="http://schemas.openxmlformats.org/spreadsheetml/2006/main">
  <threadedComment ref="M4" dT="2021-04-12T17:33:49.97" personId="{EAAD4659-E668-4CAB-B375-40F3C0383B70}" id="{637D6063-D02F-404D-8986-61D60551C876}">
    <text>Assuming burner, furnace, heat exchanger cost $5,000 per barn
https://www.alibaba.com/showroom/diesel-burner-price.html
https://www.alibaba.com/showroom/furnace-diesel-burner.html</text>
  </threadedComment>
  <threadedComment ref="N4" dT="2021-04-12T17:43:33.40" personId="{EAAD4659-E668-4CAB-B375-40F3C0383B70}" id="{BB80F1BD-B689-41DF-87DA-162D4D64144F}">
    <text>It is assumed that the CAPEX is 15% higher per barn than that of diesel-fired barns. See below:
When firing solid fuels (coal ,wood,biomass,pellets ) or heavy oil, the barns are hot water supplied i.e. they do not have individual burners on their heat exchangers but their heat exchangers (radiators) are fed with hot water supplied from a central boiler that burns the cheap fuels to heat water which is distributed through piping to several barns (always more than 3 or 4 ).
The cost of the boiler, pumps, piping etc (in order to produce the necessary hot water) is added on the cost of barns which makes the cost per barn ~10-15% higher than barns with individual gas or diesel burners.
https://ventobacco.gr/tobacco-curing-stations/designing-a-tobacco-curing-station/</text>
  </threadedComment>
  <threadedComment ref="O4" dT="2021-04-12T17:33:32.84" personId="{EAAD4659-E668-4CAB-B375-40F3C0383B70}" id="{458498D2-9896-4617-9E56-21525726E7B2}">
    <text>Based on model assumption</text>
  </threadedComment>
  <threadedComment ref="M5" dT="2021-04-12T17:22:23.37" personId="{EAAD4659-E668-4CAB-B375-40F3C0383B70}" id="{956DD004-391A-4D00-9687-4595EAA4F346}">
    <text>Source: https://escholarship.org/content/qt76b25769/qt76b25769_noSplash_ba25f2daf2d92c0e6521ee2432d2873a.pdf?t=krn80d (Page 100)</text>
  </threadedComment>
  <threadedComment ref="N5" dT="2021-04-12T17:22:30.60" personId="{EAAD4659-E668-4CAB-B375-40F3C0383B70}" id="{C709B363-2F67-445C-8250-66870B1682F5}">
    <text>Source: https://escholarship.org/content/qt76b25769/qt76b25769_noSplash_ba25f2daf2d92c0e6521ee2432d2873a.pdf?t=krn80d (Page 100)</text>
  </threadedComment>
  <threadedComment ref="O5" dT="2021-04-12T17:11:10.18" personId="{EAAD4659-E668-4CAB-B375-40F3C0383B70}" id="{D5C8C7AF-9DAF-4600-834F-5A3A21906CA7}">
    <text>Based on model assumption</text>
  </threadedComment>
  <threadedComment ref="J7" dT="2021-02-16T11:05:49.49" personId="{EAAD4659-E668-4CAB-B375-40F3C0383B70}" id="{8497C66D-32FC-43E8-80F9-54AA20014FF1}">
    <text>Source: See Data Sources Tab</text>
  </threadedComment>
  <threadedComment ref="M7" dT="2021-04-12T17:08:43.49" personId="{EAAD4659-E668-4CAB-B375-40F3C0383B70}" id="{374708D6-1B4C-4188-AD0A-5972E6261518}">
    <text>Source: Local Expert</text>
  </threadedComment>
  <threadedComment ref="N7" dT="2021-04-12T17:08:43.49" personId="{EAAD4659-E668-4CAB-B375-40F3C0383B70}" id="{B97F1470-B863-4A7D-ADA9-C73C7483FC9D}">
    <text>Source: Local Expert</text>
  </threadedComment>
  <threadedComment ref="O7" dT="2021-04-12T17:08:57.13" personId="{EAAD4659-E668-4CAB-B375-40F3C0383B70}" id="{065AE3CF-20C2-438C-A8D4-DEFDD00D6E07}">
    <text>Source: Local Expert</text>
  </threadedComment>
  <threadedComment ref="M8" dT="2021-04-12T17:05:56.29" personId="{EAAD4659-E668-4CAB-B375-40F3C0383B70}" id="{06C05CB2-958A-44A7-8FBB-52ED50F4D253}">
    <text>Based on model assumption</text>
  </threadedComment>
  <threadedComment ref="N8" dT="2021-04-12T17:06:01.34" personId="{EAAD4659-E668-4CAB-B375-40F3C0383B70}" id="{923E0FF1-0520-4399-BFB7-D2769D53D2F0}">
    <text>Based on model assumption</text>
  </threadedComment>
  <threadedComment ref="O8" dT="2021-04-12T17:06:06.27" personId="{EAAD4659-E668-4CAB-B375-40F3C0383B70}" id="{89A6F29E-2A29-420F-9019-941643B57517}">
    <text>Based on model assumption</text>
  </threadedComment>
  <threadedComment ref="J10" dT="2021-03-08T12:10:11.37" personId="{EAAD4659-E668-4CAB-B375-40F3C0383B70}" id="{8B2406B5-58BD-415A-8F68-9A90D3C07D48}">
    <text>Source: "A Guide for the Development of Geothermal Direct – Use Projects in Tanzania" Pg 13</text>
  </threadedComment>
  <threadedComment ref="M10" dT="2021-04-12T17:05:03.57" personId="{EAAD4659-E668-4CAB-B375-40F3C0383B70}" id="{38036088-E947-4B42-99CE-BAF030503D39}">
    <text>Based on model assumption</text>
  </threadedComment>
  <threadedComment ref="N10" dT="2021-04-12T17:05:08.61" personId="{EAAD4659-E668-4CAB-B375-40F3C0383B70}" id="{2E78BC91-5D1B-4A84-B4BB-BD32F9F23B6C}">
    <text>Based on model assumption</text>
  </threadedComment>
  <threadedComment ref="O10" dT="2021-04-12T17:05:14.02" personId="{EAAD4659-E668-4CAB-B375-40F3C0383B70}" id="{15F44C67-804D-40A3-9297-9996C3283E6F}">
    <text>Based on model assumption</text>
  </threadedComment>
  <threadedComment ref="J12" dT="2021-02-18T19:12:59.26" personId="{EAAD4659-E668-4CAB-B375-40F3C0383B70}" id="{8E73CCCA-DF70-4405-8BF0-D8416FD6A25F}">
    <text>User Assumption</text>
  </threadedComment>
  <threadedComment ref="C13" dT="2021-02-24T16:20:49.40" personId="{EAAD4659-E668-4CAB-B375-40F3C0383B70}" id="{B3D809CB-5C11-4435-B054-B13E2E1693D1}">
    <text>Source: https://www.diva-portal.org/smash/get/diva2:742038/FULLTEXT01.pdf (Page 42) (Assuming one unit is needed per barn)</text>
  </threadedComment>
  <threadedComment ref="M13" dT="2021-04-12T17:01:52.11" personId="{EAAD4659-E668-4CAB-B375-40F3C0383B70}" id="{E74AB6CC-C582-49B4-A7BB-8229EF6108FB}">
    <text>Source: Local Expert</text>
  </threadedComment>
  <threadedComment ref="N13" dT="2021-04-12T17:01:58.23" personId="{EAAD4659-E668-4CAB-B375-40F3C0383B70}" id="{E1E587C6-3C7A-473E-BBAD-C5CC598B214D}">
    <text>Source: Local Expert</text>
  </threadedComment>
  <threadedComment ref="C14" dT="2021-02-24T16:26:16.55" personId="{EAAD4659-E668-4CAB-B375-40F3C0383B70}" id="{86DEE1E8-ED45-497B-8CEB-29F0C89E6EFB}">
    <text>Source: https://www.diva-portal.org/smash/get/diva2:742038/FULLTEXT01.pdf (Page 42)</text>
  </threadedComment>
  <threadedComment ref="F14" dT="2021-02-16T12:54:24.21" personId="{EAAD4659-E668-4CAB-B375-40F3C0383B70}" id="{974D1262-ACE3-4BC6-84CA-196BE26D7BC7}">
    <text>User Assumption</text>
  </threadedComment>
  <threadedComment ref="M14" dT="2021-04-12T17:02:33.37" personId="{EAAD4659-E668-4CAB-B375-40F3C0383B70}" id="{B4B22EDA-E738-4D46-9828-15AA16C550F8}">
    <text>Source: Local Expert</text>
  </threadedComment>
  <threadedComment ref="N14" dT="2021-04-12T17:02:38.97" personId="{EAAD4659-E668-4CAB-B375-40F3C0383B70}" id="{0F8C93DE-C1BE-4B0B-8765-FB50459D3A14}">
    <text>Source: Local Expert</text>
  </threadedComment>
  <threadedComment ref="C15" dT="2021-02-24T16:26:24.28" personId="{EAAD4659-E668-4CAB-B375-40F3C0383B70}" id="{BC258E72-1F62-4164-8AD5-88842C22EB4D}">
    <text>Source: https://www.diva-portal.org/smash/get/diva2:742038/FULLTEXT01.pdf (Page 42)</text>
  </threadedComment>
  <threadedComment ref="F15" dT="2021-02-16T12:54:30.98" personId="{EAAD4659-E668-4CAB-B375-40F3C0383B70}" id="{4C07627F-DFED-4F08-9646-8D74B4665D34}">
    <text>User Assumption</text>
  </threadedComment>
  <threadedComment ref="C16" dT="2021-02-24T16:26:36.71" personId="{EAAD4659-E668-4CAB-B375-40F3C0383B70}" id="{6E211B9B-EEA3-4C3F-9551-C0E187AEF091}">
    <text>Source: https://www.diva-portal.org/smash/get/diva2:742038/FULLTEXT01.pdf (Page 42)</text>
  </threadedComment>
  <threadedComment ref="F16" dT="2021-02-16T12:54:38.29" personId="{EAAD4659-E668-4CAB-B375-40F3C0383B70}" id="{AFDF350E-DB61-4F8D-9857-3753CD82670E}">
    <text>User Assumption</text>
  </threadedComment>
  <threadedComment ref="M16" dT="2021-04-12T16:58:27.42" personId="{EAAD4659-E668-4CAB-B375-40F3C0383B70}" id="{7B65FB1C-2AB1-46CF-AF41-1CEED3A0258D}">
    <text>Source: Local Expert</text>
  </threadedComment>
  <threadedComment ref="N16" dT="2021-04-12T16:58:34.35" personId="{EAAD4659-E668-4CAB-B375-40F3C0383B70}" id="{30622CEE-5FEC-4F75-8CA7-C4692AFBA3BD}">
    <text>Source: Local Expert</text>
  </threadedComment>
  <threadedComment ref="O16" dT="2021-04-12T16:58:40.36" personId="{EAAD4659-E668-4CAB-B375-40F3C0383B70}" id="{D928E7F9-CFF3-49DB-B84F-7442C3EA242B}">
    <text>Source: Local Expert</text>
  </threadedComment>
  <threadedComment ref="C17" dT="2021-04-21T13:20:30.24" personId="{EAAD4659-E668-4CAB-B375-40F3C0383B70}" id="{08BB84C7-E8D1-499D-B11E-17D0223C2A91}">
    <text>User Assumption. Assuming the wood-fired barns will require electrical retrofitting</text>
  </threadedComment>
  <threadedComment ref="M17" dT="2021-04-12T16:55:39.21" personId="{EAAD4659-E668-4CAB-B375-40F3C0383B70}" id="{CE16351C-986A-4899-AB2B-7183AF0A0A0E}">
    <text>Source: See Model Data Sources Tab.</text>
  </threadedComment>
  <threadedComment ref="N17" dT="2021-04-12T16:55:39.21" personId="{EAAD4659-E668-4CAB-B375-40F3C0383B70}" id="{FB657840-962F-41B3-B4A4-7A07D997D744}">
    <text>Source: See Model Data Sources Tab.</text>
  </threadedComment>
  <threadedComment ref="O17" dT="2021-04-12T16:55:39.21" personId="{EAAD4659-E668-4CAB-B375-40F3C0383B70}" id="{FAAA144E-F712-431B-8126-420CB14A29B0}">
    <text>Source: See Model Data Sources Tab.</text>
  </threadedComment>
  <threadedComment ref="M19" dT="2021-04-12T16:50:13.88" personId="{EAAD4659-E668-4CAB-B375-40F3C0383B70}" id="{75D45998-AF20-4CEC-9861-90DB9204BBFB}">
    <text>Based on model assumption</text>
  </threadedComment>
  <threadedComment ref="N19" dT="2021-04-12T16:50:13.88" personId="{EAAD4659-E668-4CAB-B375-40F3C0383B70}" id="{AD1643FA-61D4-42E5-B079-84CE301D11A3}">
    <text>Based on model assumption</text>
  </threadedComment>
  <threadedComment ref="O19" dT="2021-04-12T16:50:13.88" personId="{EAAD4659-E668-4CAB-B375-40F3C0383B70}" id="{33FAB81A-BB6F-4A2D-BC7F-283586C002C6}">
    <text>Based on model assumption</text>
  </threadedComment>
  <threadedComment ref="G20" dT="2021-02-16T17:05:40.00" personId="{EAAD4659-E668-4CAB-B375-40F3C0383B70}" id="{A76F0954-1636-409E-ABE9-DBABE73FA50A}">
    <text>User Assumption</text>
  </threadedComment>
  <threadedComment ref="G21" dT="2021-02-16T17:06:04.27" personId="{EAAD4659-E668-4CAB-B375-40F3C0383B70}" id="{80B41612-3200-48CF-B4C2-3CB9AEA34C37}">
    <text>User Assumption</text>
  </threadedComment>
  <threadedComment ref="G25" dT="2021-02-18T14:32:02.79" personId="{EAAD4659-E668-4CAB-B375-40F3C0383B70}" id="{C2546DED-F0C1-40C1-89EE-45B06C5EB4A1}">
    <text>Source: Derived by reverse calculation from the 750 ton/yr cured leaf production level states in Data Sources Tab</text>
  </threadedComment>
  <threadedComment ref="G26" dT="2021-02-16T11:13:14.17" personId="{EAAD4659-E668-4CAB-B375-40F3C0383B70}" id="{8DDA79AF-37AA-4A2A-984B-80A54B318557}">
    <text>Source: https://link.springer.com/article/10.1007/s10973-018-7312-x</text>
  </threadedComment>
  <threadedComment ref="G27" dT="2021-02-16T11:13:26.27" personId="{EAAD4659-E668-4CAB-B375-40F3C0383B70}" id="{D04958FF-E086-4B38-AC8E-C02C46817668}">
    <text>Source: https://link.springer.com/article/10.1007/s10973-018-7312-x</text>
  </threadedComment>
  <threadedComment ref="G29" dT="2021-02-22T22:19:07.65" personId="{EAAD4659-E668-4CAB-B375-40F3C0383B70}" id="{53A80A19-A8FB-4F5F-B6FF-548E156710A0}">
    <text>Source: See Data Sources Tab</text>
  </threadedComment>
  <threadedComment ref="G30" dT="2021-02-18T15:30:49.38" personId="{EAAD4659-E668-4CAB-B375-40F3C0383B70}" id="{E60B8437-40B5-479E-A0E1-1BFDA56A77FE}">
    <text>User Assumption</text>
  </threadedComment>
  <threadedComment ref="C32" dT="2021-02-25T12:37:54.09" personId="{EAAD4659-E668-4CAB-B375-40F3C0383B70}" id="{D82151AA-D40C-42E8-A478-37E758F2B4D6}">
    <text>https://www.diva-portal.org/smash/get/diva2:742038/FULLTEXT01.pdf (Page 35)</text>
  </threadedComment>
  <threadedComment ref="G32" dT="2021-03-10T19:53:19.75" personId="{EAAD4659-E668-4CAB-B375-40F3C0383B70}" id="{4397667F-3F4C-4F43-926E-2E67DE68D7AE}">
    <text>Based on info provided by local expert - Sedekias Almaw</text>
  </threadedComment>
  <threadedComment ref="C33" dT="2021-03-10T17:00:56.74" personId="{EAAD4659-E668-4CAB-B375-40F3C0383B70}" id="{4547D3F7-16F2-4FFF-9365-4BBE26E7B3EF}">
    <text>https://www.diva-portal.org/smash/get/diva2:742038/FULLTEXT01.pdf (Page 35)</text>
  </threadedComment>
  <threadedComment ref="G33" dT="2021-02-18T14:48:23.45" personId="{EAAD4659-E668-4CAB-B375-40F3C0383B70}" id="{258AA569-9743-40A6-BF95-5864871CBB21}">
    <text>Based on info provided by local expert - Sedekias Almaw</text>
  </threadedComment>
  <threadedComment ref="C34" dT="2021-02-25T12:37:54.09" personId="{EAAD4659-E668-4CAB-B375-40F3C0383B70}" id="{B70E3F67-BEEA-4894-9D1D-AE945BD3B2B0}">
    <text>https://www.diva-portal.org/smash/get/diva2:742038/FULLTEXT01.pdf (Page 35)</text>
  </threadedComment>
  <threadedComment ref="C35" dT="2021-03-10T17:01:41.98" personId="{EAAD4659-E668-4CAB-B375-40F3C0383B70}" id="{9B05A2C3-8F83-4E4D-BBEC-B2600450C82D}">
    <text>https://www.diva-portal.org/smash/get/diva2:742038/FULLTEXT01.pdf (Page 38)</text>
  </threadedComment>
  <threadedComment ref="G35" dT="2021-02-18T14:48:23.45" personId="{EAAD4659-E668-4CAB-B375-40F3C0383B70}" id="{C6E9B15B-AF52-44B6-8830-A697D0202154}">
    <text>Based on info provided by local expert - Sedekias Almaw. Assuming the electrical barns with 1,200kg cured leaf capacity are converted to geothermal</text>
  </threadedComment>
  <threadedComment ref="C36" dT="2021-03-10T17:01:46.78" personId="{EAAD4659-E668-4CAB-B375-40F3C0383B70}" id="{7F38C562-3CB6-4709-A7B1-B482286966A3}">
    <text>https://www.diva-portal.org/smash/get/diva2:742038/FULLTEXT01.pdf (Page 38)</text>
  </threadedComment>
  <threadedComment ref="G36" dT="2021-02-19T16:18:16.76" personId="{EAAD4659-E668-4CAB-B375-40F3C0383B70}" id="{DBEDCB7A-2201-4E94-BED0-F8060C71FDFC}">
    <text>User Assumption</text>
  </threadedComment>
  <threadedComment ref="C37" dT="2021-03-10T18:03:46.61" personId="{EAAD4659-E668-4CAB-B375-40F3C0383B70}" id="{F450137D-8B83-4518-B4CA-43C091F02026}">
    <text>https://www.diva-portal.org/smash/get/diva2:742038/FULLTEXT01.pdf (Page 35)</text>
  </threadedComment>
  <threadedComment ref="G37" dT="2021-02-19T16:19:53.93" personId="{EAAD4659-E668-4CAB-B375-40F3C0383B70}" id="{4D5FBBBB-923F-4EE0-9D66-3C83E81CD34E}">
    <text>Based on info provided by local expert - Sedekias Almaw</text>
  </threadedComment>
  <threadedComment ref="C38" dT="2021-03-10T17:01:34.08" personId="{EAAD4659-E668-4CAB-B375-40F3C0383B70}" id="{CB6A3700-986A-41E4-8983-A3578CEF632A}">
    <text>https://www.diva-portal.org/smash/get/diva2:742038/FULLTEXT01.pdf (Page 35,38)</text>
  </threadedComment>
  <threadedComment ref="G38" dT="2021-03-09T16:11:20.29" personId="{EAAD4659-E668-4CAB-B375-40F3C0383B70}" id="{5FA55746-2881-48FD-82DC-D64C4562415B}">
    <text>Based on info provided by local expert - Sedekias Almaw</text>
  </threadedComment>
  <threadedComment ref="G40" dT="2021-02-25T12:37:54.09" personId="{EAAD4659-E668-4CAB-B375-40F3C0383B70}" id="{3E31C79D-0356-4468-BE78-4A24136A21C0}">
    <text>User Assumption</text>
  </threadedComment>
  <threadedComment ref="C42" dT="2021-03-10T17:00:34.77" personId="{EAAD4659-E668-4CAB-B375-40F3C0383B70}" id="{F3B3C721-671B-4504-81AD-31C4B13C081A}">
    <text>http://www.nzdl.org/cgi-bin/library?e=d-00000-00---off-0hdl--00-0----0-10-0---0---0direct-10---4-------0-1l--11-en-50---20-about---00-0-1-00-0--4----0-0-11-10-0utfZz-8-00&amp;cl=CL1.12&amp;d=HASHfb83ff5b6397f7dd31ae0d.5.6.1&amp;gt=1#:~:text=Optimum%20growing%20temperatures%20are%20between,temperatures%20up%20to%2035%20C.</text>
  </threadedComment>
  <threadedComment ref="C43" dT="2021-02-16T11:13:26.27" personId="{EAAD4659-E668-4CAB-B375-40F3C0383B70}" id="{CA5DA3CA-9FDE-4A7A-894A-B7BB18319B26}">
    <text>Source: https://link.springer.com/article/10.1007/s10973-018-7312-x</text>
  </threadedComment>
  <threadedComment ref="C45" dT="2021-02-18T14:48:23.45" personId="{EAAD4659-E668-4CAB-B375-40F3C0383B70}" id="{69D431CC-A49E-4825-A7BB-F940FAFB8617}">
    <text>Source: https://www.diva-portal.org/smash/get/diva2:742038/FULLTEXT01.pdf (Page 36)</text>
  </threadedComment>
  <threadedComment ref="C46" dT="2021-03-10T17:00:12.26" personId="{EAAD4659-E668-4CAB-B375-40F3C0383B70}" id="{82EE6C6F-6BE4-4B72-9C38-352869FCE878}">
    <text>https://www.diva-portal.org/smash/get/diva2:742038/FULLTEXT01.pdf (Page 37)</text>
  </threadedComment>
  <threadedComment ref="C47" dT="2021-03-10T18:08:19.95" personId="{EAAD4659-E668-4CAB-B375-40F3C0383B70}" id="{AB81938C-83B3-48A9-8165-AF5F7485391A}">
    <text>https://www.diva-portal.org/smash/get/diva2:742038/FULLTEXT01.pdf (Page 37) (Different from source doc because it is assumed that the station will not run for 24hrs per day, all year)</text>
  </threadedComment>
</ThreadedComments>
</file>

<file path=xl/threadedComments/threadedComment9.xml><?xml version="1.0" encoding="utf-8"?>
<ThreadedComments xmlns="http://schemas.microsoft.com/office/spreadsheetml/2018/threadedcomments" xmlns:x="http://schemas.openxmlformats.org/spreadsheetml/2006/main">
  <threadedComment ref="M4" dT="2021-04-12T16:47:31.86" personId="{EAAD4659-E668-4CAB-B375-40F3C0383B70}" id="{5724C3D3-809A-4CFB-9D2D-4B67F60A1C9B}">
    <text>Source: https://www.alibaba.com/showroom/industrial-boiler-price.html</text>
  </threadedComment>
  <threadedComment ref="O4" dT="2021-04-12T16:47:31.86" personId="{EAAD4659-E668-4CAB-B375-40F3C0383B70}" id="{EF21F77A-1C02-46AD-8982-77E99130137C}">
    <text>Based on model assumption</text>
  </threadedComment>
  <threadedComment ref="M5" dT="2021-04-12T17:22:23.37" personId="{EAAD4659-E668-4CAB-B375-40F3C0383B70}" id="{4971D23E-9A6D-40E0-A104-535380AD67CC}">
    <text>Source: https://escholarship.org/content/qt76b25769/qt76b25769_noSplash_ba25f2daf2d92c0e6521ee2432d2873a.pdf?t=krn80d (Page 100)</text>
  </threadedComment>
  <threadedComment ref="N5" dT="2021-04-12T17:22:30.60" personId="{EAAD4659-E668-4CAB-B375-40F3C0383B70}" id="{4A4FA737-4BA8-4999-9738-146B7C4BB97D}">
    <text>Source: https://www.nrel.gov/docs/fy16osti/66215.pdf</text>
  </threadedComment>
  <threadedComment ref="O5" dT="2021-04-12T17:11:10.18" personId="{EAAD4659-E668-4CAB-B375-40F3C0383B70}" id="{4269B0BD-5A00-40F2-83C1-8C885218648D}">
    <text>Based on model assumption</text>
  </threadedComment>
  <threadedComment ref="J7" dT="2021-02-16T11:05:49.49" personId="{EAAD4659-E668-4CAB-B375-40F3C0383B70}" id="{5DB8B417-6176-4FE9-9DFA-1ACC3D4F723C}">
    <text>Source: See Data Sources Tab</text>
  </threadedComment>
  <threadedComment ref="M7" dT="2021-04-12T17:08:43.49" personId="{EAAD4659-E668-4CAB-B375-40F3C0383B70}" id="{8022AE75-0219-4A58-A592-431764E3F3E3}">
    <text>Based on Model Calculation</text>
  </threadedComment>
  <threadedComment ref="N7" dT="2021-04-12T17:08:43.49" personId="{EAAD4659-E668-4CAB-B375-40F3C0383B70}" id="{B2F530F1-9A4E-4BE3-8B0E-2D5CD3FA1DAF}">
    <text>Based on Model Calculation</text>
  </threadedComment>
  <threadedComment ref="O7" dT="2021-04-12T17:08:43.49" personId="{EAAD4659-E668-4CAB-B375-40F3C0383B70}" id="{77B4210C-EE9C-40A5-98BB-B2C30C0DA222}">
    <text>Based on Model Calculation</text>
  </threadedComment>
  <threadedComment ref="M8" dT="2021-04-19T13:05:36.15" personId="{EAAD4659-E668-4CAB-B375-40F3C0383B70}" id="{260C3AE9-0766-41C6-9A0F-4692883961D1}">
    <text>Source: http://theargeo.org/fullpapers/C7/ECONOMICS%20OF%20GEOTHERMAL%20ENERGY%20IN%20DAIRY%20PROCESSING%20INDUSTRY%20IN%20KENYA-converted.pdf (Page 2)</text>
  </threadedComment>
  <threadedComment ref="M9" dT="2021-04-19T13:05:41.48" personId="{EAAD4659-E668-4CAB-B375-40F3C0383B70}" id="{9C5241DA-5236-451E-A558-FD5C5D657FC0}">
    <text>Source: http://theargeo.org/fullpapers/C7/ECONOMICS%20OF%20GEOTHERMAL%20ENERGY%20IN%20DAIRY%20PROCESSING%20INDUSTRY%20IN%20KENYA-converted.pdf (Page 2)</text>
  </threadedComment>
  <threadedComment ref="J10" dT="2021-03-08T12:10:11.37" personId="{EAAD4659-E668-4CAB-B375-40F3C0383B70}" id="{5DB9EA04-6DCD-4789-BAB4-F797E5AC78F8}">
    <text>Source: "A Guide for the Development of Geothermal Direct – Use Projects in Tanzania" Pg 13</text>
  </threadedComment>
  <threadedComment ref="M11" dT="2021-04-12T17:02:33.37" personId="{EAAD4659-E668-4CAB-B375-40F3C0383B70}" id="{D5FD5046-6E7B-451E-BD43-D95C5F96BBA4}">
    <text>Source: See Fuel Data Tab</text>
  </threadedComment>
  <threadedComment ref="J12" dT="2021-02-18T19:12:59.26" personId="{EAAD4659-E668-4CAB-B375-40F3C0383B70}" id="{7FA6DAD5-1B4C-4BC6-A625-7D17B02D5757}">
    <text>User Assumption</text>
  </threadedComment>
  <threadedComment ref="C13" dT="2021-02-24T16:20:49.40" personId="{EAAD4659-E668-4CAB-B375-40F3C0383B70}" id="{3074C227-DAFB-46C1-BA47-3A1541950982}">
    <text>Source: https://www.diva-portal.org/smash/get/diva2:742038/FULLTEXT01.pdf (Page 42) (Assuming one unit is needed per dryer)</text>
  </threadedComment>
  <threadedComment ref="M13" dT="2021-04-12T16:50:13.88" personId="{EAAD4659-E668-4CAB-B375-40F3C0383B70}" id="{B5ACE219-1B77-4300-8B40-B811F53AA34B}">
    <text>Based on model assumption</text>
  </threadedComment>
  <threadedComment ref="N13" dT="2021-04-12T16:50:13.88" personId="{EAAD4659-E668-4CAB-B375-40F3C0383B70}" id="{9823AFB1-9A5B-45AC-92E9-C626A8F2CAEA}">
    <text>Based on model assumption</text>
  </threadedComment>
  <threadedComment ref="O13" dT="2021-04-12T16:50:13.88" personId="{EAAD4659-E668-4CAB-B375-40F3C0383B70}" id="{8FB01657-374E-4944-9A92-81A21A62DE73}">
    <text>Based on model assumption</text>
  </threadedComment>
  <threadedComment ref="C14" dT="2021-02-24T16:26:16.55" personId="{EAAD4659-E668-4CAB-B375-40F3C0383B70}" id="{EAE7C658-1C80-4CA8-A9A6-871029A5310A}">
    <text>Source: https://www.diva-portal.org/smash/get/diva2:742038/FULLTEXT01.pdf (Page 42)</text>
  </threadedComment>
  <threadedComment ref="F14" dT="2021-02-16T12:54:24.21" personId="{EAAD4659-E668-4CAB-B375-40F3C0383B70}" id="{64D44619-645D-4534-8229-C518D84AA7D9}">
    <text>User Assumption</text>
  </threadedComment>
  <threadedComment ref="C15" dT="2021-02-24T16:26:24.28" personId="{EAAD4659-E668-4CAB-B375-40F3C0383B70}" id="{48131816-DD8E-48C6-A9BC-59587E9CA345}">
    <text>Source: https://www.diva-portal.org/smash/get/diva2:742038/FULLTEXT01.pdf (Page 42)</text>
  </threadedComment>
  <threadedComment ref="F15" dT="2021-02-16T12:54:30.98" personId="{EAAD4659-E668-4CAB-B375-40F3C0383B70}" id="{05F7643B-6DF8-47F4-8E65-87518CC24DAE}">
    <text>User Assumption</text>
  </threadedComment>
  <threadedComment ref="C16" dT="2021-02-24T16:26:36.71" personId="{EAAD4659-E668-4CAB-B375-40F3C0383B70}" id="{89255EAD-AD71-4314-A2E3-DFB930DF471B}">
    <text>Source: https://www.diva-portal.org/smash/get/diva2:742038/FULLTEXT01.pdf (Page 42)</text>
  </threadedComment>
  <threadedComment ref="F16" dT="2021-02-16T12:54:38.29" personId="{EAAD4659-E668-4CAB-B375-40F3C0383B70}" id="{FC23C4B8-1BDE-4AD0-B975-B3AD64784A66}">
    <text>User Assumption</text>
  </threadedComment>
  <threadedComment ref="G20" dT="2021-02-16T17:05:40.00" personId="{EAAD4659-E668-4CAB-B375-40F3C0383B70}" id="{DB2B0C0D-702A-40BD-8059-E2A785BD451F}">
    <text>User Assumption</text>
  </threadedComment>
  <threadedComment ref="G21" dT="2021-02-16T17:06:04.27" personId="{EAAD4659-E668-4CAB-B375-40F3C0383B70}" id="{AE97EBBE-A349-4F88-ACF5-6729358AA0E6}">
    <text>User Assumption</text>
  </threadedComment>
  <threadedComment ref="G25" dT="2021-02-18T14:32:02.79" personId="{EAAD4659-E668-4CAB-B375-40F3C0383B70}" id="{8004F352-B3DB-46FD-BD91-23241B655065}">
    <text>Source: http://theargeo.org/fullpapers/C7/ECONOMICS%20OF%20GEOTHERMAL%20ENERGY%20IN%20DAIRY%20PROCESSING%20INDUSTRY%20IN%20KENYA-converted.pdf (Page 2)</text>
  </threadedComment>
  <threadedComment ref="G26" dT="2021-04-02T03:17:29.89" personId="{0E376E75-1F02-470C-AC8B-7B58F43F13C4}" id="{5536A938-E447-462E-B6C4-2FF94E7058AC}">
    <text>http://theargeo.org/fullpapers/C7/ECONOMICS%20OF%20GEOTHERMAL%20ENERGY%20IN%20DAIRY%20PROCESSING%20INDUSTRY%20IN%20KENYA-converted.pdf
(Page 2)</text>
  </threadedComment>
  <threadedComment ref="G27" dT="2021-04-19T11:54:07.12" personId="{EAAD4659-E668-4CAB-B375-40F3C0383B70}" id="{A5116930-6F79-4E40-93C1-613FFBE8F700}">
    <text>http://theargeo.org/fullpapers/C7/ECONOMICS%20OF%20GEOTHERMAL%20ENERGY%20IN%20DAIRY%20PROCESSING%20INDUSTRY%20IN%20KENYA-converted.pdf
(Page 2)</text>
  </threadedComment>
  <threadedComment ref="G28" dT="2021-02-19T16:18:16.76" personId="{EAAD4659-E668-4CAB-B375-40F3C0383B70}" id="{A9203E83-DA6E-402C-8E90-895886FC2FD0}">
    <text>Source: http://theargeo.org/fullpapers/C7/ECONOMICS%20OF%20GEOTHERMAL%20ENERGY%20IN%20DAIRY%20PROCESSING%20INDUSTRY%20IN%20KENYA-converted.pdf (Page 2)</text>
  </threadedComment>
  <threadedComment ref="G29" dT="2021-04-02T03:18:16.52" personId="{0E376E75-1F02-470C-AC8B-7B58F43F13C4}" id="{4F129259-0238-4C9B-AA99-81EDA9C87EB9}">
    <text>http://theargeo.org/fullpapers/C7/ECONOMICS%20OF%20GEOTHERMAL%20ENERGY%20IN%20DAIRY%20PROCESSING%20INDUSTRY%20IN%20KENYA-converted.pdf
(Page 2)</text>
  </threadedComment>
  <threadedComment ref="G32" dT="2021-04-19T19:51:21.08" personId="{EAAD4659-E668-4CAB-B375-40F3C0383B70}" id="{FE187735-1C7F-419D-921C-9E630154E96C}">
    <text>Assuming each has a capacity of 1,000,000 BTU</text>
  </threadedComment>
  <threadedComment ref="G33" dT="2021-02-19T16:18:16.76" personId="{EAAD4659-E668-4CAB-B375-40F3C0383B70}" id="{297DFE2F-7B21-43F7-850E-31D6DB54DA53}">
    <text>User Assumption</text>
  </threadedComment>
  <threadedComment ref="G34" dT="2021-02-19T16:18:16.76" personId="{EAAD4659-E668-4CAB-B375-40F3C0383B70}" id="{ACE2F964-D2D7-4922-9E27-2149EAA38ADF}">
    <text>User Assumption</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9.xml"/><Relationship Id="rId1" Type="http://schemas.openxmlformats.org/officeDocument/2006/relationships/printerSettings" Target="../printerSettings/printerSettings10.bin"/><Relationship Id="rId5" Type="http://schemas.microsoft.com/office/2017/10/relationships/threadedComment" Target="../threadedComments/threadedComment9.xml"/><Relationship Id="rId4" Type="http://schemas.openxmlformats.org/officeDocument/2006/relationships/comments" Target="../comments9.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0.xml"/><Relationship Id="rId1" Type="http://schemas.openxmlformats.org/officeDocument/2006/relationships/printerSettings" Target="../printerSettings/printerSettings11.bin"/><Relationship Id="rId5" Type="http://schemas.microsoft.com/office/2017/10/relationships/threadedComment" Target="../threadedComments/threadedComment10.xml"/><Relationship Id="rId4" Type="http://schemas.openxmlformats.org/officeDocument/2006/relationships/comments" Target="../comments10.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1.xml"/><Relationship Id="rId1" Type="http://schemas.openxmlformats.org/officeDocument/2006/relationships/printerSettings" Target="../printerSettings/printerSettings12.bin"/><Relationship Id="rId5" Type="http://schemas.microsoft.com/office/2017/10/relationships/threadedComment" Target="../threadedComments/threadedComment11.xml"/><Relationship Id="rId4" Type="http://schemas.openxmlformats.org/officeDocument/2006/relationships/comments" Target="../comments11.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drawing" Target="../drawings/drawing25.xml"/><Relationship Id="rId2" Type="http://schemas.openxmlformats.org/officeDocument/2006/relationships/hyperlink" Target="https://www.capitalethiopia.com/featured/cbe-adjusts-loan-interest-rate/" TargetMode="External"/><Relationship Id="rId1" Type="http://schemas.openxmlformats.org/officeDocument/2006/relationships/hyperlink" Target="https://www.indexmundi.com/djibouti/commercial_bank_prime_lending_rate.html" TargetMode="External"/></Relationships>
</file>

<file path=xl/worksheets/_rels/sheet27.xml.rels><?xml version="1.0" encoding="UTF-8" standalone="yes"?>
<Relationships xmlns="http://schemas.openxmlformats.org/package/2006/relationships"><Relationship Id="rId13" Type="http://schemas.openxmlformats.org/officeDocument/2006/relationships/hyperlink" Target="https://www.epra.go.ke/wp-content/uploads/2018/06/Approved-Tariffs-Aug-2018.pdf" TargetMode="External"/><Relationship Id="rId18" Type="http://schemas.openxmlformats.org/officeDocument/2006/relationships/hyperlink" Target="http://www.salaryexplorer.com/salary-survey.php?loc=214&amp;loctype=1&amp;job=33&amp;jobtype=1" TargetMode="External"/><Relationship Id="rId26" Type="http://schemas.openxmlformats.org/officeDocument/2006/relationships/hyperlink" Target="http://www.salaryexplorer.com/salary-survey.php?loc=59&amp;loctype=1&amp;job=675&amp;jobtype=3" TargetMode="External"/><Relationship Id="rId39" Type="http://schemas.openxmlformats.org/officeDocument/2006/relationships/hyperlink" Target="http://www.salaryexplorer.com/salary-survey.php?loc=225&amp;loctype=1&amp;job=309&amp;jobtype=3" TargetMode="External"/><Relationship Id="rId21" Type="http://schemas.openxmlformats.org/officeDocument/2006/relationships/hyperlink" Target="https://www.resolution.co.ke/corporates-and-businesses/business-insurance/" TargetMode="External"/><Relationship Id="rId34" Type="http://schemas.openxmlformats.org/officeDocument/2006/relationships/hyperlink" Target="http://www.salaryexplorer.com/salary-survey.php?loc=59&amp;loctype=1&amp;job=1024&amp;jobtype=3" TargetMode="External"/><Relationship Id="rId42" Type="http://schemas.openxmlformats.org/officeDocument/2006/relationships/hyperlink" Target="http://www.salaryexplorer.com/salary-survey.php?loc=69&amp;loctype=1&amp;job=306&amp;jobtype=3" TargetMode="External"/><Relationship Id="rId47" Type="http://schemas.openxmlformats.org/officeDocument/2006/relationships/printerSettings" Target="../printerSettings/printerSettings26.bin"/><Relationship Id="rId50" Type="http://schemas.microsoft.com/office/2017/10/relationships/threadedComment" Target="../threadedComments/threadedComment12.xml"/><Relationship Id="rId7" Type="http://schemas.openxmlformats.org/officeDocument/2006/relationships/hyperlink" Target="https://taxsummaries.pwc.com/rwanda/corporate/taxes-on-corporate-income" TargetMode="External"/><Relationship Id="rId2" Type="http://schemas.openxmlformats.org/officeDocument/2006/relationships/hyperlink" Target="https://www2.deloitte.com/content/dam/Deloitte/tz/Documents/tax/Tax_Budget%20Highlights%202015_TZ.pdf" TargetMode="External"/><Relationship Id="rId16" Type="http://schemas.openxmlformats.org/officeDocument/2006/relationships/hyperlink" Target="https://africapay.org/kenya/salary/minimum-wages/2214-all-other-areas-neither-cities-nor-municipalities" TargetMode="External"/><Relationship Id="rId29" Type="http://schemas.openxmlformats.org/officeDocument/2006/relationships/hyperlink" Target="http://www.salaryexplorer.com/salary-survey.php?loc=69&amp;loctype=1&amp;job=675&amp;jobtype=3" TargetMode="External"/><Relationship Id="rId11" Type="http://schemas.openxmlformats.org/officeDocument/2006/relationships/hyperlink" Target="http://www.salaryexplorer.com/salary-survey.php?loc=69&amp;loctype=1&amp;job=33&amp;jobtype=1" TargetMode="External"/><Relationship Id="rId24" Type="http://schemas.openxmlformats.org/officeDocument/2006/relationships/hyperlink" Target="http://www.salaryexplorer.com/salary-survey.php?loc=180&amp;loctype=1&amp;job=306&amp;jobtype=3" TargetMode="External"/><Relationship Id="rId32" Type="http://schemas.openxmlformats.org/officeDocument/2006/relationships/hyperlink" Target="http://www.salaryexplorer.com/salary-survey.php?loc=214&amp;loctype=1&amp;job=1024&amp;jobtype=3" TargetMode="External"/><Relationship Id="rId37" Type="http://schemas.openxmlformats.org/officeDocument/2006/relationships/hyperlink" Target="http://www.salaryexplorer.com/salary-survey.php?loc=59&amp;loctype=1&amp;job=309&amp;jobtype=3" TargetMode="External"/><Relationship Id="rId40" Type="http://schemas.openxmlformats.org/officeDocument/2006/relationships/hyperlink" Target="http://www.salaryexplorer.com/salary-survey.php?loc=214&amp;loctype=1&amp;job=1960&amp;jobtype=3" TargetMode="External"/><Relationship Id="rId45" Type="http://schemas.openxmlformats.org/officeDocument/2006/relationships/hyperlink" Target="https://vibehouse.rw/property/12-100-sqm-plot-for-sale-in-masaka-kicukiro-kigali/" TargetMode="External"/><Relationship Id="rId5" Type="http://schemas.openxmlformats.org/officeDocument/2006/relationships/hyperlink" Target="https://oxfordbusinessgroup.com/overview/bottom-line-comprehensive-guide-country%E2%80%99s-tax-laws" TargetMode="External"/><Relationship Id="rId15" Type="http://schemas.openxmlformats.org/officeDocument/2006/relationships/hyperlink" Target="https://www.ewura.go.tz/wp-content/uploads/2019/03/TANESCO-Order-No.-2010-010_29-03-2016_English.pdf" TargetMode="External"/><Relationship Id="rId23" Type="http://schemas.openxmlformats.org/officeDocument/2006/relationships/hyperlink" Target="http://www.salaryexplorer.com/salary-survey.php?loc=180&amp;loctype=1&amp;job=309&amp;jobtype=3" TargetMode="External"/><Relationship Id="rId28" Type="http://schemas.openxmlformats.org/officeDocument/2006/relationships/hyperlink" Target="http://www.salaryexplorer.com/salary-survey.php?loc=111&amp;loctype=1&amp;job=675&amp;jobtype=3" TargetMode="External"/><Relationship Id="rId36" Type="http://schemas.openxmlformats.org/officeDocument/2006/relationships/hyperlink" Target="http://www.salaryexplorer.com/salary-survey.php?loc=111&amp;loctype=1&amp;job=309&amp;jobtype=3" TargetMode="External"/><Relationship Id="rId49" Type="http://schemas.openxmlformats.org/officeDocument/2006/relationships/comments" Target="../comments12.xml"/><Relationship Id="rId10" Type="http://schemas.openxmlformats.org/officeDocument/2006/relationships/hyperlink" Target="http://country.eiu.com/article.aspx?articleid=1924116576&amp;Country=Djibouti&amp;topic=Economy&amp;subtopic=_3" TargetMode="External"/><Relationship Id="rId19" Type="http://schemas.openxmlformats.org/officeDocument/2006/relationships/hyperlink" Target="http://www.salaryexplorer.com/salary-survey.php?loc=225&amp;loctype=1&amp;job=33&amp;jobtype=1" TargetMode="External"/><Relationship Id="rId31" Type="http://schemas.openxmlformats.org/officeDocument/2006/relationships/hyperlink" Target="http://www.salaryexplorer.com/salary-survey.php?loc=225&amp;loctype=1&amp;job=1024&amp;jobtype=3" TargetMode="External"/><Relationship Id="rId44" Type="http://schemas.openxmlformats.org/officeDocument/2006/relationships/hyperlink" Target="http://www.salaryexplorer.com/salary-survey.php?loc=111&amp;loctype=1&amp;job=675&amp;jobtype=3" TargetMode="External"/><Relationship Id="rId4" Type="http://schemas.openxmlformats.org/officeDocument/2006/relationships/hyperlink" Target="https://www.gtuganda.co.ug/globalassets/_markets_/uga/media/doing_business_in_uganda_taxation.pdf" TargetMode="External"/><Relationship Id="rId9" Type="http://schemas.openxmlformats.org/officeDocument/2006/relationships/hyperlink" Target="https://www.reg.rw/customer-service/tariffs/" TargetMode="External"/><Relationship Id="rId14" Type="http://schemas.openxmlformats.org/officeDocument/2006/relationships/hyperlink" Target="https://www.monitor.co.ug/uganda/business/markets/electricity-tariffs-reduce-by-1-2--1868566" TargetMode="External"/><Relationship Id="rId22" Type="http://schemas.openxmlformats.org/officeDocument/2006/relationships/hyperlink" Target="http://www.salaryexplorer.com/salary-survey.php?loc=180&amp;loctype=1&amp;job=1024&amp;jobtype=3" TargetMode="External"/><Relationship Id="rId27" Type="http://schemas.openxmlformats.org/officeDocument/2006/relationships/hyperlink" Target="http://www.salaryexplorer.com/salary-survey.php?loc=225&amp;loctype=1&amp;job=675&amp;jobtype=3" TargetMode="External"/><Relationship Id="rId30" Type="http://schemas.openxmlformats.org/officeDocument/2006/relationships/hyperlink" Target="http://www.salaryexplorer.com/salary-survey.php?loc=214&amp;loctype=1&amp;job=675&amp;jobtype=3" TargetMode="External"/><Relationship Id="rId35" Type="http://schemas.openxmlformats.org/officeDocument/2006/relationships/hyperlink" Target="http://www.salaryexplorer.com/salary-survey.php?loc=69&amp;loctype=1&amp;job=309&amp;jobtype=3" TargetMode="External"/><Relationship Id="rId43" Type="http://schemas.openxmlformats.org/officeDocument/2006/relationships/hyperlink" Target="http://www.salaryexplorer.com/salary-survey.php?loc=59&amp;loctype=1&amp;job=675&amp;jobtype=3" TargetMode="External"/><Relationship Id="rId48" Type="http://schemas.openxmlformats.org/officeDocument/2006/relationships/vmlDrawing" Target="../drawings/vmlDrawing12.vml"/><Relationship Id="rId8" Type="http://schemas.openxmlformats.org/officeDocument/2006/relationships/hyperlink" Target="https://www.bdo-ea.com/en-gb/microsites/doing-business-and-investing-in-kenya/tax/page-elements/taxation-in-kenya/corporate-tax" TargetMode="External"/><Relationship Id="rId3" Type="http://schemas.openxmlformats.org/officeDocument/2006/relationships/hyperlink" Target="https://taxsummaries.pwc.com/uganda/corporate/taxes-on-corporate-income" TargetMode="External"/><Relationship Id="rId12" Type="http://schemas.openxmlformats.org/officeDocument/2006/relationships/hyperlink" Target="https://core.ac.uk/download/pdf/157815645.pdf" TargetMode="External"/><Relationship Id="rId17" Type="http://schemas.openxmlformats.org/officeDocument/2006/relationships/hyperlink" Target="https://www.globalization-partners.com/globalpedia/djibouti-employer-of-record/compensation/" TargetMode="External"/><Relationship Id="rId25" Type="http://schemas.openxmlformats.org/officeDocument/2006/relationships/hyperlink" Target="http://www.salaryexplorer.com/salary-survey.php?loc=180&amp;loctype=1&amp;job=675&amp;jobtype=3" TargetMode="External"/><Relationship Id="rId33" Type="http://schemas.openxmlformats.org/officeDocument/2006/relationships/hyperlink" Target="http://www.salaryexplorer.com/salary-survey.php?loc=111&amp;loctype=1&amp;job=1024&amp;jobtype=3" TargetMode="External"/><Relationship Id="rId38" Type="http://schemas.openxmlformats.org/officeDocument/2006/relationships/hyperlink" Target="http://www.salaryexplorer.com/salary-survey.php?loc=214&amp;loctype=1&amp;job=309&amp;jobtype=3" TargetMode="External"/><Relationship Id="rId46" Type="http://schemas.openxmlformats.org/officeDocument/2006/relationships/hyperlink" Target="https://olnjoropoultry.co.ke/kuroiler-improved-kienyeji-chicks-and-eggs-prices/" TargetMode="External"/><Relationship Id="rId20" Type="http://schemas.openxmlformats.org/officeDocument/2006/relationships/hyperlink" Target="http://www.salaryexplorer.com/salary-survey.php?loc=180&amp;loctype=1&amp;job=33&amp;jobtype=1" TargetMode="External"/><Relationship Id="rId41" Type="http://schemas.openxmlformats.org/officeDocument/2006/relationships/hyperlink" Target="http://www.salaryexplorer.com/salary-survey.php?loc=225&amp;loctype=1&amp;job=306&amp;jobtype=3" TargetMode="External"/><Relationship Id="rId1" Type="http://schemas.openxmlformats.org/officeDocument/2006/relationships/hyperlink" Target="https://mywage.org/tanzania/career/business-tax-and-levies" TargetMode="External"/><Relationship Id="rId6" Type="http://schemas.openxmlformats.org/officeDocument/2006/relationships/hyperlink" Target="https://www.2merkato.com/articles/tax/types/62-business-income-tax-in-ethiopia-rates-deductions-and-exemptions" TargetMode="External"/></Relationships>
</file>

<file path=xl/worksheets/_rels/sheet28.xml.rels><?xml version="1.0" encoding="UTF-8" standalone="yes"?>
<Relationships xmlns="http://schemas.openxmlformats.org/package/2006/relationships"><Relationship Id="rId13" Type="http://schemas.openxmlformats.org/officeDocument/2006/relationships/hyperlink" Target="https://farmbizafrica.com/profit-boosters/2468-health-benefits-driving-the-growing-amaranth-enterprise-in-kenya" TargetMode="External"/><Relationship Id="rId18" Type="http://schemas.openxmlformats.org/officeDocument/2006/relationships/hyperlink" Target="https://www.google.com/amp/s/www.tuko.co.ke/amp/293417-how-profitable-managu-farming-kenya-.html" TargetMode="External"/><Relationship Id="rId26" Type="http://schemas.openxmlformats.org/officeDocument/2006/relationships/hyperlink" Target="https://www.tradewheel.com/p/10sqm100kg-capacity-dehydration-machines-for-fruit-689804/" TargetMode="External"/><Relationship Id="rId3" Type="http://schemas.openxmlformats.org/officeDocument/2006/relationships/hyperlink" Target="https://sokodirectory.com/2019/05/cabbages-retailing-at-ksh--20-per-kilogram-across-most-towns/" TargetMode="External"/><Relationship Id="rId21" Type="http://schemas.openxmlformats.org/officeDocument/2006/relationships/hyperlink" Target="https://www.azurihealth.co.ke/marketing-services" TargetMode="External"/><Relationship Id="rId34" Type="http://schemas.openxmlformats.org/officeDocument/2006/relationships/printerSettings" Target="../printerSettings/printerSettings27.bin"/><Relationship Id="rId7" Type="http://schemas.openxmlformats.org/officeDocument/2006/relationships/hyperlink" Target="https://sokodirectory.com/2020/01/food-and-transport-hike-pushes-december-inflation-to-5-82/" TargetMode="External"/><Relationship Id="rId12" Type="http://schemas.openxmlformats.org/officeDocument/2006/relationships/hyperlink" Target="https://www.numbeo.com/cost-of-living/in/Nairobi" TargetMode="External"/><Relationship Id="rId17" Type="http://schemas.openxmlformats.org/officeDocument/2006/relationships/hyperlink" Target="https://farmersbasketkenya.com/product-category/leafy-vegetables/" TargetMode="External"/><Relationship Id="rId25" Type="http://schemas.openxmlformats.org/officeDocument/2006/relationships/hyperlink" Target="https://agoa.info/images/documents/6212/rwanda-agoa-strategyr.pdf" TargetMode="External"/><Relationship Id="rId33" Type="http://schemas.openxmlformats.org/officeDocument/2006/relationships/hyperlink" Target="https://twitter.com/richardmunang/status/749828284502900736" TargetMode="External"/><Relationship Id="rId2" Type="http://schemas.openxmlformats.org/officeDocument/2006/relationships/hyperlink" Target="https://www.google.com/amp/s/sokodirectory.com/2018/10/a-loot-at-the-market-prices-of-fruits-in-selected-towns-across-kenya/amp/" TargetMode="External"/><Relationship Id="rId16" Type="http://schemas.openxmlformats.org/officeDocument/2006/relationships/hyperlink" Target="https://farmersbasketkenya.com/product-category/leafy-vegetables/" TargetMode="External"/><Relationship Id="rId20" Type="http://schemas.openxmlformats.org/officeDocument/2006/relationships/hyperlink" Target="https://africabusinesscommunities.com/news/rural-kenya-farmers-tripple-incomes-drying-fruits-and-vegetables-in-sun/" TargetMode="External"/><Relationship Id="rId29" Type="http://schemas.openxmlformats.org/officeDocument/2006/relationships/hyperlink" Target="https://www.tradewheel.com/p/precooling-machinevacuum-vegetable-cooling-machine-6899813/" TargetMode="External"/><Relationship Id="rId1" Type="http://schemas.openxmlformats.org/officeDocument/2006/relationships/hyperlink" Target="https://selinawamucii.com/insights/prices/kenya/pineapples/" TargetMode="External"/><Relationship Id="rId6" Type="http://schemas.openxmlformats.org/officeDocument/2006/relationships/hyperlink" Target="https://2vegetable.com/2019/07/09/apple-fruit-suppliers-in-kenya-fresh-fruits-wholesalers-suppliers/" TargetMode="External"/><Relationship Id="rId11" Type="http://schemas.openxmlformats.org/officeDocument/2006/relationships/hyperlink" Target="https://www.numbeo.com/cost-of-living/in/Nairobi" TargetMode="External"/><Relationship Id="rId24" Type="http://schemas.openxmlformats.org/officeDocument/2006/relationships/hyperlink" Target="https://agoa.info/images/documents/6212/rwanda-agoa-strategyr.pdf" TargetMode="External"/><Relationship Id="rId32" Type="http://schemas.openxmlformats.org/officeDocument/2006/relationships/hyperlink" Target="https://agoa.info/images/documents/6212/rwanda-agoa-strategy.pdf" TargetMode="External"/><Relationship Id="rId5" Type="http://schemas.openxmlformats.org/officeDocument/2006/relationships/hyperlink" Target="https://sokodirectory.com/2019/05/cabbages-retailing-at-ksh--20-per-kilogram-across-most-towns/" TargetMode="External"/><Relationship Id="rId15" Type="http://schemas.openxmlformats.org/officeDocument/2006/relationships/hyperlink" Target="https://farmersbasketkenya.com/product/beetroot" TargetMode="External"/><Relationship Id="rId23" Type="http://schemas.openxmlformats.org/officeDocument/2006/relationships/hyperlink" Target="https://www.globalpropertyguide.com/Africa/Kenya/Price-History" TargetMode="External"/><Relationship Id="rId28" Type="http://schemas.openxmlformats.org/officeDocument/2006/relationships/hyperlink" Target="https://www.tradewheel.com/p/high-quality-stainless-steel-304-food-689846/" TargetMode="External"/><Relationship Id="rId10" Type="http://schemas.openxmlformats.org/officeDocument/2006/relationships/hyperlink" Target="https://www.knbs.or.ke/?wpdmpro=consumer-price-indices-and-inflation-rates-for-march-2020" TargetMode="External"/><Relationship Id="rId19" Type="http://schemas.openxmlformats.org/officeDocument/2006/relationships/hyperlink" Target="https://www.farmers.co.ke/article/2001352127/how-to-thrive-in-vegetables-and-traditional-vegetables-farming" TargetMode="External"/><Relationship Id="rId31" Type="http://schemas.openxmlformats.org/officeDocument/2006/relationships/hyperlink" Target="https://m.made-in-china,com/product/Dry-Fruits-Fully-Automatic-Packing-Machine-901463575.html" TargetMode="External"/><Relationship Id="rId4" Type="http://schemas.openxmlformats.org/officeDocument/2006/relationships/hyperlink" Target="https://www.knbs.or.ke/?wpdmpro=consumer-price-indices-and-inflation-rates-for-march-2020" TargetMode="External"/><Relationship Id="rId9" Type="http://schemas.openxmlformats.org/officeDocument/2006/relationships/hyperlink" Target="https://www.knbs.or.ke/?wpdmpro=consumer-price-indices-and-inflation-rates-for-march-2020" TargetMode="External"/><Relationship Id="rId14" Type="http://schemas.openxmlformats.org/officeDocument/2006/relationships/hyperlink" Target="https://www.google.com/amp/s/www.businessdailyafrica.com/corporate/enterprise/Graduate-finds-joy-in-pumpkin-farming-/4003126-4786454-view-asAMP-8jf47kz/index.html" TargetMode="External"/><Relationship Id="rId22" Type="http://schemas.openxmlformats.org/officeDocument/2006/relationships/hyperlink" Target="http://www.oxfarmorganic.com/our-products/mangoes/export-opportunities-for-mangoes/" TargetMode="External"/><Relationship Id="rId27" Type="http://schemas.openxmlformats.org/officeDocument/2006/relationships/hyperlink" Target="https://m.alibaba.com/amp/product/60760387059.html" TargetMode="External"/><Relationship Id="rId30" Type="http://schemas.openxmlformats.org/officeDocument/2006/relationships/hyperlink" Target="https://www.tradewheel.com/p/fruit-peeling-cutting-machine-vegetables-642597/" TargetMode="External"/><Relationship Id="rId8" Type="http://schemas.openxmlformats.org/officeDocument/2006/relationships/hyperlink" Target="https://www.knbs.or.ke/?wpdmpro=consumer-price-indices-and-inflation-rates-for-march-2020" TargetMode="External"/></Relationships>
</file>

<file path=xl/worksheets/_rels/sheet29.xml.rels><?xml version="1.0" encoding="UTF-8" standalone="yes"?>
<Relationships xmlns="http://schemas.openxmlformats.org/package/2006/relationships"><Relationship Id="rId3" Type="http://schemas.openxmlformats.org/officeDocument/2006/relationships/printerSettings" Target="../printerSettings/printerSettings28.bin"/><Relationship Id="rId2" Type="http://schemas.openxmlformats.org/officeDocument/2006/relationships/hyperlink" Target="https://www.globaltrademag.com/eu-dried-and-smoked-fish-market-is-driven-by-rising-demand-in-germany/" TargetMode="External"/><Relationship Id="rId1" Type="http://schemas.openxmlformats.org/officeDocument/2006/relationships/hyperlink" Target="https://www.cbi.eu/market-information/processed-fruit-vegetables-edible-nuts/dried-mango/market-entry" TargetMode="External"/></Relationships>
</file>

<file path=xl/worksheets/_rels/sheet3.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hyperlink" Target="https://www.osti.gov/biblio/6765757" TargetMode="External"/><Relationship Id="rId7" Type="http://schemas.openxmlformats.org/officeDocument/2006/relationships/vmlDrawing" Target="../drawings/vmlDrawing2.vml"/><Relationship Id="rId2" Type="http://schemas.openxmlformats.org/officeDocument/2006/relationships/hyperlink" Target="https://www.sica.int/download/?124297" TargetMode="External"/><Relationship Id="rId1" Type="http://schemas.openxmlformats.org/officeDocument/2006/relationships/hyperlink" Target="https://pangea.stanford.edu/ERE/pdf/IGAstandard/ISS/2003Turkey/s.p.vasilevska.pdf" TargetMode="External"/><Relationship Id="rId6" Type="http://schemas.openxmlformats.org/officeDocument/2006/relationships/drawing" Target="../drawings/drawing2.xml"/><Relationship Id="rId5" Type="http://schemas.openxmlformats.org/officeDocument/2006/relationships/printerSettings" Target="../printerSettings/printerSettings3.bin"/><Relationship Id="rId4" Type="http://schemas.openxmlformats.org/officeDocument/2006/relationships/hyperlink" Target="http://citeseerx.ist.psu.edu/viewdoc/download?doi=10.1.1.510.6103&amp;rep=rep1&amp;type=pdf" TargetMode="External"/><Relationship Id="rId9" Type="http://schemas.microsoft.com/office/2017/10/relationships/threadedComment" Target="../threadedComments/threadedComment2.xml"/></Relationships>
</file>

<file path=xl/worksheets/_rels/sheet30.xml.rels><?xml version="1.0" encoding="UTF-8" standalone="yes"?>
<Relationships xmlns="http://schemas.openxmlformats.org/package/2006/relationships"><Relationship Id="rId13" Type="http://schemas.openxmlformats.org/officeDocument/2006/relationships/hyperlink" Target="https://www.gainhealth.org/sites/default/files/publications/documents/the-marketplace-for-nutritious-foods-rwanda-landscape-report-2016.pdf" TargetMode="External"/><Relationship Id="rId18" Type="http://schemas.openxmlformats.org/officeDocument/2006/relationships/hyperlink" Target="https://taarifa.rw/china-turns-to-rwanda-for-fresh-pepper-french-beans/" TargetMode="External"/><Relationship Id="rId26" Type="http://schemas.openxmlformats.org/officeDocument/2006/relationships/hyperlink" Target="https://agoa.info/images/documents/6212/rwanda-agoa-strategyr.pdf" TargetMode="External"/><Relationship Id="rId3" Type="http://schemas.openxmlformats.org/officeDocument/2006/relationships/hyperlink" Target="https://www.newtimes.co.rw/business/market-watch-tomatoes-onions-prices-kigali" TargetMode="External"/><Relationship Id="rId21" Type="http://schemas.openxmlformats.org/officeDocument/2006/relationships/hyperlink" Target="https://agoa.info/images/documents/6212/rwanda-agoa-strategyr,pdf" TargetMode="External"/><Relationship Id="rId34" Type="http://schemas.openxmlformats.org/officeDocument/2006/relationships/printerSettings" Target="../printerSettings/printerSettings29.bin"/><Relationship Id="rId7" Type="http://schemas.openxmlformats.org/officeDocument/2006/relationships/hyperlink" Target="https://www.gainhealth.org/sites/default/files/publications/documents/the-marketplace-for-nutritious-foods-rwanda-landscape-report-2016.pdf" TargetMode="External"/><Relationship Id="rId12" Type="http://schemas.openxmlformats.org/officeDocument/2006/relationships/hyperlink" Target="https://www.gainhealth.org/sites/default/files/publications/documents/the-marketplace-for-nutritious-foods-rwanda-landscape-report-2016.pdf" TargetMode="External"/><Relationship Id="rId17" Type="http://schemas.openxmlformats.org/officeDocument/2006/relationships/hyperlink" Target="https://allafrica.com/stories/201911050039.html" TargetMode="External"/><Relationship Id="rId25" Type="http://schemas.openxmlformats.org/officeDocument/2006/relationships/hyperlink" Target="https://agoa.info/images/documents/6212/rwanda-agoa-strategyr.pdf" TargetMode="External"/><Relationship Id="rId33" Type="http://schemas.openxmlformats.org/officeDocument/2006/relationships/hyperlink" Target="https://agoa.info/images/documents/6212/rwanda-agoa-strategy.pdf" TargetMode="External"/><Relationship Id="rId2" Type="http://schemas.openxmlformats.org/officeDocument/2006/relationships/hyperlink" Target="https://www.newtimes.co.rw/business/market-watch-tomatoes-onions-prices-kigali" TargetMode="External"/><Relationship Id="rId16" Type="http://schemas.openxmlformats.org/officeDocument/2006/relationships/hyperlink" Target="https://horticulture.ucdavis.edu/sites/g/files/dgvnsk1816/files/extension_material_files/postharvest%20Loss%20Assessment%20of%20Tomatoes%20in%25Rwanda.pdf" TargetMode="External"/><Relationship Id="rId20" Type="http://schemas.openxmlformats.org/officeDocument/2006/relationships/hyperlink" Target="https://www.gainhealth.org/sites/default/files/publications/documents/the-marketplace-for-nutritious-foods-rwanda-landscape-report-2016.pdf" TargetMode="External"/><Relationship Id="rId29" Type="http://schemas.openxmlformats.org/officeDocument/2006/relationships/hyperlink" Target="https://www.tradewheel.com/p/high-quality-stainless-steel-304-food-689846/" TargetMode="External"/><Relationship Id="rId1" Type="http://schemas.openxmlformats.org/officeDocument/2006/relationships/hyperlink" Target="https://www.newtimes.co.rw/business/market-watch-tomatoes-onions-prices-kigali" TargetMode="External"/><Relationship Id="rId6" Type="http://schemas.openxmlformats.org/officeDocument/2006/relationships/hyperlink" Target="https://www.newtimes.co/rw/news/losses-horticulture-produce-stir-interest-value-addition-" TargetMode="External"/><Relationship Id="rId11" Type="http://schemas.openxmlformats.org/officeDocument/2006/relationships/hyperlink" Target="https://www.gainhealth.org/sites/default/files/publications/documents/the-marketplace-for-nutritious-foods-rwanda-landscape-report-2016.pdf" TargetMode="External"/><Relationship Id="rId24" Type="http://schemas.openxmlformats.org/officeDocument/2006/relationships/hyperlink" Target="https://agoa.info/images/documents/6212/rwanda-agoa-strategyr.pdf" TargetMode="External"/><Relationship Id="rId32" Type="http://schemas.openxmlformats.org/officeDocument/2006/relationships/hyperlink" Target="https://m.made-in-china,com/product/Dry-Fruits-Fully-Automatic-Packing-Machine-901463575.html" TargetMode="External"/><Relationship Id="rId5" Type="http://schemas.openxmlformats.org/officeDocument/2006/relationships/hyperlink" Target="https://www.newtimes.co.rw/business/market-watch-tomatoes-onions-prices-kigali" TargetMode="External"/><Relationship Id="rId15" Type="http://schemas.openxmlformats.org/officeDocument/2006/relationships/hyperlink" Target="https://www.gainhealth.org/sites/default/files/publications/documents/the-marketplace-for-nutritious-foods-rwanda-landscape-report-2016.pdf" TargetMode="External"/><Relationship Id="rId23" Type="http://schemas.openxmlformats.org/officeDocument/2006/relationships/hyperlink" Target="https://www.newtimes.co.rw/section/read/228945" TargetMode="External"/><Relationship Id="rId28" Type="http://schemas.openxmlformats.org/officeDocument/2006/relationships/hyperlink" Target="https://m.alibaba.com/amp/product/60760387059.html" TargetMode="External"/><Relationship Id="rId10" Type="http://schemas.openxmlformats.org/officeDocument/2006/relationships/hyperlink" Target="https://www.gainhealth.org/sites/default/files/publications/documents/the-marketplace-for-nutritious-foods-rwanda-landscape-report-2016.pdf" TargetMode="External"/><Relationship Id="rId19" Type="http://schemas.openxmlformats.org/officeDocument/2006/relationships/hyperlink" Target="https://www.kenyanews.go.ke/young-man-farming-french-beans/" TargetMode="External"/><Relationship Id="rId31" Type="http://schemas.openxmlformats.org/officeDocument/2006/relationships/hyperlink" Target="https://www.tradewheel.com/p/fruit-peeling-cutting-machine-vegetables-642597/" TargetMode="External"/><Relationship Id="rId4" Type="http://schemas.openxmlformats.org/officeDocument/2006/relationships/hyperlink" Target="https://www.newtimes.co.rw/business/market-watch-tomatoes-onions-prices-kigali" TargetMode="External"/><Relationship Id="rId9" Type="http://schemas.openxmlformats.org/officeDocument/2006/relationships/hyperlink" Target="https://www.gainhealth.org/sites/default/files/publications/documents/the-marketplace-for-nutritious-foods-rwanda-landscape-report-2016.pdf" TargetMode="External"/><Relationship Id="rId14" Type="http://schemas.openxmlformats.org/officeDocument/2006/relationships/hyperlink" Target="https://www.gainhealth.org/sites/default/files/publications/documents/the-marketplace-for-nutritious-foods-rwanda-landscape-report-2016.pdf" TargetMode="External"/><Relationship Id="rId22" Type="http://schemas.openxmlformats.org/officeDocument/2006/relationships/hyperlink" Target="https://agoa.info/images/documents/6212/rwanda-agoa-strategyr,pdf" TargetMode="External"/><Relationship Id="rId27" Type="http://schemas.openxmlformats.org/officeDocument/2006/relationships/hyperlink" Target="https://www,cytonn.com/downloads/Kigali-real-estate-investment-opportunity-january-2018" TargetMode="External"/><Relationship Id="rId30" Type="http://schemas.openxmlformats.org/officeDocument/2006/relationships/hyperlink" Target="https://www.tradewheel.com/p/precooling-machinevacuum-vegetable-cooling-machine-6899813/" TargetMode="External"/><Relationship Id="rId8" Type="http://schemas.openxmlformats.org/officeDocument/2006/relationships/hyperlink" Target="https://www.gainhealth.org/sites/default/files/publications/documents/the-marketplace-for-nutritious-foods-rwanda-landscape-report-2016.pdf" TargetMode="External"/></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4.xml.rels><?xml version="1.0" encoding="UTF-8" standalone="yes"?>
<Relationships xmlns="http://schemas.openxmlformats.org/package/2006/relationships"><Relationship Id="rId8" Type="http://schemas.openxmlformats.org/officeDocument/2006/relationships/comments" Target="../comments3.xml"/><Relationship Id="rId3" Type="http://schemas.openxmlformats.org/officeDocument/2006/relationships/hyperlink" Target="https://www.osti.gov/biblio/6765757" TargetMode="External"/><Relationship Id="rId7" Type="http://schemas.openxmlformats.org/officeDocument/2006/relationships/vmlDrawing" Target="../drawings/vmlDrawing3.vml"/><Relationship Id="rId2" Type="http://schemas.openxmlformats.org/officeDocument/2006/relationships/hyperlink" Target="https://www.sica.int/download/?124297" TargetMode="External"/><Relationship Id="rId1" Type="http://schemas.openxmlformats.org/officeDocument/2006/relationships/hyperlink" Target="https://pangea.stanford.edu/ERE/pdf/IGAstandard/ISS/2003Turkey/s.p.vasilevska.pdf" TargetMode="External"/><Relationship Id="rId6" Type="http://schemas.openxmlformats.org/officeDocument/2006/relationships/drawing" Target="../drawings/drawing3.xml"/><Relationship Id="rId5" Type="http://schemas.openxmlformats.org/officeDocument/2006/relationships/printerSettings" Target="../printerSettings/printerSettings4.bin"/><Relationship Id="rId4" Type="http://schemas.openxmlformats.org/officeDocument/2006/relationships/hyperlink" Target="http://citeseerx.ist.psu.edu/viewdoc/download?doi=10.1.1.510.6103&amp;rep=rep1&amp;type=pdf" TargetMode="External"/><Relationship Id="rId9" Type="http://schemas.microsoft.com/office/2017/10/relationships/threadedComment" Target="../threadedComments/threadedComment3.xml"/></Relationships>
</file>

<file path=xl/worksheets/_rels/sheet5.xml.rels><?xml version="1.0" encoding="UTF-8" standalone="yes"?>
<Relationships xmlns="http://schemas.openxmlformats.org/package/2006/relationships"><Relationship Id="rId8" Type="http://schemas.openxmlformats.org/officeDocument/2006/relationships/drawing" Target="../drawings/drawing4.xml"/><Relationship Id="rId3" Type="http://schemas.openxmlformats.org/officeDocument/2006/relationships/hyperlink" Target="http://www.knowledgebank.irri.org/step-by-step-production/postharvest/drying/economic-aspects-of-drying" TargetMode="External"/><Relationship Id="rId7" Type="http://schemas.openxmlformats.org/officeDocument/2006/relationships/printerSettings" Target="../printerSettings/printerSettings5.bin"/><Relationship Id="rId2" Type="http://schemas.openxmlformats.org/officeDocument/2006/relationships/hyperlink" Target="https://www.uaex.edu/farm-ranch/crops-commercial-horticulture/Grain_drying_and_storage/rice_drying_and_storage.aspx" TargetMode="External"/><Relationship Id="rId1" Type="http://schemas.openxmlformats.org/officeDocument/2006/relationships/hyperlink" Target="http://www.knowledgebank.irri.org/step-by-step-production/postharvest/drying" TargetMode="External"/><Relationship Id="rId6" Type="http://schemas.openxmlformats.org/officeDocument/2006/relationships/hyperlink" Target="https://web.archive.org/web/20120711162812/http:/www.knowledgebank.irri.org:80/rkb/index.php/examples-of-dryers" TargetMode="External"/><Relationship Id="rId11" Type="http://schemas.microsoft.com/office/2017/10/relationships/threadedComment" Target="../threadedComments/threadedComment4.xml"/><Relationship Id="rId5" Type="http://schemas.openxmlformats.org/officeDocument/2006/relationships/hyperlink" Target="http://www.knowledgebank.irri.org/step-by-step-production/postharvest/drying/mechanical-drying-systems/examples-of-mechanical-dryers" TargetMode="External"/><Relationship Id="rId10" Type="http://schemas.openxmlformats.org/officeDocument/2006/relationships/comments" Target="../comments4.xml"/><Relationship Id="rId4" Type="http://schemas.openxmlformats.org/officeDocument/2006/relationships/hyperlink" Target="http://www.knowledgebank.irri.org/training/fact-sheets/postharvest-management/drying-fact-sheet-category/item/vietnamese-flat-bed-dryers-sgh4-and-sgh8-fact-sheet" TargetMode="External"/><Relationship Id="rId9" Type="http://schemas.openxmlformats.org/officeDocument/2006/relationships/vmlDrawing" Target="../drawings/vmlDrawing4.v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6.bin"/><Relationship Id="rId5" Type="http://schemas.microsoft.com/office/2017/10/relationships/threadedComment" Target="../threadedComments/threadedComment5.xml"/><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8" Type="http://schemas.microsoft.com/office/2017/10/relationships/threadedComment" Target="../threadedComments/threadedComment6.xml"/><Relationship Id="rId3" Type="http://schemas.openxmlformats.org/officeDocument/2006/relationships/hyperlink" Target="https://www.energy.gov/sites/prod/files/2016/02/f29/jemezpueblo05final.pdf" TargetMode="External"/><Relationship Id="rId7" Type="http://schemas.openxmlformats.org/officeDocument/2006/relationships/comments" Target="../comments6.xml"/><Relationship Id="rId2" Type="http://schemas.openxmlformats.org/officeDocument/2006/relationships/hyperlink" Target="https://orkustofnun.is/gogn/unu-gtp-report/UNU-GTP-2015-21.pdf&#160;" TargetMode="External"/><Relationship Id="rId1" Type="http://schemas.openxmlformats.org/officeDocument/2006/relationships/hyperlink" Target="https://orkustofnun.is/gogn/unu-gtp-report/UNU-GTP-2013-09.pdf" TargetMode="External"/><Relationship Id="rId6" Type="http://schemas.openxmlformats.org/officeDocument/2006/relationships/vmlDrawing" Target="../drawings/vmlDrawing6.vml"/><Relationship Id="rId5" Type="http://schemas.openxmlformats.org/officeDocument/2006/relationships/drawing" Target="../drawings/drawing6.xml"/><Relationship Id="rId4"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8.bin"/><Relationship Id="rId5" Type="http://schemas.microsoft.com/office/2017/10/relationships/threadedComment" Target="../threadedComments/threadedComment7.xml"/><Relationship Id="rId4" Type="http://schemas.openxmlformats.org/officeDocument/2006/relationships/comments" Target="../comments7.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9.bin"/><Relationship Id="rId5" Type="http://schemas.microsoft.com/office/2017/10/relationships/threadedComment" Target="../threadedComments/threadedComment8.xml"/><Relationship Id="rId4" Type="http://schemas.openxmlformats.org/officeDocument/2006/relationships/comments" Target="../comments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8" tint="0.39997558519241921"/>
  </sheetPr>
  <dimension ref="B1:L50"/>
  <sheetViews>
    <sheetView showGridLines="0" zoomScale="80" zoomScaleNormal="80" workbookViewId="0">
      <selection activeCell="H10" sqref="H10"/>
    </sheetView>
  </sheetViews>
  <sheetFormatPr defaultRowHeight="14.4" x14ac:dyDescent="0.3"/>
  <cols>
    <col min="1" max="1" width="2" customWidth="1"/>
    <col min="3" max="3" width="17.44140625" customWidth="1"/>
    <col min="4" max="4" width="19" customWidth="1"/>
    <col min="5" max="5" width="2.44140625" customWidth="1"/>
    <col min="7" max="7" width="17.44140625" customWidth="1"/>
    <col min="8" max="8" width="18" customWidth="1"/>
    <col min="9" max="9" width="2.6640625" customWidth="1"/>
    <col min="11" max="11" width="20" customWidth="1"/>
    <col min="12" max="12" width="18.6640625" customWidth="1"/>
  </cols>
  <sheetData>
    <row r="1" spans="2:12" ht="6.75" customHeight="1" x14ac:dyDescent="0.3"/>
    <row r="2" spans="2:12" x14ac:dyDescent="0.3">
      <c r="B2" s="775" t="s">
        <v>723</v>
      </c>
      <c r="C2" s="776"/>
      <c r="D2" s="777"/>
      <c r="F2" s="775" t="s">
        <v>740</v>
      </c>
      <c r="G2" s="776"/>
      <c r="H2" s="777"/>
      <c r="J2" s="775" t="s">
        <v>741</v>
      </c>
      <c r="K2" s="776"/>
      <c r="L2" s="777"/>
    </row>
    <row r="3" spans="2:12" x14ac:dyDescent="0.3">
      <c r="B3" s="277" t="s">
        <v>751</v>
      </c>
      <c r="C3" s="66"/>
      <c r="D3" s="438">
        <f>Fish_CashFlows!I4</f>
        <v>65604</v>
      </c>
      <c r="F3" s="277" t="s">
        <v>751</v>
      </c>
      <c r="G3" s="66"/>
      <c r="H3" s="438">
        <f>Fruit_CashFlows!I4</f>
        <v>39089.050000000025</v>
      </c>
      <c r="J3" s="277" t="s">
        <v>751</v>
      </c>
      <c r="K3" s="66"/>
      <c r="L3" s="438">
        <f>Veg_CashFlows!I4</f>
        <v>78178.100000000049</v>
      </c>
    </row>
    <row r="4" spans="2:12" x14ac:dyDescent="0.3">
      <c r="B4" s="62" t="s">
        <v>736</v>
      </c>
      <c r="C4" s="68"/>
      <c r="D4" s="515">
        <f>Fish_CashFlows!P4</f>
        <v>640738.20374728483</v>
      </c>
      <c r="F4" s="62" t="s">
        <v>736</v>
      </c>
      <c r="G4" s="68"/>
      <c r="H4" s="514">
        <f>Fruit_CashFlows!P4</f>
        <v>357214.25835282577</v>
      </c>
      <c r="J4" s="62" t="s">
        <v>736</v>
      </c>
      <c r="K4" s="68"/>
      <c r="L4" s="514">
        <f>Veg_CashFlows!P4</f>
        <v>325810.55911402288</v>
      </c>
    </row>
    <row r="5" spans="2:12" x14ac:dyDescent="0.3">
      <c r="B5" s="62" t="s">
        <v>737</v>
      </c>
      <c r="C5" s="68"/>
      <c r="D5" s="515">
        <f>Fish_CashFlows!AG4</f>
        <v>597158.04247447278</v>
      </c>
      <c r="F5" s="62" t="s">
        <v>737</v>
      </c>
      <c r="G5" s="68"/>
      <c r="H5" s="514">
        <f>Fruit_CashFlows!AG4</f>
        <v>284581.30584865651</v>
      </c>
      <c r="J5" s="62" t="s">
        <v>737</v>
      </c>
      <c r="K5" s="68"/>
      <c r="L5" s="514">
        <f>Veg_CashFlows!AG4</f>
        <v>277232.98822977667</v>
      </c>
    </row>
    <row r="6" spans="2:12" x14ac:dyDescent="0.3">
      <c r="B6" s="62" t="s">
        <v>738</v>
      </c>
      <c r="C6" s="68"/>
      <c r="D6" s="515">
        <f>Fish_CashFlows!AH4</f>
        <v>43580.161272812009</v>
      </c>
      <c r="F6" s="62" t="s">
        <v>738</v>
      </c>
      <c r="G6" s="68"/>
      <c r="H6" s="514">
        <f>Fruit_CashFlows!AH4</f>
        <v>72632.952504169371</v>
      </c>
      <c r="J6" s="62" t="s">
        <v>738</v>
      </c>
      <c r="K6" s="68"/>
      <c r="L6" s="514">
        <f>Veg_CashFlows!AH4</f>
        <v>48577.570884246241</v>
      </c>
    </row>
    <row r="7" spans="2:12" x14ac:dyDescent="0.3">
      <c r="B7" s="62" t="s">
        <v>216</v>
      </c>
      <c r="C7" s="68"/>
      <c r="D7" s="341">
        <f>Fish_CashFlows!BP9-Fish_CashFlows!BP11</f>
        <v>507350.73038049228</v>
      </c>
      <c r="F7" s="62" t="s">
        <v>216</v>
      </c>
      <c r="G7" s="68"/>
      <c r="H7" s="515">
        <f>Fruit_CashFlows!BP9-Fruit_CashFlows!BP11</f>
        <v>937961.93266281649</v>
      </c>
      <c r="J7" s="62" t="s">
        <v>216</v>
      </c>
      <c r="K7" s="68"/>
      <c r="L7" s="515">
        <f>Veg_CashFlows!BP9-Veg_CashFlows!BP11</f>
        <v>597851.42389844905</v>
      </c>
    </row>
    <row r="8" spans="2:12" x14ac:dyDescent="0.3">
      <c r="B8" s="62" t="s">
        <v>217</v>
      </c>
      <c r="C8" s="68"/>
      <c r="D8" s="341">
        <f>Fish_CashFlows!BP9</f>
        <v>426759.94013174821</v>
      </c>
      <c r="F8" s="62" t="s">
        <v>217</v>
      </c>
      <c r="G8" s="68"/>
      <c r="H8" s="515">
        <f>Fruit_CashFlows!BP9</f>
        <v>854919.0365371888</v>
      </c>
      <c r="J8" s="62" t="s">
        <v>217</v>
      </c>
      <c r="K8" s="68"/>
      <c r="L8" s="515">
        <f>Veg_CashFlows!BP9</f>
        <v>510645.73387149483</v>
      </c>
    </row>
    <row r="9" spans="2:12" x14ac:dyDescent="0.3">
      <c r="B9" s="62" t="s">
        <v>218</v>
      </c>
      <c r="C9" s="68"/>
      <c r="D9" s="342">
        <f>Fish_CashFlows!BP9/Fish_Inputs!G15</f>
        <v>5.2953934167235568</v>
      </c>
      <c r="F9" s="62" t="s">
        <v>218</v>
      </c>
      <c r="G9" s="68"/>
      <c r="H9" s="516">
        <f>Fruit_CashFlows!BP9/Fruit_Inputs!G15</f>
        <v>10.294908732998231</v>
      </c>
      <c r="J9" s="62" t="s">
        <v>218</v>
      </c>
      <c r="K9" s="68"/>
      <c r="L9" s="516">
        <f>Veg_CashFlows!BP9/Veg_Inputs!G15</f>
        <v>5.8556469619546689</v>
      </c>
    </row>
    <row r="10" spans="2:12" x14ac:dyDescent="0.3">
      <c r="B10" s="343" t="s">
        <v>221</v>
      </c>
      <c r="C10" s="172"/>
      <c r="D10" s="344">
        <f>Fish_CashFlows!BP4</f>
        <v>0.11548272775149648</v>
      </c>
      <c r="F10" s="343" t="s">
        <v>221</v>
      </c>
      <c r="G10" s="172"/>
      <c r="H10" s="517">
        <f>Fruit_CashFlows!BP4</f>
        <v>0.20523381936067775</v>
      </c>
      <c r="J10" s="343" t="s">
        <v>221</v>
      </c>
      <c r="K10" s="172"/>
      <c r="L10" s="517">
        <f>Veg_CashFlows!BP4</f>
        <v>0.12864344597335342</v>
      </c>
    </row>
    <row r="11" spans="2:12" x14ac:dyDescent="0.3">
      <c r="B11" s="62" t="s">
        <v>220</v>
      </c>
      <c r="C11" s="68"/>
      <c r="D11" s="345">
        <f>Fish_CashFlows!AY4</f>
        <v>0.13840690421538948</v>
      </c>
      <c r="F11" s="62" t="s">
        <v>220</v>
      </c>
      <c r="G11" s="68"/>
      <c r="H11" s="518">
        <f>Fruit_CashFlows!AY4</f>
        <v>0.21876663947048014</v>
      </c>
      <c r="J11" s="62" t="s">
        <v>220</v>
      </c>
      <c r="K11" s="68"/>
      <c r="L11" s="518">
        <f>Veg_CashFlows!AY4</f>
        <v>0.13587105789433407</v>
      </c>
    </row>
    <row r="12" spans="2:12" x14ac:dyDescent="0.3">
      <c r="B12" s="62" t="s">
        <v>219</v>
      </c>
      <c r="C12" s="68"/>
      <c r="D12" s="726">
        <f>Fish_CashFlows!BU4</f>
        <v>13</v>
      </c>
      <c r="F12" s="62" t="s">
        <v>219</v>
      </c>
      <c r="G12" s="68"/>
      <c r="H12" s="511">
        <f>Fruit_CashFlows!BU4</f>
        <v>8</v>
      </c>
      <c r="J12" s="62" t="s">
        <v>219</v>
      </c>
      <c r="K12" s="68"/>
      <c r="L12" s="511">
        <f>Veg_CashFlows!BU4</f>
        <v>12</v>
      </c>
    </row>
    <row r="13" spans="2:12" x14ac:dyDescent="0.3">
      <c r="B13" s="62" t="s">
        <v>868</v>
      </c>
      <c r="C13" s="68"/>
      <c r="D13" s="727">
        <f>Fish_CashFlows!BJ4</f>
        <v>0.98857403672289124</v>
      </c>
      <c r="F13" s="62" t="s">
        <v>868</v>
      </c>
      <c r="G13" s="68"/>
      <c r="H13" s="727">
        <f>Fruit_CashFlows!BJ4</f>
        <v>1.1899498994597766</v>
      </c>
      <c r="J13" s="62" t="s">
        <v>868</v>
      </c>
      <c r="K13" s="68"/>
      <c r="L13" s="727">
        <f>Veg_CashFlows!BJ4</f>
        <v>1.04716819963105</v>
      </c>
    </row>
    <row r="14" spans="2:12" x14ac:dyDescent="0.3">
      <c r="B14" s="287" t="s">
        <v>869</v>
      </c>
      <c r="C14" s="326"/>
      <c r="D14" s="728">
        <f>Fish_CashFlows!BK4</f>
        <v>0.88261361651162995</v>
      </c>
      <c r="F14" s="287" t="s">
        <v>869</v>
      </c>
      <c r="G14" s="326"/>
      <c r="H14" s="728">
        <f>Fruit_CashFlows!BK4</f>
        <v>1.0919426772746426</v>
      </c>
      <c r="J14" s="287" t="s">
        <v>869</v>
      </c>
      <c r="K14" s="326"/>
      <c r="L14" s="728">
        <f>Veg_CashFlows!BK4</f>
        <v>0.96317811020909427</v>
      </c>
    </row>
    <row r="16" spans="2:12" x14ac:dyDescent="0.3">
      <c r="B16" s="775" t="s">
        <v>742</v>
      </c>
      <c r="C16" s="776"/>
      <c r="D16" s="777"/>
      <c r="F16" s="775" t="s">
        <v>743</v>
      </c>
      <c r="G16" s="776"/>
      <c r="H16" s="777"/>
      <c r="J16" s="775" t="s">
        <v>746</v>
      </c>
      <c r="K16" s="776"/>
      <c r="L16" s="777"/>
    </row>
    <row r="17" spans="2:12" x14ac:dyDescent="0.3">
      <c r="B17" s="277" t="s">
        <v>751</v>
      </c>
      <c r="C17" s="66"/>
      <c r="D17" s="438">
        <f>Rice_CashFlows!I4</f>
        <v>1539544.1860465123</v>
      </c>
      <c r="F17" s="277" t="s">
        <v>751</v>
      </c>
      <c r="G17" s="66"/>
      <c r="H17" s="438">
        <f>Pyre_CashFlows!I4</f>
        <v>20074.824000000004</v>
      </c>
      <c r="J17" s="277" t="s">
        <v>752</v>
      </c>
      <c r="K17" s="66"/>
      <c r="L17" s="438">
        <f>Spa_CashFlows!G4</f>
        <v>14000</v>
      </c>
    </row>
    <row r="18" spans="2:12" x14ac:dyDescent="0.3">
      <c r="B18" s="62" t="s">
        <v>736</v>
      </c>
      <c r="C18" s="68"/>
      <c r="D18" s="514">
        <f>Rice_CashFlows!P4</f>
        <v>2356697.6290475349</v>
      </c>
      <c r="F18" s="62" t="s">
        <v>736</v>
      </c>
      <c r="G18" s="68"/>
      <c r="H18" s="514">
        <f>Pyre_CashFlows!P4</f>
        <v>78433.765716784823</v>
      </c>
      <c r="J18" s="62" t="s">
        <v>736</v>
      </c>
      <c r="K18" s="68"/>
      <c r="L18" s="514">
        <f>Spa_CashFlows!V4</f>
        <v>148431.00525332708</v>
      </c>
    </row>
    <row r="19" spans="2:12" x14ac:dyDescent="0.3">
      <c r="B19" s="62" t="s">
        <v>737</v>
      </c>
      <c r="C19" s="68"/>
      <c r="D19" s="514">
        <f>Rice_CashFlows!AG4</f>
        <v>2150154.6762393736</v>
      </c>
      <c r="F19" s="62" t="s">
        <v>737</v>
      </c>
      <c r="G19" s="68"/>
      <c r="H19" s="514">
        <f>Pyre_CashFlows!AG4</f>
        <v>138563.67125024251</v>
      </c>
      <c r="J19" s="62" t="s">
        <v>737</v>
      </c>
      <c r="K19" s="68"/>
      <c r="L19" s="514">
        <f>Spa_CashFlows!AM4</f>
        <v>167894.00996797575</v>
      </c>
    </row>
    <row r="20" spans="2:12" x14ac:dyDescent="0.3">
      <c r="B20" s="62" t="s">
        <v>738</v>
      </c>
      <c r="C20" s="68"/>
      <c r="D20" s="514">
        <f>Rice_CashFlows!AH4</f>
        <v>206542.95280816182</v>
      </c>
      <c r="F20" s="62" t="s">
        <v>738</v>
      </c>
      <c r="G20" s="68"/>
      <c r="H20" s="514" t="e">
        <f>Pyre_CashFlows!AH4</f>
        <v>#DIV/0!</v>
      </c>
      <c r="J20" s="62" t="s">
        <v>738</v>
      </c>
      <c r="K20" s="68"/>
      <c r="L20" s="514" t="e">
        <f>Spa_CashFlows!AN4</f>
        <v>#DIV/0!</v>
      </c>
    </row>
    <row r="21" spans="2:12" x14ac:dyDescent="0.3">
      <c r="B21" s="62" t="s">
        <v>216</v>
      </c>
      <c r="C21" s="68"/>
      <c r="D21" s="515">
        <f>Rice_CashFlows!BP9-Rice_CashFlows!BP11</f>
        <v>2978128.3182976302</v>
      </c>
      <c r="F21" s="62" t="s">
        <v>216</v>
      </c>
      <c r="G21" s="68"/>
      <c r="H21" s="515">
        <f>Pyre_CashFlows!BP9-Pyre_CashFlows!BP11</f>
        <v>-1867352.8160561174</v>
      </c>
      <c r="J21" s="62" t="s">
        <v>216</v>
      </c>
      <c r="K21" s="68"/>
      <c r="L21" s="515">
        <f>Spa_CashFlows!BV9-Spa_CashFlows!BV11</f>
        <v>-1547790.9102439315</v>
      </c>
    </row>
    <row r="22" spans="2:12" x14ac:dyDescent="0.3">
      <c r="B22" s="62" t="s">
        <v>217</v>
      </c>
      <c r="C22" s="68"/>
      <c r="D22" s="515">
        <f>Rice_CashFlows!BP9</f>
        <v>2819485.4221720025</v>
      </c>
      <c r="F22" s="62" t="s">
        <v>217</v>
      </c>
      <c r="G22" s="68"/>
      <c r="H22" s="515">
        <f>Pyre_CashFlows!BP9</f>
        <v>-1955645.3723033557</v>
      </c>
      <c r="J22" s="62" t="s">
        <v>217</v>
      </c>
      <c r="K22" s="68"/>
      <c r="L22" s="515">
        <f>Spa_CashFlows!BV9</f>
        <v>-1812300.9102439315</v>
      </c>
    </row>
    <row r="23" spans="2:12" x14ac:dyDescent="0.3">
      <c r="B23" s="62" t="s">
        <v>218</v>
      </c>
      <c r="C23" s="68"/>
      <c r="D23" s="516">
        <f>Rice_CashFlows!BP9/Rice_Inputs!G15</f>
        <v>17.772528685679575</v>
      </c>
      <c r="F23" s="62" t="s">
        <v>218</v>
      </c>
      <c r="G23" s="68"/>
      <c r="H23" s="516">
        <f>Pyre_CashFlows!BP9/Pyre_Inputs!G15</f>
        <v>-22.14960643824973</v>
      </c>
      <c r="J23" s="62" t="s">
        <v>218</v>
      </c>
      <c r="K23" s="68"/>
      <c r="L23" s="516">
        <f>Spa_CashFlows!BV9/Spas_Inputs!G15</f>
        <v>-6.8515402451473726</v>
      </c>
    </row>
    <row r="24" spans="2:12" x14ac:dyDescent="0.3">
      <c r="B24" s="343" t="s">
        <v>221</v>
      </c>
      <c r="C24" s="172"/>
      <c r="D24" s="517">
        <f>Rice_CashFlows!BP4</f>
        <v>0.45416044001521527</v>
      </c>
      <c r="F24" s="343" t="s">
        <v>221</v>
      </c>
      <c r="G24" s="172"/>
      <c r="H24" s="517" t="str">
        <f>Pyre_CashFlows!BP4</f>
        <v>NEG IRR</v>
      </c>
      <c r="J24" s="343" t="s">
        <v>221</v>
      </c>
      <c r="K24" s="172"/>
      <c r="L24" s="517" t="str">
        <f>Spa_CashFlows!BV4</f>
        <v>NEG IRR</v>
      </c>
    </row>
    <row r="25" spans="2:12" x14ac:dyDescent="0.3">
      <c r="B25" s="62" t="s">
        <v>220</v>
      </c>
      <c r="C25" s="68"/>
      <c r="D25" s="518">
        <f>Rice_CashFlows!AY4</f>
        <v>0.31407571872835827</v>
      </c>
      <c r="F25" s="62" t="s">
        <v>220</v>
      </c>
      <c r="G25" s="68"/>
      <c r="H25" s="518" t="e">
        <f>Pyre_CashFlows!AY4</f>
        <v>#NUM!</v>
      </c>
      <c r="J25" s="62" t="s">
        <v>220</v>
      </c>
      <c r="K25" s="68"/>
      <c r="L25" s="518" t="e">
        <f>Spa_CashFlows!BE4</f>
        <v>#NUM!</v>
      </c>
    </row>
    <row r="26" spans="2:12" x14ac:dyDescent="0.3">
      <c r="B26" s="62" t="s">
        <v>219</v>
      </c>
      <c r="C26" s="68"/>
      <c r="D26" s="511">
        <f>Rice_CashFlows!BU4</f>
        <v>3</v>
      </c>
      <c r="F26" s="62" t="s">
        <v>219</v>
      </c>
      <c r="G26" s="68"/>
      <c r="H26" s="511" t="e">
        <f>Pyre_CashFlows!BU4</f>
        <v>#N/A</v>
      </c>
      <c r="J26" s="62" t="s">
        <v>219</v>
      </c>
      <c r="K26" s="68"/>
      <c r="L26" s="511" t="e">
        <f>Spa_CashFlows!CA4</f>
        <v>#N/A</v>
      </c>
    </row>
    <row r="27" spans="2:12" x14ac:dyDescent="0.3">
      <c r="B27" s="62" t="s">
        <v>868</v>
      </c>
      <c r="C27" s="68"/>
      <c r="D27" s="727">
        <f>Rice_CashFlows!BJ4</f>
        <v>1.6840332098499347</v>
      </c>
      <c r="F27" s="62" t="s">
        <v>868</v>
      </c>
      <c r="G27" s="68"/>
      <c r="H27" s="727" t="e">
        <f>Pyre_CashFlows!BJ4</f>
        <v>#DIV/0!</v>
      </c>
      <c r="J27" s="62" t="s">
        <v>868</v>
      </c>
      <c r="K27" s="68"/>
      <c r="L27" s="727" t="e">
        <f>Spa_CashFlows!BP4</f>
        <v>#DIV/0!</v>
      </c>
    </row>
    <row r="28" spans="2:12" x14ac:dyDescent="0.3">
      <c r="B28" s="287" t="s">
        <v>869</v>
      </c>
      <c r="C28" s="326"/>
      <c r="D28" s="728">
        <f>Rice_CashFlows!BK4</f>
        <v>1.582628967922292</v>
      </c>
      <c r="F28" s="287" t="s">
        <v>869</v>
      </c>
      <c r="G28" s="326"/>
      <c r="H28" s="728">
        <f>Pyre_CashFlows!BK4</f>
        <v>-1.5950656523378124</v>
      </c>
      <c r="J28" s="287" t="s">
        <v>869</v>
      </c>
      <c r="K28" s="326"/>
      <c r="L28" s="728">
        <f>Spa_CashFlows!BQ4</f>
        <v>-0.1775516295338109</v>
      </c>
    </row>
    <row r="30" spans="2:12" x14ac:dyDescent="0.3">
      <c r="B30" s="775" t="s">
        <v>745</v>
      </c>
      <c r="C30" s="776"/>
      <c r="D30" s="777"/>
      <c r="F30" s="775" t="s">
        <v>744</v>
      </c>
      <c r="G30" s="776"/>
      <c r="H30" s="777"/>
      <c r="J30" s="775" t="s">
        <v>747</v>
      </c>
      <c r="K30" s="776"/>
      <c r="L30" s="777"/>
    </row>
    <row r="31" spans="2:12" x14ac:dyDescent="0.3">
      <c r="B31" s="277" t="s">
        <v>854</v>
      </c>
      <c r="C31" s="66"/>
      <c r="D31" s="637">
        <f>Tob_Retro_CashFlows!H4</f>
        <v>191453.09590392758</v>
      </c>
      <c r="F31" s="277" t="s">
        <v>854</v>
      </c>
      <c r="G31" s="66"/>
      <c r="H31" s="637">
        <f>Tea_Retro_CashFlows!H4</f>
        <v>272662.15528481663</v>
      </c>
      <c r="J31" s="277" t="s">
        <v>854</v>
      </c>
      <c r="K31" s="66"/>
      <c r="L31" s="637">
        <f>Hatchery_Retro_CashFlows!H4</f>
        <v>12936.392036867404</v>
      </c>
    </row>
    <row r="32" spans="2:12" x14ac:dyDescent="0.3">
      <c r="B32" s="62" t="s">
        <v>216</v>
      </c>
      <c r="C32" s="68"/>
      <c r="D32" s="515">
        <f>Tob_Retro_CashFlows!AP9-Tob_Retro_CashFlows!AP11</f>
        <v>2926510.4346534316</v>
      </c>
      <c r="F32" s="62" t="s">
        <v>216</v>
      </c>
      <c r="G32" s="68"/>
      <c r="H32" s="515">
        <f>Tea_Retro_CashFlows!AP9-Tea_Retro_CashFlows!AP11</f>
        <v>4275099.2040321333</v>
      </c>
      <c r="J32" s="62" t="s">
        <v>216</v>
      </c>
      <c r="K32" s="68"/>
      <c r="L32" s="515">
        <f>Hatchery_Retro_CashFlows!AP9-Hatchery_Retro_CashFlows!AP11</f>
        <v>158550.045237721</v>
      </c>
    </row>
    <row r="33" spans="2:12" x14ac:dyDescent="0.3">
      <c r="B33" s="62" t="s">
        <v>217</v>
      </c>
      <c r="C33" s="68"/>
      <c r="D33" s="515">
        <f>Tob_Retro_CashFlows!AP9</f>
        <v>2779960.4346534316</v>
      </c>
      <c r="F33" s="62" t="s">
        <v>217</v>
      </c>
      <c r="G33" s="68"/>
      <c r="H33" s="515">
        <f>Tea_Retro_CashFlows!AP9</f>
        <v>4239549.2040321333</v>
      </c>
      <c r="J33" s="62" t="s">
        <v>217</v>
      </c>
      <c r="K33" s="68"/>
      <c r="L33" s="515">
        <f>Hatchery_Retro_CashFlows!AP9</f>
        <v>129000.045237721</v>
      </c>
    </row>
    <row r="34" spans="2:12" x14ac:dyDescent="0.3">
      <c r="B34" s="62" t="s">
        <v>218</v>
      </c>
      <c r="C34" s="68"/>
      <c r="D34" s="516">
        <f>Tob_Retro_CashFlows!AP9/Tobacco_Retrofit!G15</f>
        <v>18.969364958399396</v>
      </c>
      <c r="F34" s="62" t="s">
        <v>218</v>
      </c>
      <c r="G34" s="68"/>
      <c r="H34" s="516">
        <f>Tea_Retro_CashFlows!AP9/Tea_Retrofit!G15</f>
        <v>119.25595510638912</v>
      </c>
      <c r="J34" s="62" t="s">
        <v>218</v>
      </c>
      <c r="K34" s="68"/>
      <c r="L34" s="516">
        <f>Hatchery_Retro_CashFlows!AP9/Hatchery_Retrofit!G15</f>
        <v>4.3654837643898814</v>
      </c>
    </row>
    <row r="35" spans="2:12" x14ac:dyDescent="0.3">
      <c r="B35" s="343" t="s">
        <v>221</v>
      </c>
      <c r="C35" s="172"/>
      <c r="D35" s="517">
        <f>Tob_Retro_CashFlows!AP4</f>
        <v>0.59319828331326141</v>
      </c>
      <c r="F35" s="343" t="s">
        <v>221</v>
      </c>
      <c r="G35" s="172"/>
      <c r="H35" s="517">
        <f>Tea_Retro_CashFlows!AP4</f>
        <v>4.8384766942850943</v>
      </c>
      <c r="J35" s="343" t="s">
        <v>221</v>
      </c>
      <c r="K35" s="172"/>
      <c r="L35" s="517">
        <f>Hatchery_Retro_CashFlows!AP4</f>
        <v>0.10362923223395692</v>
      </c>
    </row>
    <row r="36" spans="2:12" x14ac:dyDescent="0.3">
      <c r="B36" s="62" t="s">
        <v>220</v>
      </c>
      <c r="C36" s="68"/>
      <c r="D36" s="518">
        <f>Tob_Retro_CashFlows!Y4</f>
        <v>0.30955587235800763</v>
      </c>
      <c r="F36" s="62" t="s">
        <v>220</v>
      </c>
      <c r="G36" s="68"/>
      <c r="H36" s="518">
        <f>Tea_Retro_CashFlows!Y4</f>
        <v>1.6875475546760899</v>
      </c>
      <c r="J36" s="62" t="s">
        <v>220</v>
      </c>
      <c r="K36" s="68"/>
      <c r="L36" s="518">
        <f>Hatchery_Retro_CashFlows!Y4</f>
        <v>0.11033306417664424</v>
      </c>
    </row>
    <row r="37" spans="2:12" x14ac:dyDescent="0.3">
      <c r="B37" s="62" t="s">
        <v>219</v>
      </c>
      <c r="C37" s="68"/>
      <c r="D37" s="511">
        <f>Tob_Retro_CashFlows!AU4</f>
        <v>2</v>
      </c>
      <c r="F37" s="62" t="s">
        <v>219</v>
      </c>
      <c r="G37" s="68"/>
      <c r="H37" s="511">
        <f>Tea_Retro_CashFlows!AU4</f>
        <v>1</v>
      </c>
      <c r="J37" s="62" t="s">
        <v>219</v>
      </c>
      <c r="K37" s="68"/>
      <c r="L37" s="511">
        <f>Hatchery_Retro_CashFlows!AU4</f>
        <v>13</v>
      </c>
    </row>
    <row r="38" spans="2:12" x14ac:dyDescent="0.3">
      <c r="B38" s="62" t="s">
        <v>868</v>
      </c>
      <c r="C38" s="68"/>
      <c r="D38" s="727">
        <f>Tob_Retro_CashFlows!AJ4</f>
        <v>2.2392523938132531</v>
      </c>
      <c r="F38" s="62" t="s">
        <v>868</v>
      </c>
      <c r="G38" s="68"/>
      <c r="H38" s="727">
        <f>Tea_Retro_CashFlows!AJ4</f>
        <v>3.8209212630864413</v>
      </c>
      <c r="J38" s="62" t="s">
        <v>868</v>
      </c>
      <c r="K38" s="68"/>
      <c r="L38" s="727">
        <f>Hatchery_Retro_CashFlows!AJ4</f>
        <v>0.9855623754957421</v>
      </c>
    </row>
    <row r="39" spans="2:12" x14ac:dyDescent="0.3">
      <c r="B39" s="287" t="s">
        <v>869</v>
      </c>
      <c r="C39" s="326"/>
      <c r="D39" s="728">
        <f>Tob_Retro_CashFlows!AK4</f>
        <v>2.1307208881802189</v>
      </c>
      <c r="F39" s="287" t="s">
        <v>869</v>
      </c>
      <c r="G39" s="326"/>
      <c r="H39" s="728">
        <f>Tea_Retro_CashFlows!AK4</f>
        <v>2.9147711911306353</v>
      </c>
      <c r="J39" s="287" t="s">
        <v>869</v>
      </c>
      <c r="K39" s="326"/>
      <c r="L39" s="728">
        <f>Hatchery_Retro_CashFlows!AK4</f>
        <v>0.90373349607037301</v>
      </c>
    </row>
    <row r="41" spans="2:12" x14ac:dyDescent="0.3">
      <c r="B41" s="775" t="s">
        <v>748</v>
      </c>
      <c r="C41" s="776"/>
      <c r="D41" s="777"/>
      <c r="F41" s="775" t="s">
        <v>749</v>
      </c>
      <c r="G41" s="776"/>
      <c r="H41" s="777"/>
    </row>
    <row r="42" spans="2:12" x14ac:dyDescent="0.3">
      <c r="B42" s="277" t="s">
        <v>854</v>
      </c>
      <c r="C42" s="66"/>
      <c r="D42" s="637">
        <f>Greenhouse_Retro_CashFlows!H4</f>
        <v>18943.35042983614</v>
      </c>
      <c r="F42" s="277" t="s">
        <v>854</v>
      </c>
      <c r="G42" s="66"/>
      <c r="H42" s="637">
        <f>Milk_Retro_CashFlows!H4</f>
        <v>194091.14495798323</v>
      </c>
    </row>
    <row r="43" spans="2:12" x14ac:dyDescent="0.3">
      <c r="B43" s="62" t="s">
        <v>216</v>
      </c>
      <c r="C43" s="68"/>
      <c r="D43" s="515">
        <f>Greenhouse_Retro_CashFlows!AP9-Greenhouse_Retro_CashFlows!AP11</f>
        <v>217986.32034885004</v>
      </c>
      <c r="F43" s="62" t="s">
        <v>216</v>
      </c>
      <c r="G43" s="68"/>
      <c r="H43" s="515">
        <f>Milk_Retro_CashFlows!AP9-Milk_Retro_CashFlows!AP11</f>
        <v>3226955.2255789842</v>
      </c>
    </row>
    <row r="44" spans="2:12" x14ac:dyDescent="0.3">
      <c r="B44" s="62" t="s">
        <v>217</v>
      </c>
      <c r="C44" s="68"/>
      <c r="D44" s="515">
        <f>Greenhouse_Retro_CashFlows!AP9</f>
        <v>182436.32034885004</v>
      </c>
      <c r="F44" s="62" t="s">
        <v>217</v>
      </c>
      <c r="G44" s="68"/>
      <c r="H44" s="515">
        <f>Milk_Retro_CashFlows!AP9</f>
        <v>3173405.2255789842</v>
      </c>
    </row>
    <row r="45" spans="2:12" x14ac:dyDescent="0.3">
      <c r="B45" s="62" t="s">
        <v>218</v>
      </c>
      <c r="C45" s="68"/>
      <c r="D45" s="516">
        <f>Greenhouse_Retro_CashFlows!AP9/Greenhouse_Retrofit!G15</f>
        <v>5.1318233572109717</v>
      </c>
      <c r="F45" s="62" t="s">
        <v>218</v>
      </c>
      <c r="G45" s="68"/>
      <c r="H45" s="516">
        <f>Milk_Retro_CashFlows!AP9/Milk_Retrofit!G15</f>
        <v>59.260601784854984</v>
      </c>
    </row>
    <row r="46" spans="2:12" x14ac:dyDescent="0.3">
      <c r="B46" s="343" t="s">
        <v>221</v>
      </c>
      <c r="C46" s="172"/>
      <c r="D46" s="517">
        <f>Greenhouse_Retro_CashFlows!AP4</f>
        <v>0.11416119077906761</v>
      </c>
      <c r="F46" s="343" t="s">
        <v>221</v>
      </c>
      <c r="G46" s="172"/>
      <c r="H46" s="517">
        <f>Milk_Retro_CashFlows!AP4</f>
        <v>2.1960217133194644</v>
      </c>
    </row>
    <row r="47" spans="2:12" x14ac:dyDescent="0.3">
      <c r="B47" s="62" t="s">
        <v>220</v>
      </c>
      <c r="C47" s="68"/>
      <c r="D47" s="518">
        <f>Greenhouse_Retro_CashFlows!Y4</f>
        <v>0.13880781614597448</v>
      </c>
      <c r="F47" s="62" t="s">
        <v>220</v>
      </c>
      <c r="G47" s="68"/>
      <c r="H47" s="518">
        <f>Milk_Retro_CashFlows!Y4</f>
        <v>0.80575489139140943</v>
      </c>
    </row>
    <row r="48" spans="2:12" x14ac:dyDescent="0.3">
      <c r="B48" s="62" t="s">
        <v>219</v>
      </c>
      <c r="C48" s="68"/>
      <c r="D48" s="511">
        <f>Greenhouse_Retro_CashFlows!AU4</f>
        <v>13</v>
      </c>
      <c r="F48" s="62" t="s">
        <v>219</v>
      </c>
      <c r="G48" s="68"/>
      <c r="H48" s="511">
        <f>Milk_Retro_CashFlows!AU4</f>
        <v>1</v>
      </c>
    </row>
    <row r="49" spans="2:8" x14ac:dyDescent="0.3">
      <c r="B49" s="62" t="s">
        <v>868</v>
      </c>
      <c r="C49" s="68"/>
      <c r="D49" s="727">
        <f>Greenhouse_Retro_CashFlows!AJ4</f>
        <v>0.98732397547259809</v>
      </c>
      <c r="F49" s="62" t="s">
        <v>868</v>
      </c>
      <c r="G49" s="68"/>
      <c r="H49" s="727">
        <f>Milk_Retro_CashFlows!AJ4</f>
        <v>5.3607256984539022</v>
      </c>
    </row>
    <row r="50" spans="2:8" x14ac:dyDescent="0.3">
      <c r="B50" s="287" t="s">
        <v>869</v>
      </c>
      <c r="C50" s="326"/>
      <c r="D50" s="728">
        <f>Greenhouse_Retro_CashFlows!AK4</f>
        <v>0.87096232998517364</v>
      </c>
      <c r="F50" s="287" t="s">
        <v>869</v>
      </c>
      <c r="G50" s="326"/>
      <c r="H50" s="728">
        <f>Milk_Retro_CashFlows!AK4</f>
        <v>5.244953113594736</v>
      </c>
    </row>
  </sheetData>
  <mergeCells count="11">
    <mergeCell ref="B30:D30"/>
    <mergeCell ref="B41:D41"/>
    <mergeCell ref="J16:L16"/>
    <mergeCell ref="F41:H41"/>
    <mergeCell ref="J2:L2"/>
    <mergeCell ref="F30:H30"/>
    <mergeCell ref="J30:L30"/>
    <mergeCell ref="B2:D2"/>
    <mergeCell ref="B16:D16"/>
    <mergeCell ref="F2:H2"/>
    <mergeCell ref="F16:H16"/>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E89A95-85AB-4635-A846-23C20519641B}">
  <sheetPr>
    <tabColor rgb="FF92D050"/>
  </sheetPr>
  <dimension ref="B1:BW56"/>
  <sheetViews>
    <sheetView showGridLines="0" zoomScale="80" zoomScaleNormal="80" workbookViewId="0"/>
  </sheetViews>
  <sheetFormatPr defaultRowHeight="14.4" x14ac:dyDescent="0.3"/>
  <cols>
    <col min="1" max="1" width="3.44140625" customWidth="1"/>
    <col min="2" max="2" width="41.6640625" customWidth="1"/>
    <col min="3" max="3" width="18.6640625" customWidth="1"/>
    <col min="5" max="5" width="20" customWidth="1"/>
    <col min="6" max="6" width="25.88671875" customWidth="1"/>
    <col min="7" max="7" width="17" customWidth="1"/>
    <col min="8" max="8" width="14.109375" customWidth="1"/>
    <col min="9" max="9" width="32.44140625" customWidth="1"/>
    <col min="10" max="10" width="11.6640625" customWidth="1"/>
    <col min="11" max="11" width="6.109375" customWidth="1"/>
    <col min="12" max="12" width="45.88671875" customWidth="1"/>
    <col min="13" max="13" width="21.6640625" customWidth="1"/>
    <col min="14" max="14" width="20" customWidth="1"/>
    <col min="15" max="15" width="18.6640625" customWidth="1"/>
    <col min="17" max="17" width="14" customWidth="1"/>
    <col min="23" max="23" width="11.109375" customWidth="1"/>
    <col min="24" max="24" width="12" customWidth="1"/>
    <col min="25" max="26" width="15" bestFit="1" customWidth="1"/>
    <col min="27" max="27" width="19.33203125" customWidth="1"/>
    <col min="28" max="28" width="17.88671875" customWidth="1"/>
    <col min="29" max="32" width="15" bestFit="1" customWidth="1"/>
  </cols>
  <sheetData>
    <row r="1" spans="2:29" x14ac:dyDescent="0.3">
      <c r="N1" s="107"/>
    </row>
    <row r="2" spans="2:29" x14ac:dyDescent="0.3">
      <c r="L2" s="528"/>
      <c r="M2" s="793" t="s">
        <v>813</v>
      </c>
      <c r="N2" s="794"/>
      <c r="O2" s="795"/>
    </row>
    <row r="3" spans="2:29" x14ac:dyDescent="0.3">
      <c r="L3" s="528"/>
      <c r="M3" s="529" t="s">
        <v>767</v>
      </c>
      <c r="N3" s="529" t="s">
        <v>820</v>
      </c>
      <c r="O3" s="529" t="s">
        <v>769</v>
      </c>
      <c r="Y3" s="617" t="s">
        <v>788</v>
      </c>
      <c r="Z3" s="1" t="s">
        <v>789</v>
      </c>
      <c r="AA3" s="1" t="s">
        <v>846</v>
      </c>
      <c r="AB3" s="1" t="s">
        <v>852</v>
      </c>
    </row>
    <row r="4" spans="2:29" x14ac:dyDescent="0.3">
      <c r="L4" s="530" t="s">
        <v>770</v>
      </c>
      <c r="M4" s="585">
        <f>20000*G32</f>
        <v>100000</v>
      </c>
      <c r="N4" s="611">
        <v>3900000</v>
      </c>
      <c r="O4" s="585">
        <f>C29</f>
        <v>178500</v>
      </c>
      <c r="W4" s="796" t="s">
        <v>13</v>
      </c>
      <c r="X4" s="797"/>
      <c r="Y4" s="627">
        <f>Milk_Retro_CashFlows!AP4</f>
        <v>2.1960217133194644</v>
      </c>
      <c r="Z4" s="635">
        <f>Milk_Retro_CashFlows!AU4</f>
        <v>1</v>
      </c>
      <c r="AA4" s="628">
        <f>M16</f>
        <v>194091.1449579832</v>
      </c>
      <c r="AB4" s="636">
        <f>M17</f>
        <v>0.88593267574536028</v>
      </c>
      <c r="AC4" s="495">
        <v>0.1</v>
      </c>
    </row>
    <row r="5" spans="2:29" x14ac:dyDescent="0.3">
      <c r="L5" s="533" t="s">
        <v>814</v>
      </c>
      <c r="M5" s="604">
        <v>20</v>
      </c>
      <c r="N5" s="605">
        <v>25</v>
      </c>
      <c r="O5" s="605">
        <v>25</v>
      </c>
      <c r="P5" s="107"/>
      <c r="W5" s="567">
        <f>SUM($C$13:$C$28)*(1+$X5)</f>
        <v>178500</v>
      </c>
      <c r="X5" s="570">
        <v>0</v>
      </c>
      <c r="Y5" s="622">
        <f t="dataTable" ref="Y5:AB15" dt2D="0" dtr="0" r1="R11"/>
        <v>2.1960217133194644</v>
      </c>
      <c r="Z5" s="624">
        <v>1</v>
      </c>
      <c r="AA5" s="632">
        <v>194091.1449579832</v>
      </c>
      <c r="AB5" s="453">
        <v>0.88593267574536028</v>
      </c>
      <c r="AC5" s="496">
        <v>0.14990000000000001</v>
      </c>
    </row>
    <row r="6" spans="2:29" x14ac:dyDescent="0.3">
      <c r="B6" s="19" t="s">
        <v>20</v>
      </c>
      <c r="C6" s="20"/>
      <c r="D6" s="21"/>
      <c r="F6" s="590" t="s">
        <v>19</v>
      </c>
      <c r="G6" s="317">
        <v>44197</v>
      </c>
      <c r="I6" s="16" t="s">
        <v>165</v>
      </c>
      <c r="J6" s="26"/>
      <c r="L6" s="557" t="s">
        <v>815</v>
      </c>
      <c r="M6" s="606">
        <f>M4/M5</f>
        <v>5000</v>
      </c>
      <c r="N6" s="606">
        <f t="shared" ref="N6" si="0">N4/N5</f>
        <v>156000</v>
      </c>
      <c r="O6" s="606">
        <f t="shared" ref="O6" si="1">O4/O5</f>
        <v>7140</v>
      </c>
      <c r="P6" s="107"/>
      <c r="Q6" s="1" t="s">
        <v>0</v>
      </c>
      <c r="W6" s="568">
        <f t="shared" ref="W6:W15" si="2">SUM($C$13:$C$28)*(1+$X6)</f>
        <v>357000</v>
      </c>
      <c r="X6" s="571">
        <f>X5+100%</f>
        <v>1</v>
      </c>
      <c r="Y6" s="622">
        <v>0.75967310729000781</v>
      </c>
      <c r="Z6" s="625">
        <v>2</v>
      </c>
      <c r="AA6" s="633">
        <v>169101.1449579832</v>
      </c>
      <c r="AB6" s="630">
        <v>0.77186535149072055</v>
      </c>
    </row>
    <row r="7" spans="2:29" x14ac:dyDescent="0.3">
      <c r="B7" s="49" t="s">
        <v>21</v>
      </c>
      <c r="C7" s="22" t="s">
        <v>22</v>
      </c>
      <c r="D7" s="23"/>
      <c r="I7" s="16" t="s">
        <v>166</v>
      </c>
      <c r="J7" s="315">
        <f>IF(D9="Djibouti",'Data Sources'!C54,IF(D9="Ethiopia",'Data Sources'!D54,IF(D9="Kenya",'Data Sources'!E54,IF(D9="Rwanda",'Data Sources'!F54,IF(D9="Tanzania",'Data Sources'!G54,IF(D9="Uganda",'Data Sources'!H54,0))))))</f>
        <v>0.3</v>
      </c>
      <c r="K7" s="107"/>
      <c r="L7" s="530" t="s">
        <v>816</v>
      </c>
      <c r="M7" s="534">
        <f>G37</f>
        <v>7263000</v>
      </c>
      <c r="N7" s="534">
        <f>G37</f>
        <v>7263000</v>
      </c>
      <c r="O7" s="534">
        <f>G37</f>
        <v>7263000</v>
      </c>
      <c r="P7" s="107"/>
      <c r="Q7" s="2" t="s">
        <v>1</v>
      </c>
      <c r="S7" s="354"/>
      <c r="W7" s="568">
        <f t="shared" si="2"/>
        <v>535500</v>
      </c>
      <c r="X7" s="571">
        <f t="shared" ref="X7:X14" si="3">X6+100%</f>
        <v>2</v>
      </c>
      <c r="Y7" s="622">
        <v>0.29838548008325438</v>
      </c>
      <c r="Z7" s="625">
        <v>4</v>
      </c>
      <c r="AA7" s="633">
        <v>144111.1449579832</v>
      </c>
      <c r="AB7" s="630">
        <v>0.65779802723608083</v>
      </c>
      <c r="AC7" s="573">
        <v>10</v>
      </c>
    </row>
    <row r="8" spans="2:29" x14ac:dyDescent="0.3">
      <c r="B8" s="509" t="s">
        <v>23</v>
      </c>
      <c r="C8" s="15" t="s">
        <v>800</v>
      </c>
      <c r="D8" s="24"/>
      <c r="F8" s="19" t="s">
        <v>168</v>
      </c>
      <c r="G8" s="26"/>
      <c r="K8" s="107"/>
      <c r="L8" s="533" t="s">
        <v>817</v>
      </c>
      <c r="M8" s="534">
        <v>850</v>
      </c>
      <c r="N8" s="541">
        <v>0</v>
      </c>
      <c r="O8" s="541">
        <v>0</v>
      </c>
      <c r="P8" s="107"/>
      <c r="Q8" s="3" t="s">
        <v>2</v>
      </c>
      <c r="S8" s="354"/>
      <c r="W8" s="568">
        <f t="shared" si="2"/>
        <v>714000</v>
      </c>
      <c r="X8" s="571">
        <f t="shared" si="3"/>
        <v>3</v>
      </c>
      <c r="Y8" s="622">
        <v>0.12493522531021495</v>
      </c>
      <c r="Z8" s="625">
        <v>13</v>
      </c>
      <c r="AA8" s="633">
        <v>119121.1449579832</v>
      </c>
      <c r="AB8" s="630">
        <v>0.54373070298144111</v>
      </c>
      <c r="AC8" s="573">
        <v>15</v>
      </c>
    </row>
    <row r="9" spans="2:29" x14ac:dyDescent="0.3">
      <c r="B9" s="509" t="s">
        <v>24</v>
      </c>
      <c r="C9" s="22" t="s">
        <v>399</v>
      </c>
      <c r="D9" s="25" t="s">
        <v>42</v>
      </c>
      <c r="F9" s="500" t="s">
        <v>169</v>
      </c>
      <c r="G9" s="303" t="str">
        <f>VLOOKUP(D9,Currency!B8:F13,2,0)</f>
        <v>R franc</v>
      </c>
      <c r="I9" s="56" t="s">
        <v>70</v>
      </c>
      <c r="J9" s="21"/>
      <c r="L9" s="533" t="s">
        <v>818</v>
      </c>
      <c r="M9" s="534">
        <v>44.8</v>
      </c>
      <c r="N9" s="541">
        <v>0</v>
      </c>
      <c r="O9" s="541">
        <v>0</v>
      </c>
      <c r="P9" s="107"/>
      <c r="Q9" s="4" t="s">
        <v>3</v>
      </c>
      <c r="S9" s="354"/>
      <c r="W9" s="568">
        <f t="shared" si="2"/>
        <v>892500</v>
      </c>
      <c r="X9" s="571">
        <f t="shared" si="3"/>
        <v>4</v>
      </c>
      <c r="Y9" s="622">
        <v>3.756129739065095E-2</v>
      </c>
      <c r="Z9" s="625">
        <v>19</v>
      </c>
      <c r="AA9" s="633">
        <v>94131.144957983197</v>
      </c>
      <c r="AB9" s="630">
        <v>0.42966337872680133</v>
      </c>
    </row>
    <row r="10" spans="2:29" x14ac:dyDescent="0.3">
      <c r="F10" s="509" t="s">
        <v>170</v>
      </c>
      <c r="G10" s="304" t="str">
        <f>VLOOKUP(D9,Currency!B8:F13,3,0)</f>
        <v>RWF</v>
      </c>
      <c r="I10" s="16" t="s">
        <v>192</v>
      </c>
      <c r="J10" s="55">
        <v>25</v>
      </c>
      <c r="L10" s="533" t="s">
        <v>819</v>
      </c>
      <c r="M10" s="607">
        <f>(M7/M9)/(M8/1000)</f>
        <v>190730.04201680672</v>
      </c>
      <c r="N10" s="541">
        <v>0</v>
      </c>
      <c r="O10" s="541">
        <v>0</v>
      </c>
      <c r="P10" s="107"/>
      <c r="W10" s="568">
        <f t="shared" si="2"/>
        <v>1071000</v>
      </c>
      <c r="X10" s="571">
        <f t="shared" si="3"/>
        <v>5</v>
      </c>
      <c r="Y10" s="622">
        <v>-2.019392676963061E-2</v>
      </c>
      <c r="Z10" s="625" t="str">
        <v>NONE</v>
      </c>
      <c r="AA10" s="633">
        <v>69141.144957983197</v>
      </c>
      <c r="AB10" s="630">
        <v>0.3155960544721616</v>
      </c>
    </row>
    <row r="11" spans="2:29" x14ac:dyDescent="0.3">
      <c r="B11" s="587" t="s">
        <v>12</v>
      </c>
      <c r="C11" s="588"/>
      <c r="F11" s="49" t="str">
        <f>"Exchng Rate " &amp; "(" &amp; G10 &amp; "/USD" &amp;")"</f>
        <v>Exchng Rate (RWF/USD)</v>
      </c>
      <c r="G11" s="304">
        <f>VLOOKUP(D9,Currency!B8:F13,4,0)</f>
        <v>960.16111599999999</v>
      </c>
      <c r="I11" s="508" t="s">
        <v>72</v>
      </c>
      <c r="J11" s="54">
        <f>C29</f>
        <v>178500</v>
      </c>
      <c r="L11" s="544" t="s">
        <v>775</v>
      </c>
      <c r="M11" s="548">
        <v>1.07</v>
      </c>
      <c r="N11" s="549">
        <v>0</v>
      </c>
      <c r="O11" s="549">
        <v>0</v>
      </c>
      <c r="P11" s="107"/>
      <c r="Q11" s="9" t="s">
        <v>13</v>
      </c>
      <c r="R11" s="489">
        <v>0</v>
      </c>
      <c r="W11" s="568">
        <f t="shared" si="2"/>
        <v>1249500</v>
      </c>
      <c r="X11" s="571">
        <f t="shared" si="3"/>
        <v>6</v>
      </c>
      <c r="Y11" s="622">
        <v>-6.9059422074059351E-2</v>
      </c>
      <c r="Z11" s="625" t="str">
        <v>NONE</v>
      </c>
      <c r="AA11" s="633">
        <v>44151.144957983197</v>
      </c>
      <c r="AB11" s="630">
        <v>0.20152873021752188</v>
      </c>
    </row>
    <row r="12" spans="2:29" x14ac:dyDescent="0.3">
      <c r="B12" s="1" t="s">
        <v>13</v>
      </c>
      <c r="C12" s="588" t="s">
        <v>14</v>
      </c>
      <c r="I12" s="508" t="s">
        <v>73</v>
      </c>
      <c r="J12" s="55">
        <v>0</v>
      </c>
      <c r="L12" s="545" t="s">
        <v>776</v>
      </c>
      <c r="M12" s="550">
        <f>M10*M11</f>
        <v>204081.1449579832</v>
      </c>
      <c r="N12" s="550">
        <f t="shared" ref="N12" si="4">N10*N11</f>
        <v>0</v>
      </c>
      <c r="O12" s="550">
        <f t="shared" ref="O12" si="5">O10*O11</f>
        <v>0</v>
      </c>
      <c r="P12" s="107"/>
      <c r="W12" s="568">
        <f t="shared" si="2"/>
        <v>1428000</v>
      </c>
      <c r="X12" s="571">
        <f t="shared" si="3"/>
        <v>7</v>
      </c>
      <c r="Y12" s="622">
        <v>-0.13953795529141955</v>
      </c>
      <c r="Z12" s="625" t="str">
        <v>NONE</v>
      </c>
      <c r="AA12" s="633">
        <v>19161.144957983197</v>
      </c>
      <c r="AB12" s="630">
        <v>8.7461405962882141E-2</v>
      </c>
    </row>
    <row r="13" spans="2:29" x14ac:dyDescent="0.3">
      <c r="B13" s="331" t="s">
        <v>83</v>
      </c>
      <c r="C13" s="312">
        <f>20000*G32</f>
        <v>100000</v>
      </c>
      <c r="D13" s="107"/>
      <c r="E13" s="53" t="s">
        <v>157</v>
      </c>
      <c r="F13" s="588" t="s">
        <v>158</v>
      </c>
      <c r="G13" s="285" t="s">
        <v>74</v>
      </c>
      <c r="L13" s="555" t="s">
        <v>780</v>
      </c>
      <c r="M13" s="556">
        <v>0.1</v>
      </c>
      <c r="N13" s="556">
        <v>0.1</v>
      </c>
      <c r="O13" s="556">
        <v>0.1</v>
      </c>
      <c r="P13" s="107"/>
      <c r="W13" s="568">
        <f t="shared" si="2"/>
        <v>1606500</v>
      </c>
      <c r="X13" s="571">
        <f t="shared" si="3"/>
        <v>8</v>
      </c>
      <c r="Y13" s="622" t="str">
        <v>NEG IRR</v>
      </c>
      <c r="Z13" s="625" t="str">
        <v>NONE</v>
      </c>
      <c r="AA13" s="633">
        <v>-5828.8550420168031</v>
      </c>
      <c r="AB13" s="630">
        <v>-2.66059182917576E-2</v>
      </c>
    </row>
    <row r="14" spans="2:29" x14ac:dyDescent="0.3">
      <c r="B14" s="310" t="s">
        <v>84</v>
      </c>
      <c r="C14" s="307">
        <v>3500</v>
      </c>
      <c r="D14" s="107"/>
      <c r="E14" s="500" t="s">
        <v>159</v>
      </c>
      <c r="F14" s="48">
        <v>0.7</v>
      </c>
      <c r="G14" s="286">
        <f>$C$29*F14</f>
        <v>124949.99999999999</v>
      </c>
      <c r="K14" s="107"/>
      <c r="L14" s="557" t="s">
        <v>781</v>
      </c>
      <c r="M14" s="550">
        <f>M13*M4</f>
        <v>10000</v>
      </c>
      <c r="N14" s="550">
        <f>N13*N4</f>
        <v>390000</v>
      </c>
      <c r="O14" s="550">
        <f>O13*O4</f>
        <v>17850</v>
      </c>
      <c r="P14" s="107"/>
      <c r="W14" s="568">
        <f t="shared" si="2"/>
        <v>1785000</v>
      </c>
      <c r="X14" s="571">
        <f t="shared" si="3"/>
        <v>9</v>
      </c>
      <c r="Y14" s="622" t="str">
        <v>NEG IRR</v>
      </c>
      <c r="Z14" s="625" t="str">
        <v>NONE</v>
      </c>
      <c r="AA14" s="633">
        <v>-30818.855042016803</v>
      </c>
      <c r="AB14" s="630">
        <v>-0.14067324254639732</v>
      </c>
    </row>
    <row r="15" spans="2:29" ht="15" customHeight="1" thickBot="1" x14ac:dyDescent="0.35">
      <c r="B15" s="310" t="s">
        <v>85</v>
      </c>
      <c r="C15" s="307">
        <v>30000</v>
      </c>
      <c r="D15" s="107"/>
      <c r="E15" s="501" t="s">
        <v>160</v>
      </c>
      <c r="F15" s="48">
        <v>0.3</v>
      </c>
      <c r="G15" s="286">
        <f>$C$29*F15</f>
        <v>53550</v>
      </c>
      <c r="L15" s="558" t="s">
        <v>782</v>
      </c>
      <c r="M15" s="559">
        <f>M6+M12+M14</f>
        <v>219081.1449579832</v>
      </c>
      <c r="N15" s="559">
        <f t="shared" ref="N15" si="6">N6+N12+N14</f>
        <v>546000</v>
      </c>
      <c r="O15" s="559">
        <f t="shared" ref="O15" si="7">O6+O12+O14</f>
        <v>24990</v>
      </c>
      <c r="P15" s="107"/>
      <c r="W15" s="569">
        <f t="shared" si="2"/>
        <v>1963500</v>
      </c>
      <c r="X15" s="572">
        <f>X14+100%</f>
        <v>10</v>
      </c>
      <c r="Y15" s="623" t="str">
        <v>NEG IRR</v>
      </c>
      <c r="Z15" s="626" t="str">
        <v>NONE</v>
      </c>
      <c r="AA15" s="634">
        <v>-55808.855042016803</v>
      </c>
      <c r="AB15" s="631">
        <v>-0.25474056680103707</v>
      </c>
    </row>
    <row r="16" spans="2:29" ht="15" thickTop="1" x14ac:dyDescent="0.3">
      <c r="B16" s="310" t="s">
        <v>87</v>
      </c>
      <c r="C16" s="307">
        <v>45000</v>
      </c>
      <c r="D16" s="107"/>
      <c r="E16" s="49" t="s">
        <v>161</v>
      </c>
      <c r="F16" s="48">
        <v>0</v>
      </c>
      <c r="G16" s="286">
        <f>$C$29*F16</f>
        <v>0</v>
      </c>
      <c r="L16" s="618" t="s">
        <v>845</v>
      </c>
      <c r="M16" s="620">
        <f>M15-O15</f>
        <v>194091.1449579832</v>
      </c>
      <c r="N16" s="620">
        <f>N15-O15</f>
        <v>521010</v>
      </c>
    </row>
    <row r="17" spans="2:14" x14ac:dyDescent="0.3">
      <c r="B17" s="310" t="s">
        <v>4</v>
      </c>
      <c r="C17" s="307">
        <v>0</v>
      </c>
      <c r="D17" s="107"/>
      <c r="E17" s="16" t="s">
        <v>162</v>
      </c>
      <c r="F17" s="400">
        <f>SUM(F14:F16)</f>
        <v>1</v>
      </c>
      <c r="G17" s="10">
        <f>SUM(G14:G16)</f>
        <v>178500</v>
      </c>
      <c r="L17" s="619" t="s">
        <v>851</v>
      </c>
      <c r="M17" s="621">
        <f>M16/M15</f>
        <v>0.88593267574536028</v>
      </c>
      <c r="N17" s="621">
        <f>N16/N15</f>
        <v>0.95423076923076922</v>
      </c>
    </row>
    <row r="18" spans="2:14" x14ac:dyDescent="0.3">
      <c r="B18" s="310" t="s">
        <v>5</v>
      </c>
      <c r="C18" s="307">
        <v>0</v>
      </c>
      <c r="D18" s="107"/>
    </row>
    <row r="19" spans="2:14" x14ac:dyDescent="0.3">
      <c r="B19" s="310" t="s">
        <v>6</v>
      </c>
      <c r="C19" s="307">
        <v>0</v>
      </c>
      <c r="D19" s="107"/>
      <c r="E19" s="53" t="s">
        <v>164</v>
      </c>
      <c r="F19" s="276"/>
      <c r="N19" s="616"/>
    </row>
    <row r="20" spans="2:14" x14ac:dyDescent="0.3">
      <c r="B20" s="310" t="s">
        <v>7</v>
      </c>
      <c r="C20" s="307">
        <v>0</v>
      </c>
      <c r="D20" s="107"/>
      <c r="E20" s="502" t="s">
        <v>182</v>
      </c>
      <c r="F20" s="275"/>
      <c r="G20" s="302">
        <f>IF(D9="Djibouti",Currency!Q8,IF(D9="Ethiopia",Currency!Q9,IF(D9="Kenya",Currency!Q10,IF(D9="Rwanda",Currency!Q11,IF(D9="Tanzania",Currency!Q12,IF(D9="Uganda",Currency!Q13,0))))))</f>
        <v>0.16700000000000001</v>
      </c>
    </row>
    <row r="21" spans="2:14" x14ac:dyDescent="0.3">
      <c r="B21" s="310" t="s">
        <v>8</v>
      </c>
      <c r="C21" s="307">
        <v>0</v>
      </c>
      <c r="D21" s="107"/>
      <c r="E21" s="503" t="s">
        <v>68</v>
      </c>
      <c r="F21" s="498"/>
      <c r="G21" s="52">
        <v>10</v>
      </c>
    </row>
    <row r="22" spans="2:14" x14ac:dyDescent="0.3">
      <c r="B22" s="310" t="s">
        <v>9</v>
      </c>
      <c r="C22" s="307">
        <v>0</v>
      </c>
      <c r="D22" s="107"/>
    </row>
    <row r="23" spans="2:14" x14ac:dyDescent="0.3">
      <c r="B23" s="310" t="s">
        <v>10</v>
      </c>
      <c r="C23" s="307">
        <v>0</v>
      </c>
      <c r="D23" s="107"/>
    </row>
    <row r="24" spans="2:14" x14ac:dyDescent="0.3">
      <c r="B24" s="310" t="s">
        <v>11</v>
      </c>
      <c r="C24" s="307">
        <v>0</v>
      </c>
      <c r="D24" s="107"/>
      <c r="E24" s="277" t="s">
        <v>177</v>
      </c>
      <c r="F24" s="66"/>
      <c r="G24" s="311" t="s">
        <v>195</v>
      </c>
      <c r="H24" s="401" t="s">
        <v>17</v>
      </c>
    </row>
    <row r="25" spans="2:14" ht="15" customHeight="1" x14ac:dyDescent="0.3">
      <c r="B25" s="310" t="s">
        <v>26</v>
      </c>
      <c r="C25" s="307">
        <v>0</v>
      </c>
      <c r="D25" s="107"/>
      <c r="E25" s="65" t="s">
        <v>397</v>
      </c>
      <c r="F25" s="357"/>
      <c r="G25" s="574">
        <v>120000</v>
      </c>
      <c r="H25" s="306" t="s">
        <v>801</v>
      </c>
    </row>
    <row r="26" spans="2:14" x14ac:dyDescent="0.3">
      <c r="B26" s="310" t="s">
        <v>665</v>
      </c>
      <c r="C26" s="307">
        <v>0</v>
      </c>
      <c r="D26" s="107"/>
      <c r="E26" s="61" t="s">
        <v>803</v>
      </c>
      <c r="F26" s="275"/>
      <c r="G26" s="596">
        <v>20</v>
      </c>
      <c r="H26" s="305" t="s">
        <v>805</v>
      </c>
    </row>
    <row r="27" spans="2:14" x14ac:dyDescent="0.3">
      <c r="B27" s="310" t="s">
        <v>666</v>
      </c>
      <c r="C27" s="307">
        <v>0</v>
      </c>
      <c r="D27" s="107"/>
      <c r="E27" s="61" t="s">
        <v>804</v>
      </c>
      <c r="F27" s="275"/>
      <c r="G27" s="596">
        <v>70</v>
      </c>
      <c r="H27" s="305" t="s">
        <v>805</v>
      </c>
    </row>
    <row r="28" spans="2:14" x14ac:dyDescent="0.3">
      <c r="B28" s="323" t="s">
        <v>762</v>
      </c>
      <c r="C28" s="318">
        <v>0</v>
      </c>
      <c r="D28" s="107"/>
      <c r="E28" s="61" t="s">
        <v>802</v>
      </c>
      <c r="F28" s="275"/>
      <c r="G28" s="579">
        <v>5</v>
      </c>
      <c r="H28" s="305" t="s">
        <v>547</v>
      </c>
    </row>
    <row r="29" spans="2:14" x14ac:dyDescent="0.3">
      <c r="B29" s="9" t="s">
        <v>15</v>
      </c>
      <c r="C29" s="10">
        <f>SUM(C13:C28)*(1+$R$11)</f>
        <v>178500</v>
      </c>
      <c r="E29" s="599" t="s">
        <v>806</v>
      </c>
      <c r="F29" s="600"/>
      <c r="G29" s="597">
        <v>1345</v>
      </c>
      <c r="H29" s="598" t="s">
        <v>807</v>
      </c>
    </row>
    <row r="30" spans="2:14" x14ac:dyDescent="0.3">
      <c r="E30" s="599" t="s">
        <v>806</v>
      </c>
      <c r="G30" s="288">
        <f>G29*60*60</f>
        <v>4842000</v>
      </c>
      <c r="H30" s="598" t="s">
        <v>843</v>
      </c>
    </row>
    <row r="31" spans="2:14" x14ac:dyDescent="0.3">
      <c r="E31" s="599" t="s">
        <v>811</v>
      </c>
      <c r="F31" s="600"/>
      <c r="G31" s="576">
        <f>G29*G28*60*60/1000</f>
        <v>24210</v>
      </c>
      <c r="H31" s="598" t="s">
        <v>809</v>
      </c>
    </row>
    <row r="32" spans="2:14" x14ac:dyDescent="0.3">
      <c r="E32" s="599" t="s">
        <v>844</v>
      </c>
      <c r="G32" s="613">
        <f>ROUNDUP(G30/(1.05506*1000000),0)</f>
        <v>5</v>
      </c>
      <c r="H32" s="598" t="s">
        <v>598</v>
      </c>
    </row>
    <row r="33" spans="4:75" x14ac:dyDescent="0.3">
      <c r="E33" s="61" t="s">
        <v>785</v>
      </c>
      <c r="F33" s="275"/>
      <c r="G33" s="582">
        <v>6</v>
      </c>
      <c r="H33" s="305" t="s">
        <v>783</v>
      </c>
    </row>
    <row r="34" spans="4:75" x14ac:dyDescent="0.3">
      <c r="E34" s="61" t="s">
        <v>785</v>
      </c>
      <c r="F34" s="275"/>
      <c r="G34" s="582">
        <v>50</v>
      </c>
      <c r="H34" s="305" t="s">
        <v>784</v>
      </c>
      <c r="I34" s="390"/>
    </row>
    <row r="35" spans="4:75" ht="15" customHeight="1" x14ac:dyDescent="0.3">
      <c r="E35" s="61" t="s">
        <v>653</v>
      </c>
      <c r="F35" s="275"/>
      <c r="G35" s="583">
        <f>G33*G34</f>
        <v>300</v>
      </c>
      <c r="H35" s="305" t="s">
        <v>601</v>
      </c>
      <c r="I35" s="390"/>
    </row>
    <row r="36" spans="4:75" x14ac:dyDescent="0.3">
      <c r="E36" s="61" t="s">
        <v>808</v>
      </c>
      <c r="F36" s="275"/>
      <c r="G36" s="576">
        <f>G25*G35</f>
        <v>36000000</v>
      </c>
      <c r="H36" s="305" t="s">
        <v>398</v>
      </c>
    </row>
    <row r="37" spans="4:75" x14ac:dyDescent="0.3">
      <c r="E37" s="601" t="s">
        <v>812</v>
      </c>
      <c r="F37" s="602"/>
      <c r="G37" s="576">
        <f>G31*G35</f>
        <v>7263000</v>
      </c>
      <c r="H37" s="603" t="s">
        <v>810</v>
      </c>
    </row>
    <row r="39" spans="4:75" x14ac:dyDescent="0.3">
      <c r="I39" s="390"/>
    </row>
    <row r="42" spans="4:75" x14ac:dyDescent="0.3">
      <c r="I42" s="390"/>
    </row>
    <row r="43" spans="4:75" x14ac:dyDescent="0.3">
      <c r="D43" s="354"/>
    </row>
    <row r="47" spans="4:75" x14ac:dyDescent="0.3">
      <c r="BW47" s="299" t="s">
        <v>31</v>
      </c>
    </row>
    <row r="48" spans="4:75" x14ac:dyDescent="0.3">
      <c r="BW48" s="27" t="s">
        <v>35</v>
      </c>
    </row>
    <row r="49" spans="75:75" x14ac:dyDescent="0.3">
      <c r="BW49" s="27" t="s">
        <v>39</v>
      </c>
    </row>
    <row r="50" spans="75:75" x14ac:dyDescent="0.3">
      <c r="BW50" s="27" t="s">
        <v>42</v>
      </c>
    </row>
    <row r="51" spans="75:75" x14ac:dyDescent="0.3">
      <c r="BW51" s="27" t="s">
        <v>45</v>
      </c>
    </row>
    <row r="52" spans="75:75" x14ac:dyDescent="0.3">
      <c r="BW52" s="30" t="s">
        <v>48</v>
      </c>
    </row>
    <row r="55" spans="75:75" x14ac:dyDescent="0.3">
      <c r="BW55" t="s">
        <v>81</v>
      </c>
    </row>
    <row r="56" spans="75:75" x14ac:dyDescent="0.3">
      <c r="BW56" t="s">
        <v>69</v>
      </c>
    </row>
  </sheetData>
  <mergeCells count="2">
    <mergeCell ref="M2:O2"/>
    <mergeCell ref="W4:X4"/>
  </mergeCells>
  <conditionalFormatting sqref="Z5:Z15">
    <cfRule type="cellIs" dxfId="51" priority="10" operator="between">
      <formula>$AC$7</formula>
      <formula>$AC$8</formula>
    </cfRule>
    <cfRule type="cellIs" dxfId="50" priority="11" operator="greaterThan">
      <formula>$AC$8</formula>
    </cfRule>
    <cfRule type="cellIs" dxfId="49" priority="12" operator="lessThan">
      <formula>$AC$7</formula>
    </cfRule>
  </conditionalFormatting>
  <conditionalFormatting sqref="Y5:Y15">
    <cfRule type="containsText" dxfId="48" priority="5" operator="containsText" text="NEG IRR">
      <formula>NOT(ISERROR(SEARCH("NEG IRR",Y5)))</formula>
    </cfRule>
    <cfRule type="containsText" dxfId="47" priority="6" operator="containsText" text="ERROR">
      <formula>NOT(ISERROR(SEARCH("ERROR",Y5)))</formula>
    </cfRule>
    <cfRule type="cellIs" dxfId="46" priority="7" operator="between">
      <formula>$AC$4</formula>
      <formula>$AC$5</formula>
    </cfRule>
    <cfRule type="cellIs" dxfId="45" priority="8" operator="greaterThan">
      <formula>$AC$5</formula>
    </cfRule>
    <cfRule type="cellIs" dxfId="44" priority="9" operator="lessThan">
      <formula>$AC$4</formula>
    </cfRule>
  </conditionalFormatting>
  <conditionalFormatting sqref="M16:N16">
    <cfRule type="cellIs" dxfId="43" priority="15" operator="lessThan">
      <formula>0</formula>
    </cfRule>
    <cfRule type="cellIs" dxfId="42" priority="16" operator="greaterThan">
      <formula>0</formula>
    </cfRule>
  </conditionalFormatting>
  <conditionalFormatting sqref="M17:N17">
    <cfRule type="cellIs" dxfId="41" priority="13" operator="lessThan">
      <formula>0</formula>
    </cfRule>
    <cfRule type="cellIs" dxfId="40" priority="14" operator="greaterThan">
      <formula>0</formula>
    </cfRule>
  </conditionalFormatting>
  <conditionalFormatting sqref="AA5:AA15">
    <cfRule type="cellIs" dxfId="39" priority="3" operator="lessThan">
      <formula>0</formula>
    </cfRule>
    <cfRule type="cellIs" dxfId="38" priority="4" operator="greaterThan">
      <formula>0</formula>
    </cfRule>
  </conditionalFormatting>
  <conditionalFormatting sqref="AB5:AB15">
    <cfRule type="cellIs" dxfId="37" priority="1" operator="lessThan">
      <formula>0</formula>
    </cfRule>
    <cfRule type="cellIs" dxfId="36" priority="2" operator="greaterThan">
      <formula>0</formula>
    </cfRule>
  </conditionalFormatting>
  <dataValidations count="1">
    <dataValidation type="list" allowBlank="1" showInputMessage="1" showErrorMessage="1" sqref="D9" xr:uid="{6771AEE2-2A2F-4D43-8202-26FD993944C8}">
      <formula1>$BW$47:$BW$52</formula1>
    </dataValidation>
  </dataValidations>
  <pageMargins left="0.7" right="0.7" top="0.75" bottom="0.75" header="0.3" footer="0.3"/>
  <pageSetup orientation="portrait" r:id="rId1"/>
  <drawing r:id="rId2"/>
  <legacyDrawing r:id="rId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FE0C45-231C-4336-8FC4-56C8FBFE7138}">
  <sheetPr>
    <tabColor theme="1"/>
  </sheetPr>
  <dimension ref="B2:BW56"/>
  <sheetViews>
    <sheetView showGridLines="0" zoomScale="80" zoomScaleNormal="80" workbookViewId="0"/>
  </sheetViews>
  <sheetFormatPr defaultRowHeight="14.4" x14ac:dyDescent="0.3"/>
  <cols>
    <col min="1" max="1" width="3.44140625" customWidth="1"/>
    <col min="2" max="2" width="41.6640625" customWidth="1"/>
    <col min="3" max="3" width="18.6640625" customWidth="1"/>
    <col min="5" max="5" width="20" customWidth="1"/>
    <col min="6" max="6" width="25.88671875" customWidth="1"/>
    <col min="7" max="7" width="17" customWidth="1"/>
    <col min="8" max="8" width="14.109375" customWidth="1"/>
    <col min="9" max="9" width="32.44140625" customWidth="1"/>
    <col min="10" max="10" width="11.6640625" customWidth="1"/>
    <col min="11" max="11" width="6.109375" customWidth="1"/>
    <col min="12" max="12" width="45.88671875" customWidth="1"/>
    <col min="13" max="13" width="21.6640625" customWidth="1"/>
    <col min="14" max="14" width="20" customWidth="1"/>
    <col min="15" max="15" width="18.6640625" customWidth="1"/>
    <col min="17" max="17" width="14" customWidth="1"/>
    <col min="23" max="23" width="11.109375" customWidth="1"/>
    <col min="24" max="24" width="12" customWidth="1"/>
    <col min="25" max="26" width="15" bestFit="1" customWidth="1"/>
    <col min="27" max="27" width="17.88671875" customWidth="1"/>
    <col min="28" max="28" width="18.5546875" customWidth="1"/>
    <col min="29" max="32" width="15" bestFit="1" customWidth="1"/>
  </cols>
  <sheetData>
    <row r="2" spans="2:29" x14ac:dyDescent="0.3">
      <c r="L2" s="528"/>
      <c r="M2" s="793" t="s">
        <v>829</v>
      </c>
      <c r="N2" s="794"/>
      <c r="O2" s="795"/>
    </row>
    <row r="3" spans="2:29" x14ac:dyDescent="0.3">
      <c r="L3" s="528"/>
      <c r="M3" s="529" t="s">
        <v>863</v>
      </c>
      <c r="N3" s="529" t="s">
        <v>831</v>
      </c>
      <c r="O3" s="529" t="s">
        <v>769</v>
      </c>
      <c r="Y3" s="587" t="s">
        <v>788</v>
      </c>
      <c r="Z3" s="1" t="s">
        <v>789</v>
      </c>
      <c r="AA3" s="1" t="s">
        <v>846</v>
      </c>
      <c r="AB3" s="1" t="s">
        <v>852</v>
      </c>
    </row>
    <row r="4" spans="2:29" x14ac:dyDescent="0.3">
      <c r="L4" s="530" t="s">
        <v>770</v>
      </c>
      <c r="M4" s="585">
        <v>30000</v>
      </c>
      <c r="N4" s="585">
        <v>30000</v>
      </c>
      <c r="O4" s="585">
        <f>C29</f>
        <v>98500</v>
      </c>
      <c r="W4" s="796" t="s">
        <v>13</v>
      </c>
      <c r="X4" s="797"/>
      <c r="Y4" s="627">
        <f>Hatchery_Retro_CashFlows!AP4</f>
        <v>0.10362923223395692</v>
      </c>
      <c r="Z4" s="408">
        <f>Hatchery_Retro_CashFlows!AU4</f>
        <v>13</v>
      </c>
      <c r="AA4" s="628">
        <f>M15</f>
        <v>12936.392036867404</v>
      </c>
      <c r="AB4" s="629">
        <f>M16</f>
        <v>0.48403061733968628</v>
      </c>
      <c r="AC4" s="495">
        <v>0.1</v>
      </c>
    </row>
    <row r="5" spans="2:29" x14ac:dyDescent="0.3">
      <c r="L5" s="533" t="s">
        <v>814</v>
      </c>
      <c r="M5" s="604">
        <v>20</v>
      </c>
      <c r="N5" s="604">
        <v>20</v>
      </c>
      <c r="O5" s="605">
        <v>25</v>
      </c>
      <c r="W5" s="567">
        <f>SUM($C$13:$C$28)*(1+$X5)</f>
        <v>59100</v>
      </c>
      <c r="X5" s="570">
        <v>-0.4</v>
      </c>
      <c r="Y5" s="622">
        <f t="dataTable" ref="Y5:AB15" dt2D="0" dtr="0" r1="R11"/>
        <v>0.46940128641498879</v>
      </c>
      <c r="Z5" s="624">
        <v>3</v>
      </c>
      <c r="AA5" s="632">
        <v>18452.392036867404</v>
      </c>
      <c r="AB5" s="453">
        <v>0.69041837040381171</v>
      </c>
      <c r="AC5" s="496">
        <v>0.14990000000000001</v>
      </c>
    </row>
    <row r="6" spans="2:29" x14ac:dyDescent="0.3">
      <c r="B6" s="19" t="s">
        <v>20</v>
      </c>
      <c r="C6" s="20"/>
      <c r="D6" s="21"/>
      <c r="F6" s="590" t="s">
        <v>19</v>
      </c>
      <c r="G6" s="317">
        <v>44197</v>
      </c>
      <c r="I6" s="16" t="s">
        <v>165</v>
      </c>
      <c r="J6" s="26"/>
      <c r="L6" s="557" t="s">
        <v>815</v>
      </c>
      <c r="M6" s="606">
        <f>M4/M5</f>
        <v>1500</v>
      </c>
      <c r="N6" s="606">
        <f>N4/N5</f>
        <v>1500</v>
      </c>
      <c r="O6" s="606">
        <f>O4/O5</f>
        <v>3940</v>
      </c>
      <c r="Q6" s="1" t="s">
        <v>0</v>
      </c>
      <c r="W6" s="568">
        <f t="shared" ref="W6:W15" si="0">SUM($C$13:$C$28)*(1+$X6)</f>
        <v>78800</v>
      </c>
      <c r="X6" s="571">
        <f>X5+20%</f>
        <v>-0.2</v>
      </c>
      <c r="Y6" s="622">
        <v>0.21889422014961113</v>
      </c>
      <c r="Z6" s="625">
        <v>6</v>
      </c>
      <c r="AA6" s="633">
        <v>15694.392036867404</v>
      </c>
      <c r="AB6" s="630">
        <v>0.58722449387174902</v>
      </c>
    </row>
    <row r="7" spans="2:29" x14ac:dyDescent="0.3">
      <c r="B7" s="49" t="s">
        <v>21</v>
      </c>
      <c r="C7" s="22" t="s">
        <v>22</v>
      </c>
      <c r="D7" s="23"/>
      <c r="I7" s="16" t="s">
        <v>166</v>
      </c>
      <c r="J7" s="315">
        <f>IF(D9="Djibouti",'Data Sources'!C54,IF(D9="Ethiopia",'Data Sources'!D54,IF(D9="Kenya",'Data Sources'!E54,IF(D9="Rwanda",'Data Sources'!F54,IF(D9="Tanzania",'Data Sources'!G54,IF(D9="Uganda",'Data Sources'!H54,0))))))</f>
        <v>0.25</v>
      </c>
      <c r="K7" s="107"/>
      <c r="L7" s="530" t="s">
        <v>816</v>
      </c>
      <c r="M7" s="534">
        <v>556016.62000000011</v>
      </c>
      <c r="N7" s="534">
        <v>556016.62000000011</v>
      </c>
      <c r="O7" s="534">
        <f>G39</f>
        <v>556016.62000000011</v>
      </c>
      <c r="Q7" s="2" t="s">
        <v>1</v>
      </c>
      <c r="S7" s="354"/>
      <c r="W7" s="568">
        <f t="shared" si="0"/>
        <v>98500</v>
      </c>
      <c r="X7" s="571">
        <f t="shared" ref="X7:X14" si="1">X6+20%</f>
        <v>0</v>
      </c>
      <c r="Y7" s="622">
        <v>0.10362923223395692</v>
      </c>
      <c r="Z7" s="625">
        <v>13</v>
      </c>
      <c r="AA7" s="633">
        <v>12936.392036867404</v>
      </c>
      <c r="AB7" s="630">
        <v>0.48403061733968628</v>
      </c>
      <c r="AC7" s="573">
        <v>10</v>
      </c>
    </row>
    <row r="8" spans="2:29" x14ac:dyDescent="0.3">
      <c r="B8" s="509" t="s">
        <v>23</v>
      </c>
      <c r="C8" s="15" t="s">
        <v>797</v>
      </c>
      <c r="D8" s="24"/>
      <c r="F8" s="19" t="s">
        <v>168</v>
      </c>
      <c r="G8" s="26"/>
      <c r="K8" s="107"/>
      <c r="L8" s="533" t="s">
        <v>861</v>
      </c>
      <c r="M8" s="534">
        <v>3.6</v>
      </c>
      <c r="N8" s="655">
        <f>36/0.8</f>
        <v>45</v>
      </c>
      <c r="O8" s="541">
        <v>0</v>
      </c>
      <c r="Q8" s="3" t="s">
        <v>2</v>
      </c>
      <c r="S8" s="354"/>
      <c r="W8" s="568">
        <f t="shared" si="0"/>
        <v>118200</v>
      </c>
      <c r="X8" s="571">
        <f t="shared" si="1"/>
        <v>0.2</v>
      </c>
      <c r="Y8" s="622">
        <v>3.3196282044635428E-2</v>
      </c>
      <c r="Z8" s="625">
        <v>20</v>
      </c>
      <c r="AA8" s="633">
        <v>10178.392036867404</v>
      </c>
      <c r="AB8" s="630">
        <v>0.38083674080762348</v>
      </c>
      <c r="AC8" s="573">
        <v>15</v>
      </c>
    </row>
    <row r="9" spans="2:29" x14ac:dyDescent="0.3">
      <c r="B9" s="509" t="s">
        <v>24</v>
      </c>
      <c r="C9" s="22" t="s">
        <v>394</v>
      </c>
      <c r="D9" s="25" t="s">
        <v>39</v>
      </c>
      <c r="F9" s="500" t="s">
        <v>169</v>
      </c>
      <c r="G9" s="303" t="str">
        <f>VLOOKUP(D9,Currency!B8:F13,2,0)</f>
        <v>K Shilling</v>
      </c>
      <c r="I9" s="56" t="s">
        <v>70</v>
      </c>
      <c r="J9" s="21"/>
      <c r="L9" s="533" t="s">
        <v>862</v>
      </c>
      <c r="M9" s="607">
        <f>M7/M8</f>
        <v>154449.06111111114</v>
      </c>
      <c r="N9" s="607">
        <f>N7/N8</f>
        <v>12355.924888888891</v>
      </c>
      <c r="O9" s="541">
        <v>0</v>
      </c>
      <c r="Q9" s="4" t="s">
        <v>3</v>
      </c>
      <c r="S9" s="354"/>
      <c r="W9" s="568">
        <f t="shared" si="0"/>
        <v>137900</v>
      </c>
      <c r="X9" s="571">
        <f t="shared" si="1"/>
        <v>0.4</v>
      </c>
      <c r="Y9" s="622">
        <v>-1.9489676578980708E-2</v>
      </c>
      <c r="Z9" s="625" t="str">
        <v>NONE</v>
      </c>
      <c r="AA9" s="633">
        <v>7420.3920368674044</v>
      </c>
      <c r="AB9" s="630">
        <v>0.27764286427556073</v>
      </c>
    </row>
    <row r="10" spans="2:29" x14ac:dyDescent="0.3">
      <c r="F10" s="509" t="s">
        <v>170</v>
      </c>
      <c r="G10" s="304" t="str">
        <f>VLOOKUP(D9,Currency!B8:F13,3,0)</f>
        <v>KES</v>
      </c>
      <c r="I10" s="16" t="s">
        <v>192</v>
      </c>
      <c r="J10" s="55">
        <v>25</v>
      </c>
      <c r="L10" s="544" t="s">
        <v>848</v>
      </c>
      <c r="M10" s="548">
        <v>0.14390758918811211</v>
      </c>
      <c r="N10" s="548">
        <v>1.4249999999999998</v>
      </c>
      <c r="O10" s="549">
        <v>0</v>
      </c>
      <c r="W10" s="568">
        <f t="shared" si="0"/>
        <v>157600</v>
      </c>
      <c r="X10" s="571">
        <f t="shared" si="1"/>
        <v>0.60000000000000009</v>
      </c>
      <c r="Y10" s="622">
        <v>-7.050874178358113E-2</v>
      </c>
      <c r="Z10" s="625" t="str">
        <v>NONE</v>
      </c>
      <c r="AA10" s="633">
        <v>4662.3920368674044</v>
      </c>
      <c r="AB10" s="630">
        <v>0.17444898774349801</v>
      </c>
    </row>
    <row r="11" spans="2:29" x14ac:dyDescent="0.3">
      <c r="B11" s="587" t="s">
        <v>12</v>
      </c>
      <c r="C11" s="588"/>
      <c r="F11" s="49" t="str">
        <f>"Exchng Rate " &amp; "(" &amp; G10 &amp; "/USD" &amp;")"</f>
        <v>Exchng Rate (KES/USD)</v>
      </c>
      <c r="G11" s="304">
        <f>VLOOKUP(D9,Currency!B8:F13,4,0)</f>
        <v>108.4029</v>
      </c>
      <c r="I11" s="508" t="s">
        <v>72</v>
      </c>
      <c r="J11" s="54">
        <f>C29</f>
        <v>98500</v>
      </c>
      <c r="L11" s="545" t="s">
        <v>776</v>
      </c>
      <c r="M11" s="550">
        <f>M9*M10</f>
        <v>22226.392036867404</v>
      </c>
      <c r="N11" s="550">
        <f t="shared" ref="N11" si="2">N9*N10</f>
        <v>17607.192966666666</v>
      </c>
      <c r="O11" s="550">
        <f>O9*O10</f>
        <v>0</v>
      </c>
      <c r="Q11" s="9" t="s">
        <v>13</v>
      </c>
      <c r="R11" s="489">
        <v>0</v>
      </c>
      <c r="W11" s="568">
        <f t="shared" si="0"/>
        <v>177300</v>
      </c>
      <c r="X11" s="571">
        <f t="shared" si="1"/>
        <v>0.8</v>
      </c>
      <c r="Y11" s="622">
        <v>-0.14300839650644959</v>
      </c>
      <c r="Z11" s="625" t="str">
        <v>NONE</v>
      </c>
      <c r="AA11" s="633">
        <v>1904.3920368674044</v>
      </c>
      <c r="AB11" s="630">
        <v>7.1255111211435254E-2</v>
      </c>
    </row>
    <row r="12" spans="2:29" x14ac:dyDescent="0.3">
      <c r="B12" s="1" t="s">
        <v>13</v>
      </c>
      <c r="C12" s="588" t="s">
        <v>14</v>
      </c>
      <c r="I12" s="508" t="s">
        <v>73</v>
      </c>
      <c r="J12" s="55">
        <v>0</v>
      </c>
      <c r="L12" s="555" t="s">
        <v>780</v>
      </c>
      <c r="M12" s="556">
        <v>0.1</v>
      </c>
      <c r="N12" s="556">
        <v>0.1</v>
      </c>
      <c r="O12" s="556">
        <v>0.1</v>
      </c>
      <c r="W12" s="568">
        <f t="shared" si="0"/>
        <v>197000</v>
      </c>
      <c r="X12" s="571">
        <f t="shared" si="1"/>
        <v>1</v>
      </c>
      <c r="Y12" s="622" t="str">
        <v>NEG IRR</v>
      </c>
      <c r="Z12" s="625" t="str">
        <v>NONE</v>
      </c>
      <c r="AA12" s="633">
        <v>-853.60796313259561</v>
      </c>
      <c r="AB12" s="630">
        <v>-3.1938765320627498E-2</v>
      </c>
    </row>
    <row r="13" spans="2:29" x14ac:dyDescent="0.3">
      <c r="B13" s="331" t="s">
        <v>83</v>
      </c>
      <c r="C13" s="312">
        <f>20000*G34</f>
        <v>20000</v>
      </c>
      <c r="D13" s="107"/>
      <c r="E13" s="53" t="s">
        <v>157</v>
      </c>
      <c r="F13" s="588" t="s">
        <v>158</v>
      </c>
      <c r="G13" s="285" t="s">
        <v>74</v>
      </c>
      <c r="L13" s="557" t="s">
        <v>781</v>
      </c>
      <c r="M13" s="550">
        <f>M12*M4</f>
        <v>3000</v>
      </c>
      <c r="N13" s="550">
        <f>N12*N4</f>
        <v>3000</v>
      </c>
      <c r="O13" s="550">
        <f>O12*O4</f>
        <v>9850</v>
      </c>
      <c r="W13" s="568">
        <f t="shared" si="0"/>
        <v>216700.00000000003</v>
      </c>
      <c r="X13" s="571">
        <f t="shared" si="1"/>
        <v>1.2</v>
      </c>
      <c r="Y13" s="622" t="str">
        <v>NEG IRR</v>
      </c>
      <c r="Z13" s="625" t="str">
        <v>NONE</v>
      </c>
      <c r="AA13" s="633">
        <v>-3611.6079631326029</v>
      </c>
      <c r="AB13" s="630">
        <v>-0.13513264185269053</v>
      </c>
    </row>
    <row r="14" spans="2:29" ht="15" thickBot="1" x14ac:dyDescent="0.35">
      <c r="B14" s="310" t="s">
        <v>84</v>
      </c>
      <c r="C14" s="307">
        <v>3500</v>
      </c>
      <c r="D14" s="107"/>
      <c r="E14" s="500" t="s">
        <v>159</v>
      </c>
      <c r="F14" s="48">
        <v>0.7</v>
      </c>
      <c r="G14" s="286">
        <f>$C$29*F14</f>
        <v>68950</v>
      </c>
      <c r="K14" s="107"/>
      <c r="L14" s="558" t="s">
        <v>782</v>
      </c>
      <c r="M14" s="559">
        <f>M6+M11+M13</f>
        <v>26726.392036867404</v>
      </c>
      <c r="N14" s="559">
        <f>N6+N11+N13</f>
        <v>22107.192966666666</v>
      </c>
      <c r="O14" s="559">
        <f>O6+O11+O13</f>
        <v>13790</v>
      </c>
      <c r="W14" s="568">
        <f t="shared" si="0"/>
        <v>236400</v>
      </c>
      <c r="X14" s="571">
        <f t="shared" si="1"/>
        <v>1.4</v>
      </c>
      <c r="Y14" s="622" t="str">
        <v>NEG IRR</v>
      </c>
      <c r="Z14" s="625" t="str">
        <v>NONE</v>
      </c>
      <c r="AA14" s="633">
        <v>-6369.6079631325956</v>
      </c>
      <c r="AB14" s="630">
        <v>-0.23832651838475299</v>
      </c>
    </row>
    <row r="15" spans="2:29" ht="15" customHeight="1" thickTop="1" x14ac:dyDescent="0.3">
      <c r="B15" s="310" t="s">
        <v>85</v>
      </c>
      <c r="C15" s="307">
        <v>30000</v>
      </c>
      <c r="D15" s="107"/>
      <c r="E15" s="501" t="s">
        <v>160</v>
      </c>
      <c r="F15" s="48">
        <v>0.3</v>
      </c>
      <c r="G15" s="286">
        <f>$C$29*F15</f>
        <v>29550</v>
      </c>
      <c r="L15" s="618" t="s">
        <v>845</v>
      </c>
      <c r="M15" s="645">
        <f>M14-O14</f>
        <v>12936.392036867404</v>
      </c>
      <c r="N15" s="645">
        <f>N14-O14</f>
        <v>8317.1929666666656</v>
      </c>
      <c r="W15" s="569">
        <f t="shared" si="0"/>
        <v>256099.99999999997</v>
      </c>
      <c r="X15" s="572">
        <f>X14+20%</f>
        <v>1.5999999999999999</v>
      </c>
      <c r="Y15" s="623" t="str">
        <v>NEG IRR</v>
      </c>
      <c r="Z15" s="626" t="str">
        <v>NONE</v>
      </c>
      <c r="AA15" s="634">
        <v>-9127.6079631325956</v>
      </c>
      <c r="AB15" s="631">
        <v>-0.34152039491681574</v>
      </c>
    </row>
    <row r="16" spans="2:29" x14ac:dyDescent="0.3">
      <c r="B16" s="310" t="s">
        <v>87</v>
      </c>
      <c r="C16" s="307">
        <v>45000</v>
      </c>
      <c r="D16" s="107"/>
      <c r="E16" s="49" t="s">
        <v>161</v>
      </c>
      <c r="F16" s="48">
        <v>0</v>
      </c>
      <c r="G16" s="286">
        <f>$C$29*F16</f>
        <v>0</v>
      </c>
      <c r="L16" s="619" t="s">
        <v>851</v>
      </c>
      <c r="M16" s="647">
        <f>M15/M14</f>
        <v>0.48403061733968628</v>
      </c>
      <c r="N16" s="647">
        <f>N15/N14</f>
        <v>0.37622112310718825</v>
      </c>
    </row>
    <row r="17" spans="2:8" x14ac:dyDescent="0.3">
      <c r="B17" s="310" t="s">
        <v>4</v>
      </c>
      <c r="C17" s="307">
        <v>0</v>
      </c>
      <c r="D17" s="107"/>
      <c r="E17" s="16" t="s">
        <v>162</v>
      </c>
      <c r="F17" s="400">
        <f>SUM(F14:F16)</f>
        <v>1</v>
      </c>
      <c r="G17" s="10">
        <f>SUM(G14:G16)</f>
        <v>98500</v>
      </c>
    </row>
    <row r="18" spans="2:8" x14ac:dyDescent="0.3">
      <c r="B18" s="310" t="s">
        <v>5</v>
      </c>
      <c r="C18" s="307">
        <v>0</v>
      </c>
      <c r="D18" s="107"/>
    </row>
    <row r="19" spans="2:8" x14ac:dyDescent="0.3">
      <c r="B19" s="310" t="s">
        <v>6</v>
      </c>
      <c r="C19" s="307">
        <v>0</v>
      </c>
      <c r="D19" s="107"/>
      <c r="E19" s="53" t="s">
        <v>164</v>
      </c>
      <c r="F19" s="276"/>
    </row>
    <row r="20" spans="2:8" x14ac:dyDescent="0.3">
      <c r="B20" s="310" t="s">
        <v>7</v>
      </c>
      <c r="C20" s="307">
        <v>0</v>
      </c>
      <c r="D20" s="107"/>
      <c r="E20" s="502" t="s">
        <v>182</v>
      </c>
      <c r="F20" s="275"/>
      <c r="G20" s="302">
        <f>IF(D9="Djibouti",Currency!Q8,IF(D9="Ethiopia",Currency!Q9,IF(D9="Kenya",Currency!Q10,IF(D9="Rwanda",Currency!Q11,IF(D9="Tanzania",Currency!Q12,IF(D9="Uganda",Currency!Q13,0))))))</f>
        <v>0.119657894736842</v>
      </c>
    </row>
    <row r="21" spans="2:8" x14ac:dyDescent="0.3">
      <c r="B21" s="310" t="s">
        <v>8</v>
      </c>
      <c r="C21" s="307">
        <v>0</v>
      </c>
      <c r="D21" s="107"/>
      <c r="E21" s="503" t="s">
        <v>68</v>
      </c>
      <c r="F21" s="498"/>
      <c r="G21" s="52">
        <v>10</v>
      </c>
    </row>
    <row r="22" spans="2:8" x14ac:dyDescent="0.3">
      <c r="B22" s="310" t="s">
        <v>9</v>
      </c>
      <c r="C22" s="307">
        <v>0</v>
      </c>
      <c r="D22" s="107"/>
    </row>
    <row r="23" spans="2:8" x14ac:dyDescent="0.3">
      <c r="B23" s="310" t="s">
        <v>10</v>
      </c>
      <c r="C23" s="307">
        <v>0</v>
      </c>
      <c r="D23" s="107"/>
    </row>
    <row r="24" spans="2:8" x14ac:dyDescent="0.3">
      <c r="B24" s="310" t="s">
        <v>11</v>
      </c>
      <c r="C24" s="307">
        <v>0</v>
      </c>
      <c r="D24" s="107"/>
      <c r="E24" s="277" t="s">
        <v>177</v>
      </c>
      <c r="F24" s="66"/>
      <c r="G24" s="311" t="s">
        <v>195</v>
      </c>
      <c r="H24" s="401" t="s">
        <v>17</v>
      </c>
    </row>
    <row r="25" spans="2:8" ht="15" customHeight="1" x14ac:dyDescent="0.3">
      <c r="B25" s="310" t="s">
        <v>26</v>
      </c>
      <c r="C25" s="307">
        <v>0</v>
      </c>
      <c r="D25" s="107"/>
      <c r="E25" s="65" t="s">
        <v>727</v>
      </c>
      <c r="F25" s="357"/>
      <c r="G25" s="581">
        <v>21</v>
      </c>
      <c r="H25" s="306" t="s">
        <v>827</v>
      </c>
    </row>
    <row r="26" spans="2:8" x14ac:dyDescent="0.3">
      <c r="B26" s="310" t="s">
        <v>665</v>
      </c>
      <c r="C26" s="307">
        <v>0</v>
      </c>
      <c r="D26" s="107"/>
      <c r="E26" s="61" t="s">
        <v>555</v>
      </c>
      <c r="F26" s="275"/>
      <c r="G26" s="580">
        <f>G28*24</f>
        <v>8568</v>
      </c>
      <c r="H26" s="305" t="s">
        <v>545</v>
      </c>
    </row>
    <row r="27" spans="2:8" x14ac:dyDescent="0.3">
      <c r="B27" s="310" t="s">
        <v>666</v>
      </c>
      <c r="C27" s="307">
        <v>0</v>
      </c>
      <c r="D27" s="107"/>
      <c r="E27" s="61" t="s">
        <v>729</v>
      </c>
      <c r="F27" s="275"/>
      <c r="G27" s="574">
        <v>100000</v>
      </c>
      <c r="H27" s="305" t="s">
        <v>733</v>
      </c>
    </row>
    <row r="28" spans="2:8" x14ac:dyDescent="0.3">
      <c r="B28" s="323" t="s">
        <v>762</v>
      </c>
      <c r="C28" s="318">
        <v>0</v>
      </c>
      <c r="D28" s="107"/>
      <c r="E28" s="61" t="s">
        <v>732</v>
      </c>
      <c r="F28" s="275"/>
      <c r="G28" s="583">
        <f>G30*G31</f>
        <v>357</v>
      </c>
      <c r="H28" s="305" t="s">
        <v>601</v>
      </c>
    </row>
    <row r="29" spans="2:8" x14ac:dyDescent="0.3">
      <c r="B29" s="9" t="s">
        <v>15</v>
      </c>
      <c r="C29" s="10">
        <f>SUM(C13:C28)*(1+$R$11)</f>
        <v>98500</v>
      </c>
      <c r="E29" s="61" t="s">
        <v>730</v>
      </c>
      <c r="F29" s="275"/>
      <c r="G29" s="612">
        <f>1/21</f>
        <v>4.7619047619047616E-2</v>
      </c>
      <c r="H29" s="305" t="s">
        <v>603</v>
      </c>
    </row>
    <row r="30" spans="2:8" x14ac:dyDescent="0.3">
      <c r="E30" s="61" t="s">
        <v>785</v>
      </c>
      <c r="F30" s="275"/>
      <c r="G30" s="582">
        <v>7</v>
      </c>
      <c r="H30" s="305" t="s">
        <v>783</v>
      </c>
    </row>
    <row r="31" spans="2:8" x14ac:dyDescent="0.3">
      <c r="E31" s="61" t="s">
        <v>785</v>
      </c>
      <c r="F31" s="275"/>
      <c r="G31" s="582">
        <v>51</v>
      </c>
      <c r="H31" s="305" t="s">
        <v>784</v>
      </c>
    </row>
    <row r="32" spans="2:8" x14ac:dyDescent="0.3">
      <c r="E32" s="61" t="s">
        <v>731</v>
      </c>
      <c r="F32" s="275"/>
      <c r="G32" s="583">
        <f>G28*G29</f>
        <v>17</v>
      </c>
      <c r="H32" s="305" t="s">
        <v>546</v>
      </c>
    </row>
    <row r="33" spans="4:75" x14ac:dyDescent="0.3">
      <c r="E33" s="61" t="s">
        <v>734</v>
      </c>
      <c r="F33" s="275"/>
      <c r="G33" s="576">
        <f>G32*G27</f>
        <v>1700000</v>
      </c>
      <c r="H33" s="305" t="s">
        <v>799</v>
      </c>
    </row>
    <row r="34" spans="4:75" x14ac:dyDescent="0.3">
      <c r="E34" s="61" t="s">
        <v>735</v>
      </c>
      <c r="F34" s="275"/>
      <c r="G34" s="581">
        <v>1</v>
      </c>
      <c r="H34" s="305" t="s">
        <v>598</v>
      </c>
    </row>
    <row r="35" spans="4:75" ht="15" customHeight="1" x14ac:dyDescent="0.3">
      <c r="E35" s="61" t="s">
        <v>728</v>
      </c>
      <c r="F35" s="275"/>
      <c r="G35" s="589">
        <v>0.2</v>
      </c>
      <c r="H35" s="305" t="s">
        <v>155</v>
      </c>
    </row>
    <row r="36" spans="4:75" x14ac:dyDescent="0.3">
      <c r="E36" s="61" t="s">
        <v>828</v>
      </c>
      <c r="F36" s="275"/>
      <c r="G36" s="577">
        <f>(1-G35)*G33*G34</f>
        <v>1360000</v>
      </c>
      <c r="H36" s="305" t="s">
        <v>726</v>
      </c>
    </row>
    <row r="37" spans="4:75" x14ac:dyDescent="0.3">
      <c r="E37" s="599" t="s">
        <v>825</v>
      </c>
      <c r="F37" s="284"/>
      <c r="G37" s="358">
        <v>310</v>
      </c>
      <c r="H37" s="305" t="s">
        <v>823</v>
      </c>
    </row>
    <row r="38" spans="4:75" x14ac:dyDescent="0.3">
      <c r="E38" s="599" t="s">
        <v>825</v>
      </c>
      <c r="F38" s="284"/>
      <c r="G38" s="358">
        <f>G37*1.05506</f>
        <v>327.06860000000006</v>
      </c>
      <c r="H38" s="305" t="s">
        <v>824</v>
      </c>
    </row>
    <row r="39" spans="4:75" x14ac:dyDescent="0.3">
      <c r="E39" s="601" t="s">
        <v>826</v>
      </c>
      <c r="F39" s="283"/>
      <c r="G39" s="288">
        <f>G38*G33*G34/1000</f>
        <v>556016.62000000011</v>
      </c>
      <c r="H39" s="316" t="s">
        <v>810</v>
      </c>
      <c r="I39" s="390"/>
    </row>
    <row r="42" spans="4:75" x14ac:dyDescent="0.3">
      <c r="I42" s="390"/>
    </row>
    <row r="43" spans="4:75" x14ac:dyDescent="0.3">
      <c r="D43" s="354"/>
    </row>
    <row r="47" spans="4:75" x14ac:dyDescent="0.3">
      <c r="BW47" s="299" t="s">
        <v>31</v>
      </c>
    </row>
    <row r="48" spans="4:75" x14ac:dyDescent="0.3">
      <c r="BW48" s="27" t="s">
        <v>35</v>
      </c>
    </row>
    <row r="49" spans="75:75" x14ac:dyDescent="0.3">
      <c r="BW49" s="27" t="s">
        <v>39</v>
      </c>
    </row>
    <row r="50" spans="75:75" x14ac:dyDescent="0.3">
      <c r="BW50" s="27" t="s">
        <v>42</v>
      </c>
    </row>
    <row r="51" spans="75:75" x14ac:dyDescent="0.3">
      <c r="BW51" s="27" t="s">
        <v>45</v>
      </c>
    </row>
    <row r="52" spans="75:75" x14ac:dyDescent="0.3">
      <c r="BW52" s="30" t="s">
        <v>48</v>
      </c>
    </row>
    <row r="55" spans="75:75" x14ac:dyDescent="0.3">
      <c r="BW55" t="s">
        <v>81</v>
      </c>
    </row>
    <row r="56" spans="75:75" x14ac:dyDescent="0.3">
      <c r="BW56" t="s">
        <v>69</v>
      </c>
    </row>
  </sheetData>
  <mergeCells count="2">
    <mergeCell ref="M2:O2"/>
    <mergeCell ref="W4:X4"/>
  </mergeCells>
  <conditionalFormatting sqref="Z5:Z15">
    <cfRule type="cellIs" dxfId="35" priority="22" operator="between">
      <formula>$AC$7</formula>
      <formula>$AC$8</formula>
    </cfRule>
    <cfRule type="cellIs" dxfId="34" priority="23" operator="greaterThan">
      <formula>$AC$8</formula>
    </cfRule>
    <cfRule type="cellIs" dxfId="33" priority="24" operator="lessThan">
      <formula>$AC$7</formula>
    </cfRule>
  </conditionalFormatting>
  <conditionalFormatting sqref="Y5:Y15">
    <cfRule type="containsText" dxfId="32" priority="17" operator="containsText" text="NEG IRR">
      <formula>NOT(ISERROR(SEARCH("NEG IRR",Y5)))</formula>
    </cfRule>
    <cfRule type="containsText" dxfId="31" priority="18" operator="containsText" text="ERROR">
      <formula>NOT(ISERROR(SEARCH("ERROR",Y5)))</formula>
    </cfRule>
    <cfRule type="cellIs" dxfId="30" priority="19" operator="between">
      <formula>$AC$4</formula>
      <formula>$AC$5</formula>
    </cfRule>
    <cfRule type="cellIs" dxfId="29" priority="20" operator="greaterThan">
      <formula>$AC$5</formula>
    </cfRule>
    <cfRule type="cellIs" dxfId="28" priority="21" operator="lessThan">
      <formula>$AC$4</formula>
    </cfRule>
  </conditionalFormatting>
  <conditionalFormatting sqref="AA5:AA15">
    <cfRule type="cellIs" dxfId="27" priority="11" operator="lessThan">
      <formula>0</formula>
    </cfRule>
    <cfRule type="cellIs" dxfId="26" priority="12" operator="greaterThan">
      <formula>0</formula>
    </cfRule>
  </conditionalFormatting>
  <conditionalFormatting sqref="AB5:AB15">
    <cfRule type="cellIs" dxfId="25" priority="9" operator="lessThan">
      <formula>0</formula>
    </cfRule>
    <cfRule type="cellIs" dxfId="24" priority="10" operator="greaterThan">
      <formula>0</formula>
    </cfRule>
  </conditionalFormatting>
  <conditionalFormatting sqref="N15">
    <cfRule type="cellIs" dxfId="23" priority="7" operator="lessThan">
      <formula>0</formula>
    </cfRule>
    <cfRule type="cellIs" dxfId="22" priority="8" operator="greaterThan">
      <formula>0</formula>
    </cfRule>
  </conditionalFormatting>
  <conditionalFormatting sqref="N16">
    <cfRule type="cellIs" dxfId="21" priority="5" operator="lessThan">
      <formula>0</formula>
    </cfRule>
    <cfRule type="cellIs" dxfId="20" priority="6" operator="greaterThan">
      <formula>0</formula>
    </cfRule>
  </conditionalFormatting>
  <conditionalFormatting sqref="M15">
    <cfRule type="cellIs" dxfId="19" priority="3" operator="lessThan">
      <formula>0</formula>
    </cfRule>
    <cfRule type="cellIs" dxfId="18" priority="4" operator="greaterThan">
      <formula>0</formula>
    </cfRule>
  </conditionalFormatting>
  <conditionalFormatting sqref="M16">
    <cfRule type="cellIs" dxfId="17" priority="1" operator="lessThan">
      <formula>0</formula>
    </cfRule>
    <cfRule type="cellIs" dxfId="16" priority="2" operator="greaterThan">
      <formula>0</formula>
    </cfRule>
  </conditionalFormatting>
  <dataValidations count="1">
    <dataValidation type="list" allowBlank="1" showInputMessage="1" showErrorMessage="1" sqref="D9" xr:uid="{E5E56F21-00CE-4174-AB0F-12B19798B708}">
      <formula1>$BW$47:$BW$52</formula1>
    </dataValidation>
  </dataValidations>
  <pageMargins left="0.7" right="0.7" top="0.75" bottom="0.75" header="0.3" footer="0.3"/>
  <pageSetup orientation="portrait" r:id="rId1"/>
  <drawing r:id="rId2"/>
  <legacyDrawing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790ADF-DDEA-4FFE-98FE-3A3221FEE3EC}">
  <sheetPr>
    <tabColor rgb="FFFF0000"/>
  </sheetPr>
  <dimension ref="B2:BW56"/>
  <sheetViews>
    <sheetView showGridLines="0" zoomScale="80" zoomScaleNormal="80" workbookViewId="0"/>
  </sheetViews>
  <sheetFormatPr defaultRowHeight="14.4" x14ac:dyDescent="0.3"/>
  <cols>
    <col min="1" max="1" width="3.44140625" customWidth="1"/>
    <col min="2" max="2" width="41.6640625" customWidth="1"/>
    <col min="3" max="3" width="18.6640625" customWidth="1"/>
    <col min="5" max="5" width="20" customWidth="1"/>
    <col min="6" max="6" width="25.88671875" customWidth="1"/>
    <col min="7" max="7" width="17" customWidth="1"/>
    <col min="8" max="8" width="14.109375" customWidth="1"/>
    <col min="9" max="9" width="32.44140625" customWidth="1"/>
    <col min="10" max="10" width="11.6640625" customWidth="1"/>
    <col min="11" max="11" width="6.109375" customWidth="1"/>
    <col min="12" max="12" width="45.88671875" customWidth="1"/>
    <col min="13" max="13" width="21.6640625" customWidth="1"/>
    <col min="14" max="14" width="20" customWidth="1"/>
    <col min="15" max="15" width="18.6640625" customWidth="1"/>
    <col min="17" max="17" width="14" customWidth="1"/>
    <col min="23" max="23" width="11.109375" customWidth="1"/>
    <col min="24" max="24" width="12" customWidth="1"/>
    <col min="25" max="26" width="15" bestFit="1" customWidth="1"/>
    <col min="27" max="27" width="18.88671875" customWidth="1"/>
    <col min="28" max="28" width="17.88671875" customWidth="1"/>
    <col min="29" max="32" width="15" bestFit="1" customWidth="1"/>
  </cols>
  <sheetData>
    <row r="2" spans="2:29" x14ac:dyDescent="0.3">
      <c r="L2" s="528"/>
      <c r="M2" s="793" t="s">
        <v>849</v>
      </c>
      <c r="N2" s="794"/>
      <c r="O2" s="795"/>
    </row>
    <row r="3" spans="2:29" x14ac:dyDescent="0.3">
      <c r="L3" s="528"/>
      <c r="M3" s="529" t="s">
        <v>830</v>
      </c>
      <c r="N3" s="529" t="s">
        <v>850</v>
      </c>
      <c r="O3" s="529" t="s">
        <v>769</v>
      </c>
      <c r="Y3" s="617" t="s">
        <v>788</v>
      </c>
      <c r="Z3" s="1" t="s">
        <v>789</v>
      </c>
      <c r="AA3" s="1" t="s">
        <v>846</v>
      </c>
      <c r="AB3" s="1" t="s">
        <v>852</v>
      </c>
    </row>
    <row r="4" spans="2:29" x14ac:dyDescent="0.3">
      <c r="L4" s="530" t="s">
        <v>770</v>
      </c>
      <c r="M4" s="585">
        <f>20000*2</f>
        <v>40000</v>
      </c>
      <c r="N4" s="585">
        <f>20000*2</f>
        <v>40000</v>
      </c>
      <c r="O4" s="585">
        <f>C29</f>
        <v>118500</v>
      </c>
      <c r="W4" s="796" t="s">
        <v>13</v>
      </c>
      <c r="X4" s="797"/>
      <c r="Y4" s="627">
        <f>Greenhouse_Retro_CashFlows!AP4</f>
        <v>0.11416119077906761</v>
      </c>
      <c r="Z4" s="635">
        <f>Greenhouse_Retro_CashFlows!AU4</f>
        <v>13</v>
      </c>
      <c r="AA4" s="628">
        <f>N15</f>
        <v>18943.350429836151</v>
      </c>
      <c r="AB4" s="636">
        <f>N16</f>
        <v>0.53311467116621969</v>
      </c>
      <c r="AC4" s="495">
        <v>0.1</v>
      </c>
    </row>
    <row r="5" spans="2:29" x14ac:dyDescent="0.3">
      <c r="L5" s="533" t="s">
        <v>814</v>
      </c>
      <c r="M5" s="604">
        <v>20</v>
      </c>
      <c r="N5" s="604">
        <v>20</v>
      </c>
      <c r="O5" s="605">
        <v>25</v>
      </c>
      <c r="W5" s="567">
        <f>SUM($C$13:$C$28)*(1+$X5)</f>
        <v>71100</v>
      </c>
      <c r="X5" s="570">
        <v>-0.4</v>
      </c>
      <c r="Y5" s="622">
        <f t="dataTable" ref="Y5:AB15" dt2D="0" dtr="0" r1="R11"/>
        <v>0.49277710341583481</v>
      </c>
      <c r="Z5" s="624">
        <v>3</v>
      </c>
      <c r="AA5" s="632">
        <v>25579.350429836151</v>
      </c>
      <c r="AB5" s="453">
        <v>0.71986880269973186</v>
      </c>
      <c r="AC5" s="496">
        <v>0.14990000000000001</v>
      </c>
    </row>
    <row r="6" spans="2:29" x14ac:dyDescent="0.3">
      <c r="B6" s="19" t="s">
        <v>20</v>
      </c>
      <c r="C6" s="20"/>
      <c r="D6" s="21"/>
      <c r="F6" s="590" t="s">
        <v>19</v>
      </c>
      <c r="G6" s="317">
        <v>44197</v>
      </c>
      <c r="I6" s="16" t="s">
        <v>165</v>
      </c>
      <c r="J6" s="26"/>
      <c r="L6" s="557" t="s">
        <v>815</v>
      </c>
      <c r="M6" s="606">
        <f>M4/M5</f>
        <v>2000</v>
      </c>
      <c r="N6" s="606">
        <f>N4/N5</f>
        <v>2000</v>
      </c>
      <c r="O6" s="606">
        <f>O4/O5</f>
        <v>4740</v>
      </c>
      <c r="Q6" s="1" t="s">
        <v>0</v>
      </c>
      <c r="W6" s="568">
        <f t="shared" ref="W6:W15" si="0">SUM($C$13:$C$28)*(1+$X6)</f>
        <v>94800</v>
      </c>
      <c r="X6" s="571">
        <f>X5+20%</f>
        <v>-0.2</v>
      </c>
      <c r="Y6" s="622">
        <v>0.23163114520807326</v>
      </c>
      <c r="Z6" s="625">
        <v>6</v>
      </c>
      <c r="AA6" s="633">
        <v>22261.350429836151</v>
      </c>
      <c r="AB6" s="630">
        <v>0.62649173693297577</v>
      </c>
    </row>
    <row r="7" spans="2:29" x14ac:dyDescent="0.3">
      <c r="B7" s="49" t="s">
        <v>21</v>
      </c>
      <c r="C7" s="22" t="s">
        <v>22</v>
      </c>
      <c r="D7" s="23"/>
      <c r="I7" s="16" t="s">
        <v>166</v>
      </c>
      <c r="J7" s="315">
        <f>IF(D9="Djibouti",'Data Sources'!C54,IF(D9="Ethiopia",'Data Sources'!D54,IF(D9="Kenya",'Data Sources'!E54,IF(D9="Rwanda",'Data Sources'!F54,IF(D9="Tanzania",'Data Sources'!G54,IF(D9="Uganda",'Data Sources'!H54,0))))))</f>
        <v>0.3</v>
      </c>
      <c r="K7" s="107"/>
      <c r="L7" s="530" t="s">
        <v>816</v>
      </c>
      <c r="M7" s="534">
        <f>G33</f>
        <v>1149070.6931944655</v>
      </c>
      <c r="N7" s="534">
        <f>G33</f>
        <v>1149070.6931944655</v>
      </c>
      <c r="O7" s="534">
        <f>G33</f>
        <v>1149070.6931944655</v>
      </c>
      <c r="Q7" s="2" t="s">
        <v>1</v>
      </c>
      <c r="S7" s="354"/>
      <c r="W7" s="568">
        <f t="shared" si="0"/>
        <v>118500</v>
      </c>
      <c r="X7" s="571">
        <f t="shared" ref="X7:X14" si="1">X6+20%</f>
        <v>0</v>
      </c>
      <c r="Y7" s="622">
        <v>0.11416119077906761</v>
      </c>
      <c r="Z7" s="625">
        <v>13</v>
      </c>
      <c r="AA7" s="633">
        <v>18943.350429836151</v>
      </c>
      <c r="AB7" s="630">
        <v>0.53311467116621969</v>
      </c>
      <c r="AC7" s="573">
        <v>10</v>
      </c>
    </row>
    <row r="8" spans="2:29" x14ac:dyDescent="0.3">
      <c r="B8" s="509" t="s">
        <v>23</v>
      </c>
      <c r="C8" s="15" t="s">
        <v>798</v>
      </c>
      <c r="D8" s="24"/>
      <c r="F8" s="19" t="s">
        <v>168</v>
      </c>
      <c r="G8" s="26"/>
      <c r="K8" s="107"/>
      <c r="L8" s="533" t="s">
        <v>818</v>
      </c>
      <c r="M8" s="534">
        <v>41.5</v>
      </c>
      <c r="N8" s="534">
        <v>46.3</v>
      </c>
      <c r="O8" s="541">
        <v>0</v>
      </c>
      <c r="Q8" s="3" t="s">
        <v>2</v>
      </c>
      <c r="S8" s="354"/>
      <c r="W8" s="568">
        <f t="shared" si="0"/>
        <v>142200</v>
      </c>
      <c r="X8" s="571">
        <f t="shared" si="1"/>
        <v>0.2</v>
      </c>
      <c r="Y8" s="622">
        <v>4.2836769310365286E-2</v>
      </c>
      <c r="Z8" s="625">
        <v>19</v>
      </c>
      <c r="AA8" s="633">
        <v>15625.350429836151</v>
      </c>
      <c r="AB8" s="630">
        <v>0.43973760539946366</v>
      </c>
      <c r="AC8" s="573">
        <v>15</v>
      </c>
    </row>
    <row r="9" spans="2:29" x14ac:dyDescent="0.3">
      <c r="B9" s="509" t="s">
        <v>24</v>
      </c>
      <c r="C9" s="22" t="s">
        <v>396</v>
      </c>
      <c r="D9" s="25" t="s">
        <v>45</v>
      </c>
      <c r="F9" s="500" t="s">
        <v>169</v>
      </c>
      <c r="G9" s="303" t="str">
        <f>VLOOKUP(D9,Currency!B8:F13,2,0)</f>
        <v>T Shilling</v>
      </c>
      <c r="I9" s="56" t="s">
        <v>70</v>
      </c>
      <c r="J9" s="21"/>
      <c r="L9" s="533" t="s">
        <v>832</v>
      </c>
      <c r="M9" s="607">
        <f>M7/M8</f>
        <v>27688.450438420856</v>
      </c>
      <c r="N9" s="607">
        <f>N7/N8</f>
        <v>24817.941537677441</v>
      </c>
      <c r="O9" s="541">
        <v>0</v>
      </c>
      <c r="Q9" s="4" t="s">
        <v>3</v>
      </c>
      <c r="S9" s="354"/>
      <c r="W9" s="568">
        <f t="shared" si="0"/>
        <v>165900</v>
      </c>
      <c r="X9" s="571">
        <f t="shared" si="1"/>
        <v>0.4</v>
      </c>
      <c r="Y9" s="622">
        <v>-7.0342929640163643E-3</v>
      </c>
      <c r="Z9" s="625" t="str">
        <v>NONE</v>
      </c>
      <c r="AA9" s="633">
        <v>12307.350429836151</v>
      </c>
      <c r="AB9" s="630">
        <v>0.34636053963270758</v>
      </c>
    </row>
    <row r="10" spans="2:29" x14ac:dyDescent="0.3">
      <c r="F10" s="509" t="s">
        <v>170</v>
      </c>
      <c r="G10" s="304" t="str">
        <f>VLOOKUP(D9,Currency!B8:F13,3,0)</f>
        <v>TZS</v>
      </c>
      <c r="I10" s="16" t="s">
        <v>870</v>
      </c>
      <c r="J10" s="55">
        <v>25</v>
      </c>
      <c r="L10" s="544" t="s">
        <v>848</v>
      </c>
      <c r="M10" s="548">
        <v>0.54</v>
      </c>
      <c r="N10" s="548">
        <v>1.19</v>
      </c>
      <c r="O10" s="549">
        <v>0</v>
      </c>
      <c r="W10" s="568">
        <f t="shared" si="0"/>
        <v>189600</v>
      </c>
      <c r="X10" s="571">
        <f t="shared" si="1"/>
        <v>0.60000000000000009</v>
      </c>
      <c r="Y10" s="622">
        <v>-4.6938209808375153E-2</v>
      </c>
      <c r="Z10" s="625" t="str">
        <v>NONE</v>
      </c>
      <c r="AA10" s="633">
        <v>8989.3504298361513</v>
      </c>
      <c r="AB10" s="630">
        <v>0.25298347386595155</v>
      </c>
    </row>
    <row r="11" spans="2:29" x14ac:dyDescent="0.3">
      <c r="B11" s="587" t="s">
        <v>12</v>
      </c>
      <c r="C11" s="588"/>
      <c r="F11" s="49" t="str">
        <f>"Exchng Rate " &amp; "(" &amp; G10 &amp; "/USD" &amp;")"</f>
        <v>Exchng Rate (TZS/USD)</v>
      </c>
      <c r="G11" s="304">
        <f>VLOOKUP(D9,Currency!B8:F13,4,0)</f>
        <v>2309.06</v>
      </c>
      <c r="I11" s="508" t="s">
        <v>72</v>
      </c>
      <c r="J11" s="54">
        <f>C29</f>
        <v>118500</v>
      </c>
      <c r="L11" s="545" t="s">
        <v>776</v>
      </c>
      <c r="M11" s="550">
        <f>M9*M10</f>
        <v>14951.763236747263</v>
      </c>
      <c r="N11" s="550">
        <f>N9*N10</f>
        <v>29533.350429836155</v>
      </c>
      <c r="O11" s="550">
        <f>O9*O10</f>
        <v>0</v>
      </c>
      <c r="Q11" s="9" t="s">
        <v>13</v>
      </c>
      <c r="R11" s="489">
        <v>0</v>
      </c>
      <c r="W11" s="568">
        <f t="shared" si="0"/>
        <v>213300</v>
      </c>
      <c r="X11" s="571">
        <f t="shared" si="1"/>
        <v>0.8</v>
      </c>
      <c r="Y11" s="622">
        <v>-9.2175668278066669E-2</v>
      </c>
      <c r="Z11" s="625" t="str">
        <v>NONE</v>
      </c>
      <c r="AA11" s="633">
        <v>5671.3504298361513</v>
      </c>
      <c r="AB11" s="630">
        <v>0.15960640809919546</v>
      </c>
    </row>
    <row r="12" spans="2:29" x14ac:dyDescent="0.3">
      <c r="B12" s="1" t="s">
        <v>13</v>
      </c>
      <c r="C12" s="588" t="s">
        <v>14</v>
      </c>
      <c r="I12" s="508" t="s">
        <v>73</v>
      </c>
      <c r="J12" s="55">
        <v>0</v>
      </c>
      <c r="L12" s="555" t="s">
        <v>780</v>
      </c>
      <c r="M12" s="556">
        <v>0.1</v>
      </c>
      <c r="N12" s="556">
        <v>0.1</v>
      </c>
      <c r="O12" s="556">
        <v>0.1</v>
      </c>
      <c r="W12" s="568">
        <f t="shared" si="0"/>
        <v>237000</v>
      </c>
      <c r="X12" s="571">
        <f t="shared" si="1"/>
        <v>1</v>
      </c>
      <c r="Y12" s="622" t="str">
        <v>NEG IRR</v>
      </c>
      <c r="Z12" s="625" t="str">
        <v>NONE</v>
      </c>
      <c r="AA12" s="633">
        <v>2353.3504298361513</v>
      </c>
      <c r="AB12" s="630">
        <v>6.6229342332439406E-2</v>
      </c>
    </row>
    <row r="13" spans="2:29" x14ac:dyDescent="0.3">
      <c r="B13" s="331" t="s">
        <v>83</v>
      </c>
      <c r="C13" s="312">
        <f>20000*2</f>
        <v>40000</v>
      </c>
      <c r="D13" s="107"/>
      <c r="E13" s="53" t="s">
        <v>157</v>
      </c>
      <c r="F13" s="588" t="s">
        <v>158</v>
      </c>
      <c r="G13" s="285" t="s">
        <v>74</v>
      </c>
      <c r="L13" s="557" t="s">
        <v>781</v>
      </c>
      <c r="M13" s="550">
        <f>M12*M4</f>
        <v>4000</v>
      </c>
      <c r="N13" s="550">
        <f>N12*N4</f>
        <v>4000</v>
      </c>
      <c r="O13" s="550">
        <f>O12*O4</f>
        <v>11850</v>
      </c>
      <c r="W13" s="568">
        <f t="shared" si="0"/>
        <v>260700.00000000003</v>
      </c>
      <c r="X13" s="571">
        <f t="shared" si="1"/>
        <v>1.2</v>
      </c>
      <c r="Y13" s="622" t="str">
        <v>NEG IRR</v>
      </c>
      <c r="Z13" s="625" t="str">
        <v>NONE</v>
      </c>
      <c r="AA13" s="633">
        <v>-964.64957016385597</v>
      </c>
      <c r="AB13" s="630">
        <v>-2.7147723434316859E-2</v>
      </c>
    </row>
    <row r="14" spans="2:29" ht="15" thickBot="1" x14ac:dyDescent="0.35">
      <c r="B14" s="310" t="s">
        <v>84</v>
      </c>
      <c r="C14" s="307">
        <v>3500</v>
      </c>
      <c r="D14" s="107"/>
      <c r="E14" s="500" t="s">
        <v>159</v>
      </c>
      <c r="F14" s="48">
        <v>0.7</v>
      </c>
      <c r="G14" s="286">
        <f>$C$29*F14</f>
        <v>82950</v>
      </c>
      <c r="K14" s="107"/>
      <c r="L14" s="558" t="s">
        <v>782</v>
      </c>
      <c r="M14" s="559">
        <f>M6+M11+M13</f>
        <v>20951.763236747262</v>
      </c>
      <c r="N14" s="559">
        <f>N6+N11+N13</f>
        <v>35533.350429836151</v>
      </c>
      <c r="O14" s="559">
        <f>O6+O11+O13</f>
        <v>16590</v>
      </c>
      <c r="W14" s="568">
        <f t="shared" si="0"/>
        <v>284400</v>
      </c>
      <c r="X14" s="571">
        <f t="shared" si="1"/>
        <v>1.4</v>
      </c>
      <c r="Y14" s="622" t="str">
        <v>NEG IRR</v>
      </c>
      <c r="Z14" s="625" t="str">
        <v>NONE</v>
      </c>
      <c r="AA14" s="633">
        <v>-4282.6495701638487</v>
      </c>
      <c r="AB14" s="630">
        <v>-0.12052478920107272</v>
      </c>
    </row>
    <row r="15" spans="2:29" ht="15" customHeight="1" thickTop="1" x14ac:dyDescent="0.3">
      <c r="B15" s="310" t="s">
        <v>85</v>
      </c>
      <c r="C15" s="307">
        <v>30000</v>
      </c>
      <c r="D15" s="107"/>
      <c r="E15" s="501" t="s">
        <v>160</v>
      </c>
      <c r="F15" s="48">
        <v>0.3</v>
      </c>
      <c r="G15" s="286">
        <f>$C$29*F15</f>
        <v>35550</v>
      </c>
      <c r="L15" s="618" t="s">
        <v>845</v>
      </c>
      <c r="M15" s="620">
        <f>M14-O14</f>
        <v>4361.7632367472615</v>
      </c>
      <c r="N15" s="620">
        <f>N14-O14</f>
        <v>18943.350429836151</v>
      </c>
      <c r="W15" s="569">
        <f t="shared" si="0"/>
        <v>308099.99999999994</v>
      </c>
      <c r="X15" s="572">
        <f>X14+20%</f>
        <v>1.5999999999999999</v>
      </c>
      <c r="Y15" s="623" t="str">
        <v>NEG IRR</v>
      </c>
      <c r="Z15" s="626" t="str">
        <v>NONE</v>
      </c>
      <c r="AA15" s="634">
        <v>-7600.6495701638414</v>
      </c>
      <c r="AB15" s="631">
        <v>-0.21390185496782857</v>
      </c>
    </row>
    <row r="16" spans="2:29" x14ac:dyDescent="0.3">
      <c r="B16" s="310" t="s">
        <v>87</v>
      </c>
      <c r="C16" s="307">
        <v>45000</v>
      </c>
      <c r="D16" s="107"/>
      <c r="E16" s="49" t="s">
        <v>161</v>
      </c>
      <c r="F16" s="48">
        <v>0</v>
      </c>
      <c r="G16" s="286">
        <f>$C$29*F16</f>
        <v>0</v>
      </c>
      <c r="L16" s="619" t="s">
        <v>851</v>
      </c>
      <c r="M16" s="621">
        <f>M15/M14</f>
        <v>0.20818120114574284</v>
      </c>
      <c r="N16" s="621">
        <f>N15/N14</f>
        <v>0.53311467116621969</v>
      </c>
    </row>
    <row r="17" spans="2:8" x14ac:dyDescent="0.3">
      <c r="B17" s="310" t="s">
        <v>4</v>
      </c>
      <c r="C17" s="307">
        <v>0</v>
      </c>
      <c r="D17" s="107"/>
      <c r="E17" s="16" t="s">
        <v>162</v>
      </c>
      <c r="F17" s="400">
        <f>SUM(F14:F16)</f>
        <v>1</v>
      </c>
      <c r="G17" s="10">
        <f>SUM(G14:G16)</f>
        <v>118500</v>
      </c>
    </row>
    <row r="18" spans="2:8" x14ac:dyDescent="0.3">
      <c r="B18" s="310" t="s">
        <v>5</v>
      </c>
      <c r="C18" s="307">
        <v>0</v>
      </c>
      <c r="D18" s="107"/>
    </row>
    <row r="19" spans="2:8" x14ac:dyDescent="0.3">
      <c r="B19" s="310" t="s">
        <v>6</v>
      </c>
      <c r="C19" s="307">
        <v>0</v>
      </c>
      <c r="D19" s="107"/>
      <c r="E19" s="53" t="s">
        <v>164</v>
      </c>
      <c r="F19" s="276"/>
    </row>
    <row r="20" spans="2:8" x14ac:dyDescent="0.3">
      <c r="B20" s="310" t="s">
        <v>7</v>
      </c>
      <c r="C20" s="307">
        <v>0</v>
      </c>
      <c r="D20" s="107"/>
      <c r="E20" s="502" t="s">
        <v>182</v>
      </c>
      <c r="F20" s="275"/>
      <c r="G20" s="302">
        <f>IF(D9="Djibouti",Currency!Q8,IF(D9="Ethiopia",Currency!Q9,IF(D9="Kenya",Currency!Q10,IF(D9="Rwanda",Currency!Q11,IF(D9="Tanzania",Currency!Q12,IF(D9="Uganda",Currency!Q13,0))))))</f>
        <v>0.16900000000000001</v>
      </c>
    </row>
    <row r="21" spans="2:8" x14ac:dyDescent="0.3">
      <c r="B21" s="310" t="s">
        <v>8</v>
      </c>
      <c r="C21" s="307">
        <v>0</v>
      </c>
      <c r="D21" s="107"/>
      <c r="E21" s="503" t="s">
        <v>68</v>
      </c>
      <c r="F21" s="498"/>
      <c r="G21" s="52">
        <v>10</v>
      </c>
    </row>
    <row r="22" spans="2:8" x14ac:dyDescent="0.3">
      <c r="B22" s="310" t="s">
        <v>9</v>
      </c>
      <c r="C22" s="307">
        <v>0</v>
      </c>
      <c r="D22" s="107"/>
    </row>
    <row r="23" spans="2:8" x14ac:dyDescent="0.3">
      <c r="B23" s="310" t="s">
        <v>10</v>
      </c>
      <c r="C23" s="307">
        <v>0</v>
      </c>
      <c r="D23" s="107"/>
    </row>
    <row r="24" spans="2:8" x14ac:dyDescent="0.3">
      <c r="B24" s="310" t="s">
        <v>11</v>
      </c>
      <c r="C24" s="307">
        <v>0</v>
      </c>
      <c r="D24" s="107"/>
      <c r="E24" s="277" t="s">
        <v>177</v>
      </c>
      <c r="F24" s="66"/>
      <c r="G24" s="311" t="s">
        <v>195</v>
      </c>
      <c r="H24" s="401" t="s">
        <v>17</v>
      </c>
    </row>
    <row r="25" spans="2:8" ht="15" customHeight="1" x14ac:dyDescent="0.3">
      <c r="B25" s="310" t="s">
        <v>26</v>
      </c>
      <c r="C25" s="307">
        <v>0</v>
      </c>
      <c r="D25" s="107"/>
      <c r="E25" s="58" t="s">
        <v>835</v>
      </c>
      <c r="F25" s="278"/>
      <c r="G25" s="394">
        <v>240</v>
      </c>
      <c r="H25" s="614" t="s">
        <v>833</v>
      </c>
    </row>
    <row r="26" spans="2:8" x14ac:dyDescent="0.3">
      <c r="B26" s="310" t="s">
        <v>665</v>
      </c>
      <c r="C26" s="307">
        <v>0</v>
      </c>
      <c r="D26" s="107"/>
      <c r="E26" s="59" t="s">
        <v>835</v>
      </c>
      <c r="F26" s="284"/>
      <c r="G26" s="613">
        <f>G25*10.7639</f>
        <v>2583.3359999999998</v>
      </c>
      <c r="H26" s="598" t="s">
        <v>834</v>
      </c>
    </row>
    <row r="27" spans="2:8" x14ac:dyDescent="0.3">
      <c r="B27" s="310" t="s">
        <v>666</v>
      </c>
      <c r="C27" s="307">
        <v>0</v>
      </c>
      <c r="D27" s="107"/>
      <c r="E27" s="599" t="s">
        <v>822</v>
      </c>
      <c r="F27" s="284"/>
      <c r="G27" s="615">
        <v>98.41</v>
      </c>
      <c r="H27" s="598" t="s">
        <v>837</v>
      </c>
    </row>
    <row r="28" spans="2:8" x14ac:dyDescent="0.3">
      <c r="B28" s="323" t="s">
        <v>762</v>
      </c>
      <c r="C28" s="318">
        <v>0</v>
      </c>
      <c r="D28" s="107"/>
      <c r="E28" s="599" t="s">
        <v>842</v>
      </c>
      <c r="F28" s="284"/>
      <c r="G28" s="613">
        <f>G26*G27</f>
        <v>254226.09575999997</v>
      </c>
      <c r="H28" s="598" t="s">
        <v>836</v>
      </c>
    </row>
    <row r="29" spans="2:8" x14ac:dyDescent="0.3">
      <c r="B29" s="9" t="s">
        <v>15</v>
      </c>
      <c r="C29" s="10">
        <f>SUM(C13:C28)*(1+$R$11)</f>
        <v>118500</v>
      </c>
      <c r="E29" s="599" t="s">
        <v>842</v>
      </c>
      <c r="F29" s="284"/>
      <c r="G29" s="613">
        <f>G28*1.05506</f>
        <v>268223.78459254559</v>
      </c>
      <c r="H29" s="598" t="s">
        <v>843</v>
      </c>
    </row>
    <row r="30" spans="2:8" x14ac:dyDescent="0.3">
      <c r="E30" s="61" t="s">
        <v>840</v>
      </c>
      <c r="F30" s="275"/>
      <c r="G30" s="55">
        <v>12</v>
      </c>
      <c r="H30" s="305" t="s">
        <v>841</v>
      </c>
    </row>
    <row r="31" spans="2:8" x14ac:dyDescent="0.3">
      <c r="E31" s="61" t="s">
        <v>838</v>
      </c>
      <c r="F31" s="275"/>
      <c r="G31" s="55">
        <v>7</v>
      </c>
      <c r="H31" s="305" t="s">
        <v>783</v>
      </c>
    </row>
    <row r="32" spans="2:8" x14ac:dyDescent="0.3">
      <c r="E32" s="61" t="s">
        <v>839</v>
      </c>
      <c r="F32" s="275"/>
      <c r="G32" s="55">
        <v>51</v>
      </c>
      <c r="H32" s="305" t="s">
        <v>784</v>
      </c>
    </row>
    <row r="33" spans="4:75" x14ac:dyDescent="0.3">
      <c r="E33" s="601" t="s">
        <v>812</v>
      </c>
      <c r="F33" s="283"/>
      <c r="G33" s="613">
        <f>G29*G30*G31*G32/1000</f>
        <v>1149070.6931944655</v>
      </c>
      <c r="H33" s="316" t="s">
        <v>810</v>
      </c>
    </row>
    <row r="35" spans="4:75" ht="15" customHeight="1" x14ac:dyDescent="0.3"/>
    <row r="39" spans="4:75" x14ac:dyDescent="0.3">
      <c r="I39" s="390"/>
    </row>
    <row r="42" spans="4:75" x14ac:dyDescent="0.3">
      <c r="I42" s="390"/>
    </row>
    <row r="43" spans="4:75" x14ac:dyDescent="0.3">
      <c r="D43" s="354"/>
    </row>
    <row r="47" spans="4:75" x14ac:dyDescent="0.3">
      <c r="BW47" s="299" t="s">
        <v>31</v>
      </c>
    </row>
    <row r="48" spans="4:75" x14ac:dyDescent="0.3">
      <c r="BW48" s="27" t="s">
        <v>35</v>
      </c>
    </row>
    <row r="49" spans="75:75" x14ac:dyDescent="0.3">
      <c r="BW49" s="27" t="s">
        <v>39</v>
      </c>
    </row>
    <row r="50" spans="75:75" x14ac:dyDescent="0.3">
      <c r="BW50" s="27" t="s">
        <v>42</v>
      </c>
    </row>
    <row r="51" spans="75:75" x14ac:dyDescent="0.3">
      <c r="BW51" s="27" t="s">
        <v>45</v>
      </c>
    </row>
    <row r="52" spans="75:75" x14ac:dyDescent="0.3">
      <c r="BW52" s="30" t="s">
        <v>48</v>
      </c>
    </row>
    <row r="55" spans="75:75" x14ac:dyDescent="0.3">
      <c r="BW55" t="s">
        <v>81</v>
      </c>
    </row>
    <row r="56" spans="75:75" x14ac:dyDescent="0.3">
      <c r="BW56" t="s">
        <v>69</v>
      </c>
    </row>
  </sheetData>
  <mergeCells count="2">
    <mergeCell ref="M2:O2"/>
    <mergeCell ref="W4:X4"/>
  </mergeCells>
  <conditionalFormatting sqref="Z5:Z15">
    <cfRule type="cellIs" dxfId="15" priority="10" operator="between">
      <formula>$AC$7</formula>
      <formula>$AC$8</formula>
    </cfRule>
    <cfRule type="cellIs" dxfId="14" priority="11" operator="greaterThan">
      <formula>$AC$8</formula>
    </cfRule>
    <cfRule type="cellIs" dxfId="13" priority="12" operator="lessThan">
      <formula>$AC$7</formula>
    </cfRule>
  </conditionalFormatting>
  <conditionalFormatting sqref="Y5:Y15">
    <cfRule type="containsText" dxfId="12" priority="5" operator="containsText" text="NEG IRR">
      <formula>NOT(ISERROR(SEARCH("NEG IRR",Y5)))</formula>
    </cfRule>
    <cfRule type="containsText" dxfId="11" priority="6" operator="containsText" text="ERROR">
      <formula>NOT(ISERROR(SEARCH("ERROR",Y5)))</formula>
    </cfRule>
    <cfRule type="cellIs" dxfId="10" priority="7" operator="between">
      <formula>$AC$4</formula>
      <formula>$AC$5</formula>
    </cfRule>
    <cfRule type="cellIs" dxfId="9" priority="8" operator="greaterThan">
      <formula>$AC$5</formula>
    </cfRule>
    <cfRule type="cellIs" dxfId="8" priority="9" operator="lessThan">
      <formula>$AC$4</formula>
    </cfRule>
  </conditionalFormatting>
  <conditionalFormatting sqref="M15:N15">
    <cfRule type="cellIs" dxfId="7" priority="15" operator="lessThan">
      <formula>0</formula>
    </cfRule>
    <cfRule type="cellIs" dxfId="6" priority="16" operator="greaterThan">
      <formula>0</formula>
    </cfRule>
  </conditionalFormatting>
  <conditionalFormatting sqref="M16:N16">
    <cfRule type="cellIs" dxfId="5" priority="13" operator="lessThan">
      <formula>0</formula>
    </cfRule>
    <cfRule type="cellIs" dxfId="4" priority="14" operator="greaterThan">
      <formula>0</formula>
    </cfRule>
  </conditionalFormatting>
  <conditionalFormatting sqref="AA5:AA15">
    <cfRule type="cellIs" dxfId="3" priority="3" operator="lessThan">
      <formula>0</formula>
    </cfRule>
    <cfRule type="cellIs" dxfId="2" priority="4" operator="greaterThan">
      <formula>0</formula>
    </cfRule>
  </conditionalFormatting>
  <conditionalFormatting sqref="AB5:AB15">
    <cfRule type="cellIs" dxfId="1" priority="1" operator="lessThan">
      <formula>0</formula>
    </cfRule>
    <cfRule type="cellIs" dxfId="0" priority="2" operator="greaterThan">
      <formula>0</formula>
    </cfRule>
  </conditionalFormatting>
  <dataValidations count="1">
    <dataValidation type="list" allowBlank="1" showInputMessage="1" showErrorMessage="1" sqref="D9" xr:uid="{38CC5FEA-5523-4E28-82D4-1E97C730017F}">
      <formula1>$BW$47:$BW$52</formula1>
    </dataValidation>
  </dataValidations>
  <pageMargins left="0.7" right="0.7" top="0.75" bottom="0.75" header="0.3" footer="0.3"/>
  <pageSetup orientation="portrait" r:id="rId1"/>
  <drawing r:id="rId2"/>
  <legacy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0A6E0D-4883-47AC-8873-BD2D71E75E0B}">
  <sheetPr>
    <tabColor theme="5" tint="-0.249977111117893"/>
  </sheetPr>
  <dimension ref="B2:CQ66"/>
  <sheetViews>
    <sheetView zoomScale="80" zoomScaleNormal="80" workbookViewId="0"/>
  </sheetViews>
  <sheetFormatPr defaultColWidth="14.33203125" defaultRowHeight="14.4" x14ac:dyDescent="0.3"/>
  <cols>
    <col min="1" max="1" width="4.33203125" style="75" customWidth="1"/>
    <col min="2" max="6" width="14.33203125" style="75"/>
    <col min="7" max="7" width="14.33203125" style="80"/>
    <col min="8" max="12" width="14.33203125" style="79"/>
    <col min="13" max="13" width="15.109375" style="78" bestFit="1" customWidth="1"/>
    <col min="14" max="16" width="14.33203125" style="79"/>
    <col min="17" max="17" width="14.33203125" style="81"/>
    <col min="18" max="21" width="14.33203125" style="79"/>
    <col min="22" max="22" width="14.33203125" style="80"/>
    <col min="23" max="35" width="14.33203125" style="79"/>
    <col min="36" max="36" width="14.33203125" style="80"/>
    <col min="37" max="37" width="16.33203125" style="80" bestFit="1" customWidth="1"/>
    <col min="38" max="38" width="14.33203125" style="80"/>
    <col min="39" max="67" width="14.33203125" style="79"/>
    <col min="68" max="16384" width="14.33203125" style="75"/>
  </cols>
  <sheetData>
    <row r="2" spans="2:95" x14ac:dyDescent="0.3">
      <c r="Y2" s="82" t="s">
        <v>90</v>
      </c>
      <c r="Z2" s="83"/>
      <c r="AA2" s="83"/>
      <c r="AB2" s="84"/>
      <c r="AE2" s="82" t="s">
        <v>91</v>
      </c>
      <c r="AF2" s="85"/>
      <c r="AG2" s="86"/>
      <c r="AJ2" s="82" t="s">
        <v>153</v>
      </c>
      <c r="AK2" s="85"/>
      <c r="AN2" s="82" t="s">
        <v>92</v>
      </c>
      <c r="AO2" s="83"/>
      <c r="AP2" s="83"/>
      <c r="AQ2" s="84"/>
      <c r="AS2" s="82" t="s">
        <v>93</v>
      </c>
      <c r="AT2" s="84"/>
    </row>
    <row r="3" spans="2:95" s="87" customFormat="1" ht="28.8" x14ac:dyDescent="0.3">
      <c r="F3" s="88" t="s">
        <v>94</v>
      </c>
      <c r="G3" s="92"/>
      <c r="H3" s="90" t="s">
        <v>736</v>
      </c>
      <c r="I3" s="90" t="s">
        <v>750</v>
      </c>
      <c r="J3" s="90" t="s">
        <v>96</v>
      </c>
      <c r="K3" s="93"/>
      <c r="L3" s="94"/>
      <c r="M3" s="95"/>
      <c r="N3" s="94"/>
      <c r="O3" s="94"/>
      <c r="P3" s="96"/>
      <c r="Q3" s="90" t="s">
        <v>97</v>
      </c>
      <c r="R3" s="96"/>
      <c r="S3" s="91"/>
      <c r="T3" s="91"/>
      <c r="U3" s="91"/>
      <c r="V3" s="92"/>
      <c r="W3" s="91"/>
      <c r="X3" s="91"/>
      <c r="Y3" s="97" t="s">
        <v>38</v>
      </c>
      <c r="Z3" s="97" t="s">
        <v>222</v>
      </c>
      <c r="AA3" s="97" t="s">
        <v>98</v>
      </c>
      <c r="AB3" s="97" t="s">
        <v>223</v>
      </c>
      <c r="AD3" s="91"/>
      <c r="AE3" s="98" t="s">
        <v>38</v>
      </c>
      <c r="AF3" s="98" t="s">
        <v>222</v>
      </c>
      <c r="AG3" s="91"/>
      <c r="AH3" s="79"/>
      <c r="AI3" s="79"/>
      <c r="AJ3" s="97" t="s">
        <v>151</v>
      </c>
      <c r="AK3" s="97" t="s">
        <v>152</v>
      </c>
      <c r="AN3" s="97" t="s">
        <v>98</v>
      </c>
      <c r="AO3" s="97" t="s">
        <v>99</v>
      </c>
      <c r="AP3" s="97" t="s">
        <v>38</v>
      </c>
      <c r="AQ3" s="97" t="s">
        <v>222</v>
      </c>
      <c r="AR3" s="91"/>
      <c r="AS3" s="97" t="s">
        <v>38</v>
      </c>
      <c r="AT3" s="97" t="s">
        <v>222</v>
      </c>
      <c r="AU3" s="97" t="s">
        <v>100</v>
      </c>
      <c r="AV3" s="88" t="s">
        <v>101</v>
      </c>
      <c r="AW3" s="91"/>
      <c r="AX3" s="91"/>
      <c r="AY3" s="91"/>
      <c r="AZ3" s="91"/>
      <c r="BA3" s="91"/>
      <c r="BB3" s="91"/>
      <c r="BC3" s="91"/>
      <c r="BD3" s="91"/>
      <c r="BE3" s="91"/>
      <c r="BF3" s="91"/>
      <c r="BG3" s="91"/>
      <c r="BH3" s="91"/>
      <c r="BI3" s="91"/>
      <c r="BJ3" s="91"/>
      <c r="BK3" s="91"/>
      <c r="BL3" s="91"/>
      <c r="BM3" s="91"/>
      <c r="BN3" s="91"/>
      <c r="BO3" s="91"/>
    </row>
    <row r="4" spans="2:95" x14ac:dyDescent="0.3">
      <c r="F4" s="99">
        <f t="array" ref="F4">MAX(($F$12:$F$44&gt;0)*($B$12:$B$44))</f>
        <v>25</v>
      </c>
      <c r="H4" s="101">
        <f>AVERAGEIF(H12:H44,"&gt;0")</f>
        <v>272662.15528481663</v>
      </c>
      <c r="I4" s="101">
        <f>AVERAGEIF(I12:I44,"&gt;0")</f>
        <v>272662.15528481663</v>
      </c>
      <c r="J4" s="100">
        <f>AVERAGEIF(J12:J44,"&gt;0")</f>
        <v>1</v>
      </c>
      <c r="Q4" s="100">
        <f>AVERAGEIF(Q12:Q44,"&gt;0")</f>
        <v>0.65795913761982061</v>
      </c>
      <c r="Y4" s="103">
        <f>IRR(AF11:AF44)</f>
        <v>1.6875475546760899</v>
      </c>
      <c r="Z4" s="104">
        <f>NPV(Y4,AF11:AF44)</f>
        <v>-8.1678483121280862E-12</v>
      </c>
      <c r="AA4" s="103">
        <f>XIRR(AG11:AG44,E11:E44,1)</f>
        <v>1.6868939250707626</v>
      </c>
      <c r="AB4" s="101">
        <f>XNPV(AA4,AG11:AG44,E11:E44)</f>
        <v>6.5095141839450154E-4</v>
      </c>
      <c r="AE4" s="103">
        <f>IRR(AE11:AE44)</f>
        <v>2.3009464580994701</v>
      </c>
      <c r="AF4" s="105">
        <f>NPV(AE4,AE11:AE44)</f>
        <v>7.8589681545639057E-12</v>
      </c>
      <c r="AJ4" s="106">
        <f>AVERAGEIF(AM12:AM44,"&gt;0")</f>
        <v>3.8209212630864413</v>
      </c>
      <c r="AK4" s="106">
        <f t="array" ref="AK4">MIN(IF(AM12:AM44&lt;&gt;0,AM12:AM44))</f>
        <v>2.9147711911306353</v>
      </c>
      <c r="AN4" s="103">
        <f>XIRR(AP11:AP44,D11:D44,1)</f>
        <v>4.8383797109127045</v>
      </c>
      <c r="AO4" s="106">
        <f>XNPV(AN4,AP11:AP44,D11:D44)</f>
        <v>1.6694721511938164E-4</v>
      </c>
      <c r="AP4" s="103">
        <f>IFERROR(IRR(AP11:AP44),"NEG IRR")</f>
        <v>4.8384766942850943</v>
      </c>
      <c r="AQ4" s="105">
        <f>NPV(AP4,AP11:AP44)</f>
        <v>9.3937866807356476E-11</v>
      </c>
      <c r="AS4" s="103">
        <f>IRR(AO11:AO44)</f>
        <v>6.9980931427199007</v>
      </c>
      <c r="AT4" s="105">
        <f>NPV(AS4,AO11:AO44)</f>
        <v>7.0679504075820679E-10</v>
      </c>
      <c r="AU4" s="105">
        <f>IFERROR(MATCH(1,$AU$12:$AU$44,0),"NONE")</f>
        <v>1</v>
      </c>
      <c r="AV4" s="99">
        <f t="array" ref="AV4">MAX(($AV$12:$AV$44&gt;0)*($B$12:$B$44))</f>
        <v>25</v>
      </c>
    </row>
    <row r="6" spans="2:95" x14ac:dyDescent="0.3">
      <c r="G6" s="112"/>
      <c r="H6" s="111"/>
      <c r="T6" s="113"/>
      <c r="V6" s="114"/>
    </row>
    <row r="7" spans="2:95" x14ac:dyDescent="0.3">
      <c r="G7" s="117" t="s">
        <v>103</v>
      </c>
      <c r="H7" s="761"/>
      <c r="I7" s="117" t="s">
        <v>105</v>
      </c>
      <c r="J7" s="118"/>
      <c r="K7" s="105" t="s">
        <v>106</v>
      </c>
      <c r="L7" s="105" t="s">
        <v>107</v>
      </c>
      <c r="M7" s="119" t="s">
        <v>108</v>
      </c>
      <c r="N7" s="105" t="s">
        <v>109</v>
      </c>
      <c r="O7" s="120" t="s">
        <v>110</v>
      </c>
      <c r="P7" s="121" t="s">
        <v>111</v>
      </c>
      <c r="Q7" s="123"/>
      <c r="T7" s="425" t="s">
        <v>112</v>
      </c>
      <c r="U7" s="427"/>
      <c r="V7" s="430" t="s">
        <v>13</v>
      </c>
      <c r="W7" s="431"/>
      <c r="X7" s="432"/>
      <c r="Y7" s="124" t="s">
        <v>113</v>
      </c>
      <c r="Z7" s="83"/>
      <c r="AA7" s="83"/>
      <c r="AB7" s="83"/>
      <c r="AC7" s="125" t="s">
        <v>114</v>
      </c>
      <c r="AD7" s="127" t="s">
        <v>110</v>
      </c>
      <c r="AE7" s="128" t="s">
        <v>115</v>
      </c>
      <c r="AF7" s="126"/>
      <c r="AG7" s="105" t="s">
        <v>116</v>
      </c>
      <c r="AH7" s="129" t="s">
        <v>117</v>
      </c>
      <c r="AI7" s="130"/>
      <c r="AJ7" s="131"/>
      <c r="AK7" s="131"/>
      <c r="AL7" s="131"/>
      <c r="AM7" s="132"/>
      <c r="AN7" s="133" t="s">
        <v>118</v>
      </c>
      <c r="AO7" s="133"/>
      <c r="AP7" s="134"/>
      <c r="AQ7" s="126"/>
      <c r="AR7" s="126"/>
      <c r="AS7" s="126"/>
      <c r="AT7" s="126"/>
      <c r="AU7" s="126"/>
      <c r="AV7" s="127"/>
      <c r="BI7" s="135"/>
      <c r="BS7" s="136"/>
      <c r="CD7" s="136"/>
      <c r="CJ7" s="136"/>
      <c r="CQ7" s="136"/>
    </row>
    <row r="8" spans="2:95" s="163" customFormat="1" ht="43.2" x14ac:dyDescent="0.3">
      <c r="B8" s="34" t="s">
        <v>51</v>
      </c>
      <c r="C8" s="137" t="s">
        <v>52</v>
      </c>
      <c r="D8" s="36" t="s">
        <v>56</v>
      </c>
      <c r="E8" s="138" t="s">
        <v>57</v>
      </c>
      <c r="F8" s="139" t="s">
        <v>119</v>
      </c>
      <c r="G8" s="143" t="s">
        <v>120</v>
      </c>
      <c r="H8" s="147" t="s">
        <v>121</v>
      </c>
      <c r="I8" s="142" t="s">
        <v>105</v>
      </c>
      <c r="J8" s="144" t="s">
        <v>123</v>
      </c>
      <c r="K8" s="139" t="s">
        <v>124</v>
      </c>
      <c r="L8" s="139" t="s">
        <v>107</v>
      </c>
      <c r="M8" s="146" t="s">
        <v>125</v>
      </c>
      <c r="N8" s="147" t="s">
        <v>126</v>
      </c>
      <c r="O8" s="147" t="s">
        <v>110</v>
      </c>
      <c r="P8" s="148" t="s">
        <v>111</v>
      </c>
      <c r="Q8" s="149" t="s">
        <v>127</v>
      </c>
      <c r="R8" s="150"/>
      <c r="S8" s="150"/>
      <c r="T8" s="428" t="s">
        <v>128</v>
      </c>
      <c r="U8" s="156" t="s">
        <v>130</v>
      </c>
      <c r="V8" s="433" t="s">
        <v>215</v>
      </c>
      <c r="W8" s="429" t="s">
        <v>131</v>
      </c>
      <c r="X8" s="156" t="s">
        <v>132</v>
      </c>
      <c r="Y8" s="152" t="s">
        <v>133</v>
      </c>
      <c r="Z8" s="152" t="s">
        <v>134</v>
      </c>
      <c r="AA8" s="152" t="s">
        <v>131</v>
      </c>
      <c r="AB8" s="151" t="s">
        <v>135</v>
      </c>
      <c r="AC8" s="153" t="s">
        <v>136</v>
      </c>
      <c r="AD8" s="155" t="s">
        <v>137</v>
      </c>
      <c r="AE8" s="156" t="s">
        <v>138</v>
      </c>
      <c r="AF8" s="154" t="s">
        <v>139</v>
      </c>
      <c r="AG8" s="42" t="s">
        <v>116</v>
      </c>
      <c r="AH8" s="157" t="s">
        <v>140</v>
      </c>
      <c r="AI8" s="158" t="s">
        <v>141</v>
      </c>
      <c r="AJ8" s="159" t="s">
        <v>142</v>
      </c>
      <c r="AK8" s="159" t="s">
        <v>63</v>
      </c>
      <c r="AL8" s="159" t="s">
        <v>131</v>
      </c>
      <c r="AM8" s="160" t="s">
        <v>143</v>
      </c>
      <c r="AN8" s="152" t="s">
        <v>144</v>
      </c>
      <c r="AO8" s="152" t="s">
        <v>145</v>
      </c>
      <c r="AP8" s="41" t="s">
        <v>146</v>
      </c>
      <c r="AQ8" s="161" t="s">
        <v>147</v>
      </c>
      <c r="AR8" s="161" t="s">
        <v>64</v>
      </c>
      <c r="AS8" s="161" t="s">
        <v>65</v>
      </c>
      <c r="AT8" s="161" t="s">
        <v>148</v>
      </c>
      <c r="AU8" s="161" t="s">
        <v>100</v>
      </c>
      <c r="AV8" s="144" t="s">
        <v>149</v>
      </c>
      <c r="AW8" s="162"/>
      <c r="AX8" s="162"/>
      <c r="AY8" s="162"/>
      <c r="AZ8" s="162"/>
      <c r="BA8" s="162"/>
      <c r="BB8" s="162"/>
      <c r="BC8" s="162"/>
      <c r="BD8" s="162"/>
      <c r="BE8" s="162"/>
      <c r="BF8" s="162"/>
      <c r="BG8" s="162"/>
      <c r="BH8" s="162"/>
      <c r="BI8" s="102"/>
      <c r="BJ8" s="162"/>
      <c r="BK8" s="162"/>
      <c r="BL8" s="162"/>
      <c r="BM8" s="162"/>
      <c r="BN8" s="162"/>
      <c r="BO8" s="162"/>
      <c r="BS8" s="164"/>
      <c r="CD8" s="75"/>
      <c r="CJ8" s="75"/>
      <c r="CQ8" s="75"/>
    </row>
    <row r="9" spans="2:95" s="163" customFormat="1" x14ac:dyDescent="0.3">
      <c r="B9" s="165"/>
      <c r="C9" s="166"/>
      <c r="D9" s="167"/>
      <c r="E9" s="170"/>
      <c r="F9" s="171"/>
      <c r="G9" s="177">
        <f t="shared" ref="G9:I9" si="0">SUM(G12:G44)</f>
        <v>0</v>
      </c>
      <c r="H9" s="178">
        <f t="shared" si="0"/>
        <v>6816553.8821204165</v>
      </c>
      <c r="I9" s="176">
        <f t="shared" si="0"/>
        <v>6816553.8821204165</v>
      </c>
      <c r="J9" s="175"/>
      <c r="K9" s="178">
        <f t="shared" ref="K9:P9" si="1">SUM(K12:K44)</f>
        <v>118500</v>
      </c>
      <c r="L9" s="178">
        <f t="shared" si="1"/>
        <v>6698053.8821204165</v>
      </c>
      <c r="M9" s="178">
        <f t="shared" si="1"/>
        <v>290891.14809329016</v>
      </c>
      <c r="N9" s="178">
        <f t="shared" si="1"/>
        <v>6407162.7340271259</v>
      </c>
      <c r="O9" s="178">
        <f t="shared" si="1"/>
        <v>1922148.8202081376</v>
      </c>
      <c r="P9" s="176">
        <f t="shared" si="1"/>
        <v>4485013.9138189871</v>
      </c>
      <c r="Q9" s="179"/>
      <c r="R9" s="162"/>
      <c r="S9" s="162"/>
      <c r="T9" s="180">
        <f>SUM(T12:T44)</f>
        <v>6816553.8821204165</v>
      </c>
      <c r="U9" s="183">
        <f>SUM(U12:U44)</f>
        <v>6816553.8821204165</v>
      </c>
      <c r="V9" s="180">
        <f t="shared" ref="V9:AA9" si="2">SUM(V10:V44)</f>
        <v>118500</v>
      </c>
      <c r="W9" s="181">
        <f t="shared" si="2"/>
        <v>118500</v>
      </c>
      <c r="X9" s="183">
        <f t="shared" si="2"/>
        <v>6698053.8821204165</v>
      </c>
      <c r="Y9" s="102">
        <f t="shared" si="2"/>
        <v>35550</v>
      </c>
      <c r="Z9" s="102">
        <f t="shared" si="2"/>
        <v>82950</v>
      </c>
      <c r="AA9" s="102">
        <f t="shared" si="2"/>
        <v>118500</v>
      </c>
      <c r="AB9" s="176">
        <f t="shared" ref="AB9:AL9" si="3">SUM(AB12:AB44)</f>
        <v>6816553.8821204165</v>
      </c>
      <c r="AC9" s="180">
        <f>SUM(AC10:AC44)</f>
        <v>0</v>
      </c>
      <c r="AD9" s="182">
        <f>SUM(AD10:AD44)</f>
        <v>1922148.8202081376</v>
      </c>
      <c r="AE9" s="183">
        <f>SUM(AE12:AE44)</f>
        <v>6816553.8821204165</v>
      </c>
      <c r="AF9" s="183">
        <f>SUM(AF12:AF44)</f>
        <v>4894405.0619122768</v>
      </c>
      <c r="AG9" s="182">
        <f>SUM(AG12:AG44)</f>
        <v>4894405.0619122768</v>
      </c>
      <c r="AH9" s="180">
        <f t="shared" si="3"/>
        <v>-5862454.5194325019</v>
      </c>
      <c r="AI9" s="181">
        <f t="shared" si="3"/>
        <v>-6190869.2292193556</v>
      </c>
      <c r="AJ9" s="181">
        <f t="shared" si="3"/>
        <v>290891.14809329016</v>
      </c>
      <c r="AK9" s="181">
        <f t="shared" si="3"/>
        <v>328414.70978685416</v>
      </c>
      <c r="AL9" s="181">
        <f t="shared" si="3"/>
        <v>619305.85788014438</v>
      </c>
      <c r="AM9" s="182"/>
      <c r="AN9" s="180">
        <f t="shared" ref="AN9:AS9" si="4">SUM(AN10:AN44)</f>
        <v>4275099.2040321333</v>
      </c>
      <c r="AO9" s="181">
        <f t="shared" si="4"/>
        <v>6161698.0242402731</v>
      </c>
      <c r="AP9" s="181">
        <f>SUM(AP10:AP44)</f>
        <v>4239549.2040321333</v>
      </c>
      <c r="AQ9" s="181">
        <f t="shared" si="4"/>
        <v>0</v>
      </c>
      <c r="AR9" s="181">
        <f t="shared" si="4"/>
        <v>0</v>
      </c>
      <c r="AS9" s="181">
        <f t="shared" si="4"/>
        <v>0</v>
      </c>
      <c r="AT9" s="181"/>
      <c r="AU9" s="181"/>
      <c r="AV9" s="182">
        <f>SUM(AV11:AV44)</f>
        <v>5.4845390321408906E-10</v>
      </c>
      <c r="AW9" s="162"/>
      <c r="AX9" s="162"/>
      <c r="AY9" s="162"/>
      <c r="AZ9" s="162"/>
      <c r="BA9" s="162"/>
      <c r="BB9" s="162"/>
      <c r="BC9" s="162"/>
      <c r="BD9" s="162"/>
      <c r="BE9" s="162"/>
      <c r="BF9" s="162"/>
      <c r="BG9" s="162"/>
      <c r="BH9" s="162"/>
      <c r="BI9" s="102"/>
      <c r="BJ9" s="162"/>
      <c r="BK9" s="162"/>
      <c r="BL9" s="162"/>
      <c r="BM9" s="162"/>
      <c r="BN9" s="162"/>
      <c r="BO9" s="162"/>
      <c r="BS9" s="164"/>
      <c r="CD9" s="75"/>
      <c r="CJ9" s="75"/>
      <c r="CQ9" s="75"/>
    </row>
    <row r="10" spans="2:95" s="163" customFormat="1" x14ac:dyDescent="0.3">
      <c r="B10" s="186"/>
      <c r="C10" s="187"/>
      <c r="D10" s="186"/>
      <c r="E10" s="169"/>
      <c r="F10" s="190"/>
      <c r="G10" s="194"/>
      <c r="H10" s="195"/>
      <c r="I10" s="192"/>
      <c r="J10" s="194"/>
      <c r="K10" s="195"/>
      <c r="L10" s="195"/>
      <c r="M10" s="195"/>
      <c r="N10" s="195"/>
      <c r="O10" s="195"/>
      <c r="P10" s="192"/>
      <c r="Q10" s="179"/>
      <c r="R10" s="162"/>
      <c r="S10" s="162"/>
      <c r="T10" s="196"/>
      <c r="U10" s="197"/>
      <c r="V10" s="196"/>
      <c r="W10" s="198"/>
      <c r="X10" s="197"/>
      <c r="Y10" s="162"/>
      <c r="Z10" s="162"/>
      <c r="AA10" s="79"/>
      <c r="AB10" s="196"/>
      <c r="AC10" s="196"/>
      <c r="AD10" s="200"/>
      <c r="AE10" s="197"/>
      <c r="AF10" s="200"/>
      <c r="AG10" s="200"/>
      <c r="AH10" s="196"/>
      <c r="AI10" s="86"/>
      <c r="AJ10" s="201"/>
      <c r="AK10" s="201"/>
      <c r="AL10" s="202"/>
      <c r="AM10" s="203"/>
      <c r="AN10" s="196"/>
      <c r="AO10" s="86"/>
      <c r="AP10" s="193"/>
      <c r="AQ10" s="86"/>
      <c r="AR10" s="86"/>
      <c r="AS10" s="86"/>
      <c r="AT10" s="86"/>
      <c r="AU10" s="86"/>
      <c r="AV10" s="175"/>
      <c r="AW10" s="162"/>
      <c r="AX10" s="162"/>
      <c r="AY10" s="162"/>
      <c r="AZ10" s="162"/>
      <c r="BA10" s="162"/>
      <c r="BB10" s="162"/>
      <c r="BC10" s="162"/>
      <c r="BD10" s="162"/>
      <c r="BE10" s="162"/>
      <c r="BF10" s="162"/>
      <c r="BG10" s="162"/>
      <c r="BH10" s="162"/>
      <c r="BI10" s="102"/>
      <c r="BJ10" s="162"/>
      <c r="BK10" s="162"/>
      <c r="BL10" s="162"/>
      <c r="BM10" s="162"/>
      <c r="BN10" s="162"/>
      <c r="BO10" s="162"/>
      <c r="BS10" s="164"/>
      <c r="CD10" s="75"/>
      <c r="CJ10" s="75"/>
      <c r="CQ10" s="75"/>
    </row>
    <row r="11" spans="2:95" s="163" customFormat="1" x14ac:dyDescent="0.3">
      <c r="B11" s="73">
        <v>0</v>
      </c>
      <c r="C11" s="74">
        <f>YEAR(D11)</f>
        <v>2021</v>
      </c>
      <c r="D11" s="205">
        <f>Fish_Inputs!G6</f>
        <v>44197</v>
      </c>
      <c r="E11" s="206">
        <f>EDATE(D11,12)-1</f>
        <v>44561</v>
      </c>
      <c r="F11" s="443">
        <v>0</v>
      </c>
      <c r="G11" s="207"/>
      <c r="H11" s="454"/>
      <c r="I11" s="176"/>
      <c r="J11" s="175"/>
      <c r="K11" s="190"/>
      <c r="L11" s="190"/>
      <c r="M11" s="208"/>
      <c r="N11" s="178"/>
      <c r="O11" s="178"/>
      <c r="P11" s="209"/>
      <c r="Q11" s="179"/>
      <c r="R11" s="162"/>
      <c r="S11" s="162"/>
      <c r="T11" s="196"/>
      <c r="U11" s="197"/>
      <c r="V11" s="680">
        <f>IF(B11=0,Tea_Retrofit!$C$29,0)</f>
        <v>118500</v>
      </c>
      <c r="W11" s="198">
        <f t="shared" ref="W11:W12" si="5">SUM(V11:V11)</f>
        <v>118500</v>
      </c>
      <c r="X11" s="197">
        <f t="shared" ref="X11:X12" si="6">U11-W11</f>
        <v>-118500</v>
      </c>
      <c r="Y11" s="681">
        <f>IF(B11=0,Tea_Retrofit!$G$15+Tea_Retrofit!$G$16,0)</f>
        <v>35550</v>
      </c>
      <c r="Z11" s="681">
        <f>IF(B11=0,Tea_Retrofit!$G$14,0)</f>
        <v>82950</v>
      </c>
      <c r="AA11" s="79">
        <f t="shared" ref="AA11:AA12" si="7">SUM(Y11:Z11)</f>
        <v>118500</v>
      </c>
      <c r="AB11" s="196">
        <f t="shared" ref="AB11:AB12" si="8">X11+AA11</f>
        <v>0</v>
      </c>
      <c r="AC11" s="682">
        <f>Tea_Retrofit!$G$20*AVERAGE(AR11,AS11)</f>
        <v>0</v>
      </c>
      <c r="AD11" s="231">
        <f>O11</f>
        <v>0</v>
      </c>
      <c r="AE11" s="210">
        <f>X11</f>
        <v>-118500</v>
      </c>
      <c r="AF11" s="211">
        <f>X11</f>
        <v>-118500</v>
      </c>
      <c r="AG11" s="211">
        <f>X11</f>
        <v>-118500</v>
      </c>
      <c r="AH11" s="212"/>
      <c r="AI11" s="290">
        <f>Tea_Retrofit!$G$14</f>
        <v>82950</v>
      </c>
      <c r="AJ11" s="201"/>
      <c r="AK11" s="201"/>
      <c r="AL11" s="202"/>
      <c r="AM11" s="203"/>
      <c r="AN11" s="196"/>
      <c r="AO11" s="683">
        <f>-Tea_Retrofit!G15</f>
        <v>-35550</v>
      </c>
      <c r="AP11" s="683">
        <f>-Tea_Retrofit!G15</f>
        <v>-35550</v>
      </c>
      <c r="AQ11" s="683">
        <f>AB11</f>
        <v>0</v>
      </c>
      <c r="AR11" s="86"/>
      <c r="AS11" s="683">
        <f t="shared" ref="AS11:AS12" si="9">AQ11+AR11</f>
        <v>0</v>
      </c>
      <c r="AT11" s="683">
        <f>-Tea_Retrofit!G15</f>
        <v>-35550</v>
      </c>
      <c r="AU11" s="86"/>
      <c r="AV11" s="214">
        <f>AP11/((1+$AP$4)^B11)</f>
        <v>-35550</v>
      </c>
      <c r="AW11" s="162"/>
      <c r="AX11" s="162"/>
      <c r="AY11" s="162"/>
      <c r="AZ11" s="162"/>
      <c r="BA11" s="162"/>
      <c r="BB11" s="162"/>
      <c r="BC11" s="162"/>
      <c r="BD11" s="162"/>
      <c r="BE11" s="162"/>
      <c r="BF11" s="162"/>
      <c r="BG11" s="162"/>
      <c r="BH11" s="162"/>
      <c r="BI11" s="102"/>
      <c r="BJ11" s="162"/>
      <c r="BK11" s="162"/>
      <c r="BL11" s="162"/>
      <c r="BM11" s="162"/>
      <c r="BN11" s="162"/>
      <c r="BO11" s="162"/>
      <c r="BS11" s="164"/>
      <c r="CD11" s="75"/>
      <c r="CJ11" s="75"/>
      <c r="CQ11" s="75"/>
    </row>
    <row r="12" spans="2:95" s="162" customFormat="1" x14ac:dyDescent="0.3">
      <c r="B12" s="184">
        <f>B11+1</f>
        <v>1</v>
      </c>
      <c r="C12" s="346">
        <f t="shared" ref="C12" si="10">YEAR(D12)</f>
        <v>2022</v>
      </c>
      <c r="D12" s="347">
        <f>EDATE(D11,12)</f>
        <v>44562</v>
      </c>
      <c r="E12" s="440">
        <f>EDATE(E11,12)</f>
        <v>44926</v>
      </c>
      <c r="F12" s="732">
        <f>IF(AND(B12&gt;0,B12&lt;=Tea_Retrofit!$J$10),1,0)</f>
        <v>1</v>
      </c>
      <c r="G12" s="217">
        <f>AC11</f>
        <v>0</v>
      </c>
      <c r="H12" s="438">
        <f>(Tea_Retrofit!$N$28*F12)+IF(B12=Tea_Retrofit!$J$10,Tea_Retrofit!$J$12,0)</f>
        <v>272662.15528481675</v>
      </c>
      <c r="I12" s="122">
        <f>H12</f>
        <v>272662.15528481675</v>
      </c>
      <c r="J12" s="219">
        <f>IFERROR(I12/H12,0)</f>
        <v>1</v>
      </c>
      <c r="K12" s="220">
        <f>Deprec!R11</f>
        <v>4740</v>
      </c>
      <c r="L12" s="122">
        <f>I12-K12</f>
        <v>267922.15528481675</v>
      </c>
      <c r="M12" s="221">
        <f>AJ12</f>
        <v>14018.550000000001</v>
      </c>
      <c r="N12" s="122">
        <f>L12-M12</f>
        <v>253903.60528481676</v>
      </c>
      <c r="O12" s="438">
        <f>IF(N12&lt;0,0,(N12*Tea_Retrofit!$J$7))</f>
        <v>76171.081585445019</v>
      </c>
      <c r="P12" s="122">
        <f>N12-O12</f>
        <v>177732.52369937173</v>
      </c>
      <c r="Q12" s="123">
        <f>IFERROR(P12/H12,0)</f>
        <v>0.65184155649953079</v>
      </c>
      <c r="R12" s="185"/>
      <c r="S12" s="185"/>
      <c r="T12" s="218">
        <f t="shared" ref="T12" si="11">H12</f>
        <v>272662.15528481675</v>
      </c>
      <c r="U12" s="438">
        <f>T12</f>
        <v>272662.15528481675</v>
      </c>
      <c r="V12" s="218">
        <f>IF(B12=0,Tea_Retrofit!$C$29,0)</f>
        <v>0</v>
      </c>
      <c r="W12" s="435">
        <f t="shared" si="5"/>
        <v>0</v>
      </c>
      <c r="X12" s="438">
        <f t="shared" si="6"/>
        <v>272662.15528481675</v>
      </c>
      <c r="Y12" s="184">
        <f>IF(B12=0,Tea_Retrofit!$G$15+Tea_Retrofit!$G$16,0)</f>
        <v>0</v>
      </c>
      <c r="Z12" s="185">
        <f>IF(B12=0,Tea_Retrofit!$G$14,0)</f>
        <v>0</v>
      </c>
      <c r="AA12" s="132">
        <f t="shared" si="7"/>
        <v>0</v>
      </c>
      <c r="AB12" s="218">
        <f t="shared" si="8"/>
        <v>272662.15528481675</v>
      </c>
      <c r="AC12" s="218">
        <f>Tea_Retrofit!$G$20*AVERAGE(AR12,AS12)</f>
        <v>0</v>
      </c>
      <c r="AD12" s="132">
        <f>O12</f>
        <v>76171.081585445019</v>
      </c>
      <c r="AE12" s="132">
        <f>AG12+AD12-G12</f>
        <v>272662.15528481675</v>
      </c>
      <c r="AF12" s="122">
        <f>AG12-G12</f>
        <v>196491.07369937171</v>
      </c>
      <c r="AG12" s="438">
        <f t="shared" ref="AG12" si="12">AB12-AD12</f>
        <v>196491.07369937171</v>
      </c>
      <c r="AH12" s="122">
        <f>AI11</f>
        <v>82950</v>
      </c>
      <c r="AI12" s="122">
        <f>AH12-AK12</f>
        <v>79227.505403816773</v>
      </c>
      <c r="AJ12" s="122">
        <f>-Debt_Calc!BK10</f>
        <v>14018.550000000001</v>
      </c>
      <c r="AK12" s="122">
        <f>Debt_Calc!BL10</f>
        <v>3722.4945961832218</v>
      </c>
      <c r="AL12" s="122">
        <f t="shared" ref="AL12" si="13">SUM(AJ12:AK12)</f>
        <v>17741.044596183223</v>
      </c>
      <c r="AM12" s="217">
        <f>IFERROR(AG12/AL12,0)</f>
        <v>11.075507568570368</v>
      </c>
      <c r="AN12" s="122">
        <f>AG12-AL12</f>
        <v>178750.02910318848</v>
      </c>
      <c r="AO12" s="122">
        <f t="shared" ref="AO12" si="14">AN12+AD12</f>
        <v>254921.11068863352</v>
      </c>
      <c r="AP12" s="122">
        <f>AN12+AR12</f>
        <v>178750.02910318848</v>
      </c>
      <c r="AQ12" s="122">
        <f t="shared" ref="AQ12" si="15">AN12-AP12</f>
        <v>0</v>
      </c>
      <c r="AR12" s="122">
        <f t="shared" ref="AR12" si="16">AS11</f>
        <v>0</v>
      </c>
      <c r="AS12" s="122">
        <f t="shared" si="9"/>
        <v>0</v>
      </c>
      <c r="AT12" s="122">
        <f t="shared" ref="AT12" si="17">AP12+AT11</f>
        <v>143200.02910318848</v>
      </c>
      <c r="AU12" s="122">
        <f>IF(AU11&gt;=1,2,IF(AT12&gt;0,1,0))</f>
        <v>1</v>
      </c>
      <c r="AV12" s="222">
        <f>AP12/((1+$AP$4)^B12)</f>
        <v>30615.867539242776</v>
      </c>
      <c r="AW12" s="102"/>
      <c r="AX12" s="102"/>
      <c r="AY12" s="102"/>
      <c r="AZ12" s="102"/>
      <c r="BA12" s="102"/>
      <c r="BI12" s="102"/>
      <c r="BS12" s="349"/>
      <c r="BT12" s="102"/>
      <c r="BU12" s="102"/>
      <c r="BV12" s="102"/>
      <c r="BW12" s="102"/>
      <c r="BX12" s="102"/>
      <c r="BY12" s="102"/>
      <c r="BZ12" s="102"/>
      <c r="CA12" s="102"/>
      <c r="CB12" s="102"/>
      <c r="CC12" s="102"/>
      <c r="CD12" s="79"/>
      <c r="CJ12" s="79"/>
      <c r="CQ12" s="79"/>
    </row>
    <row r="13" spans="2:95" s="193" customFormat="1" x14ac:dyDescent="0.3">
      <c r="B13" s="184">
        <f t="shared" ref="B13:B44" si="18">B12+1</f>
        <v>2</v>
      </c>
      <c r="C13" s="346">
        <f t="shared" ref="C13:C44" si="19">YEAR(D13)</f>
        <v>2023</v>
      </c>
      <c r="D13" s="347">
        <f t="shared" ref="D13:D44" si="20">EDATE(D12,12)</f>
        <v>44927</v>
      </c>
      <c r="E13" s="440">
        <f t="shared" ref="E13:E44" si="21">EDATE(E12,12)</f>
        <v>45291</v>
      </c>
      <c r="F13" s="732">
        <f>IF(AND(B13&gt;0,B13&lt;=Tea_Retrofit!$J$10),1,0)</f>
        <v>1</v>
      </c>
      <c r="G13" s="217">
        <f t="shared" ref="G13:G44" si="22">AC12</f>
        <v>0</v>
      </c>
      <c r="H13" s="438">
        <f>(Tea_Retrofit!$N$28*F13)+IF(B13=Tea_Retrofit!$J$10,Tea_Retrofit!$J$12,0)</f>
        <v>272662.15528481675</v>
      </c>
      <c r="I13" s="122">
        <f t="shared" ref="I13:I44" si="23">H13</f>
        <v>272662.15528481675</v>
      </c>
      <c r="J13" s="219">
        <f t="shared" ref="J13:J44" si="24">IFERROR(I13/H13,0)</f>
        <v>1</v>
      </c>
      <c r="K13" s="220">
        <f>Deprec!R12</f>
        <v>4740</v>
      </c>
      <c r="L13" s="122">
        <f t="shared" ref="L13:L44" si="25">I13-K13</f>
        <v>267922.15528481675</v>
      </c>
      <c r="M13" s="221">
        <f t="shared" ref="M13:M44" si="26">AJ13</f>
        <v>47080.371202647286</v>
      </c>
      <c r="N13" s="122">
        <f t="shared" ref="N13:N44" si="27">L13-M13</f>
        <v>220841.78408216947</v>
      </c>
      <c r="O13" s="438">
        <f>IF(N13&lt;0,0,(N13*Tea_Retrofit!$J$7))</f>
        <v>66252.535224650841</v>
      </c>
      <c r="P13" s="122">
        <f t="shared" ref="P13:P44" si="28">N13-O13</f>
        <v>154589.24885751863</v>
      </c>
      <c r="Q13" s="123">
        <f t="shared" ref="Q13:Q44" si="29">IFERROR(P13/H13,0)</f>
        <v>0.56696261604782727</v>
      </c>
      <c r="T13" s="218">
        <f t="shared" ref="T13:T44" si="30">H13</f>
        <v>272662.15528481675</v>
      </c>
      <c r="U13" s="438">
        <f t="shared" ref="U13:U44" si="31">T13</f>
        <v>272662.15528481675</v>
      </c>
      <c r="V13" s="218">
        <f>IF(B13=0,Tea_Retrofit!$C$29,0)</f>
        <v>0</v>
      </c>
      <c r="W13" s="435">
        <f t="shared" ref="W13:W44" si="32">SUM(V13:V13)</f>
        <v>0</v>
      </c>
      <c r="X13" s="438">
        <f t="shared" ref="X13:X44" si="33">U13-W13</f>
        <v>272662.15528481675</v>
      </c>
      <c r="Y13" s="184">
        <f>IF(B13=0,Tea_Retrofit!$G$15+Tea_Retrofit!$G$16,0)</f>
        <v>0</v>
      </c>
      <c r="Z13" s="185">
        <f>IF(B13=0,Tea_Retrofit!$G$14,0)</f>
        <v>0</v>
      </c>
      <c r="AA13" s="132">
        <f t="shared" ref="AA13:AA44" si="34">SUM(Y13:Z13)</f>
        <v>0</v>
      </c>
      <c r="AB13" s="218">
        <f t="shared" ref="AB13:AB44" si="35">X13+AA13</f>
        <v>272662.15528481675</v>
      </c>
      <c r="AC13" s="218">
        <f>Tea_Retrofit!$G$20*AVERAGE(AR13,AS13)</f>
        <v>0</v>
      </c>
      <c r="AD13" s="132">
        <f t="shared" ref="AD13:AD44" si="36">O13</f>
        <v>66252.535224650841</v>
      </c>
      <c r="AE13" s="132">
        <f t="shared" ref="AE13:AE44" si="37">AG13+AD13-G13</f>
        <v>272662.15528481675</v>
      </c>
      <c r="AF13" s="122">
        <f t="shared" ref="AF13:AF44" si="38">AG13-G13</f>
        <v>206409.62006016591</v>
      </c>
      <c r="AG13" s="438">
        <f t="shared" ref="AG13:AG44" si="39">AB13-AD13</f>
        <v>206409.62006016591</v>
      </c>
      <c r="AH13" s="122">
        <f t="shared" ref="AH13:AH44" si="40">AI12</f>
        <v>79227.505403816773</v>
      </c>
      <c r="AI13" s="122">
        <f t="shared" ref="AI13:AI44" si="41">AH13-AK13</f>
        <v>59467.34179713505</v>
      </c>
      <c r="AJ13" s="122">
        <f>-Debt_Calc!BU11</f>
        <v>47080.371202647286</v>
      </c>
      <c r="AK13" s="122">
        <f>Debt_Calc!BV11</f>
        <v>19760.163606681723</v>
      </c>
      <c r="AL13" s="122">
        <f t="shared" ref="AL13:AL44" si="42">SUM(AJ13:AK13)</f>
        <v>66840.534809329009</v>
      </c>
      <c r="AM13" s="217">
        <f t="shared" ref="AM13:AM44" si="43">IFERROR(AG13/AL13,0)</f>
        <v>3.0880904925278529</v>
      </c>
      <c r="AN13" s="122">
        <f t="shared" ref="AN13:AN44" si="44">AG13-AL13</f>
        <v>139569.08525083691</v>
      </c>
      <c r="AO13" s="122">
        <f t="shared" ref="AO13:AO44" si="45">AN13+AD13</f>
        <v>205821.62047548775</v>
      </c>
      <c r="AP13" s="122">
        <f t="shared" ref="AP13:AP44" si="46">AN13+AR13</f>
        <v>139569.08525083691</v>
      </c>
      <c r="AQ13" s="122">
        <f t="shared" ref="AQ13:AQ44" si="47">AN13-AP13</f>
        <v>0</v>
      </c>
      <c r="AR13" s="122">
        <f t="shared" ref="AR13:AR44" si="48">AS12</f>
        <v>0</v>
      </c>
      <c r="AS13" s="122">
        <f t="shared" ref="AS13:AS44" si="49">AQ13+AR13</f>
        <v>0</v>
      </c>
      <c r="AT13" s="122">
        <f t="shared" ref="AT13:AT44" si="50">AP13+AT12</f>
        <v>282769.1143540254</v>
      </c>
      <c r="AU13" s="122">
        <f t="shared" ref="AU13:AU44" si="51">IF(AU12&gt;=1,2,IF(AT13&gt;0,1,0))</f>
        <v>2</v>
      </c>
      <c r="AV13" s="222">
        <f t="shared" ref="AV13:AV44" si="52">AP13/((1+$AP$4)^B13)</f>
        <v>4094.3986956521876</v>
      </c>
      <c r="AW13" s="102"/>
      <c r="AX13" s="102"/>
      <c r="AY13" s="102"/>
      <c r="AZ13" s="102"/>
      <c r="BA13" s="102"/>
      <c r="BI13" s="102"/>
      <c r="BS13" s="102"/>
      <c r="BT13" s="102"/>
      <c r="BU13" s="102"/>
      <c r="BV13" s="102"/>
      <c r="BW13" s="102"/>
      <c r="BX13" s="102"/>
      <c r="BY13" s="102"/>
      <c r="BZ13" s="102"/>
      <c r="CA13" s="102"/>
      <c r="CB13" s="102"/>
      <c r="CC13" s="102"/>
      <c r="CD13" s="86"/>
      <c r="CJ13" s="86"/>
      <c r="CQ13" s="86"/>
    </row>
    <row r="14" spans="2:95" s="193" customFormat="1" x14ac:dyDescent="0.3">
      <c r="B14" s="184">
        <f t="shared" si="18"/>
        <v>3</v>
      </c>
      <c r="C14" s="346">
        <f t="shared" si="19"/>
        <v>2024</v>
      </c>
      <c r="D14" s="347">
        <f t="shared" si="20"/>
        <v>45292</v>
      </c>
      <c r="E14" s="440">
        <f t="shared" si="21"/>
        <v>45657</v>
      </c>
      <c r="F14" s="732">
        <f>IF(AND(B14&gt;0,B14&lt;=Tea_Retrofit!$J$10),1,0)</f>
        <v>1</v>
      </c>
      <c r="G14" s="217">
        <f t="shared" si="22"/>
        <v>0</v>
      </c>
      <c r="H14" s="438">
        <f>(Tea_Retrofit!$N$28*F14)+IF(B14=Tea_Retrofit!$J$10,Tea_Retrofit!$J$12,0)</f>
        <v>272662.15528481675</v>
      </c>
      <c r="I14" s="122">
        <f t="shared" si="23"/>
        <v>272662.15528481675</v>
      </c>
      <c r="J14" s="219">
        <f t="shared" si="24"/>
        <v>1</v>
      </c>
      <c r="K14" s="220">
        <f>Deprec!R13</f>
        <v>4740</v>
      </c>
      <c r="L14" s="122">
        <f t="shared" si="25"/>
        <v>267922.15528481675</v>
      </c>
      <c r="M14" s="221">
        <f t="shared" si="26"/>
        <v>44215.147479678439</v>
      </c>
      <c r="N14" s="122">
        <f t="shared" si="27"/>
        <v>223707.0078051383</v>
      </c>
      <c r="O14" s="438">
        <f>IF(N14&lt;0,0,(N14*Tea_Retrofit!$J$7))</f>
        <v>67112.102341541482</v>
      </c>
      <c r="P14" s="122">
        <f t="shared" si="28"/>
        <v>156594.90546359681</v>
      </c>
      <c r="Q14" s="123">
        <f t="shared" si="29"/>
        <v>0.57431844657730846</v>
      </c>
      <c r="T14" s="218">
        <f t="shared" si="30"/>
        <v>272662.15528481675</v>
      </c>
      <c r="U14" s="438">
        <f t="shared" si="31"/>
        <v>272662.15528481675</v>
      </c>
      <c r="V14" s="218">
        <f>IF(B14=0,Tea_Retrofit!$C$29,0)</f>
        <v>0</v>
      </c>
      <c r="W14" s="435">
        <f t="shared" si="32"/>
        <v>0</v>
      </c>
      <c r="X14" s="438">
        <f t="shared" si="33"/>
        <v>272662.15528481675</v>
      </c>
      <c r="Y14" s="184">
        <f>IF(B14=0,Tea_Retrofit!$G$15+Tea_Retrofit!$G$16,0)</f>
        <v>0</v>
      </c>
      <c r="Z14" s="185">
        <f>IF(B14=0,Tea_Retrofit!$G$14,0)</f>
        <v>0</v>
      </c>
      <c r="AA14" s="132">
        <f t="shared" si="34"/>
        <v>0</v>
      </c>
      <c r="AB14" s="218">
        <f t="shared" si="35"/>
        <v>272662.15528481675</v>
      </c>
      <c r="AC14" s="218">
        <f>Tea_Retrofit!$G$20*AVERAGE(AR14,AS14)</f>
        <v>0</v>
      </c>
      <c r="AD14" s="132">
        <f t="shared" si="36"/>
        <v>67112.102341541482</v>
      </c>
      <c r="AE14" s="132">
        <f t="shared" si="37"/>
        <v>272662.15528481675</v>
      </c>
      <c r="AF14" s="122">
        <f t="shared" si="38"/>
        <v>205550.05294327525</v>
      </c>
      <c r="AG14" s="438">
        <f t="shared" si="39"/>
        <v>205550.05294327525</v>
      </c>
      <c r="AH14" s="122">
        <f t="shared" si="40"/>
        <v>59467.34179713505</v>
      </c>
      <c r="AI14" s="122">
        <f t="shared" si="41"/>
        <v>36841.95446748448</v>
      </c>
      <c r="AJ14" s="122">
        <f>-Debt_Calc!BU12</f>
        <v>44215.147479678439</v>
      </c>
      <c r="AK14" s="122">
        <f>Debt_Calc!BV12</f>
        <v>22625.38732965057</v>
      </c>
      <c r="AL14" s="122">
        <f t="shared" si="42"/>
        <v>66840.534809329009</v>
      </c>
      <c r="AM14" s="217">
        <f t="shared" si="43"/>
        <v>3.075230524854903</v>
      </c>
      <c r="AN14" s="122">
        <f t="shared" si="44"/>
        <v>138709.51813394623</v>
      </c>
      <c r="AO14" s="122">
        <f t="shared" si="45"/>
        <v>205821.62047548773</v>
      </c>
      <c r="AP14" s="122">
        <f t="shared" si="46"/>
        <v>138709.51813394623</v>
      </c>
      <c r="AQ14" s="122">
        <f t="shared" si="47"/>
        <v>0</v>
      </c>
      <c r="AR14" s="122">
        <f t="shared" si="48"/>
        <v>0</v>
      </c>
      <c r="AS14" s="122">
        <f t="shared" si="49"/>
        <v>0</v>
      </c>
      <c r="AT14" s="122">
        <f t="shared" si="50"/>
        <v>421478.63248797163</v>
      </c>
      <c r="AU14" s="122">
        <f t="shared" si="51"/>
        <v>2</v>
      </c>
      <c r="AV14" s="222">
        <f t="shared" si="52"/>
        <v>696.9596091096904</v>
      </c>
      <c r="AW14" s="102"/>
      <c r="AX14" s="102"/>
      <c r="AY14" s="102"/>
      <c r="AZ14" s="102"/>
      <c r="BA14" s="102"/>
      <c r="BI14" s="102"/>
      <c r="BS14" s="102"/>
      <c r="BT14" s="102"/>
      <c r="BU14" s="102"/>
      <c r="BV14" s="102"/>
      <c r="BW14" s="102"/>
      <c r="BX14" s="102"/>
      <c r="BY14" s="102"/>
      <c r="BZ14" s="102"/>
      <c r="CA14" s="102"/>
      <c r="CB14" s="102"/>
      <c r="CC14" s="102"/>
      <c r="CD14" s="86"/>
      <c r="CJ14" s="86"/>
      <c r="CQ14" s="86"/>
    </row>
    <row r="15" spans="2:95" s="86" customFormat="1" x14ac:dyDescent="0.3">
      <c r="B15" s="184">
        <f t="shared" si="18"/>
        <v>4</v>
      </c>
      <c r="C15" s="346">
        <f t="shared" si="19"/>
        <v>2025</v>
      </c>
      <c r="D15" s="347">
        <f t="shared" si="20"/>
        <v>45658</v>
      </c>
      <c r="E15" s="440">
        <f t="shared" si="21"/>
        <v>46022</v>
      </c>
      <c r="F15" s="732">
        <f>IF(AND(B15&gt;0,B15&lt;=Tea_Retrofit!$J$10),1,0)</f>
        <v>1</v>
      </c>
      <c r="G15" s="217">
        <f t="shared" si="22"/>
        <v>0</v>
      </c>
      <c r="H15" s="438">
        <f>(Tea_Retrofit!$N$28*F15)+IF(B15=Tea_Retrofit!$J$10,Tea_Retrofit!$J$12,0)</f>
        <v>272662.15528481675</v>
      </c>
      <c r="I15" s="122">
        <f t="shared" si="23"/>
        <v>272662.15528481675</v>
      </c>
      <c r="J15" s="219">
        <f t="shared" si="24"/>
        <v>1</v>
      </c>
      <c r="K15" s="220">
        <f>Deprec!R14</f>
        <v>4740</v>
      </c>
      <c r="L15" s="122">
        <f t="shared" si="25"/>
        <v>267922.15528481675</v>
      </c>
      <c r="M15" s="221">
        <f t="shared" si="26"/>
        <v>40934.466316879101</v>
      </c>
      <c r="N15" s="122">
        <f t="shared" si="27"/>
        <v>226987.68896793766</v>
      </c>
      <c r="O15" s="438">
        <f>IF(N15&lt;0,0,(N15*Tea_Retrofit!$J$7))</f>
        <v>68096.306690381301</v>
      </c>
      <c r="P15" s="122">
        <f t="shared" si="28"/>
        <v>158891.38227755635</v>
      </c>
      <c r="Q15" s="123">
        <f t="shared" si="29"/>
        <v>0.58274087253356444</v>
      </c>
      <c r="T15" s="218">
        <f t="shared" si="30"/>
        <v>272662.15528481675</v>
      </c>
      <c r="U15" s="438">
        <f t="shared" si="31"/>
        <v>272662.15528481675</v>
      </c>
      <c r="V15" s="218">
        <f>IF(B15=0,Tea_Retrofit!$C$29,0)</f>
        <v>0</v>
      </c>
      <c r="W15" s="435">
        <f t="shared" si="32"/>
        <v>0</v>
      </c>
      <c r="X15" s="438">
        <f t="shared" si="33"/>
        <v>272662.15528481675</v>
      </c>
      <c r="Y15" s="184">
        <f>IF(B15=0,Tea_Retrofit!$G$15+Tea_Retrofit!$G$16,0)</f>
        <v>0</v>
      </c>
      <c r="Z15" s="185">
        <f>IF(B15=0,Tea_Retrofit!$G$14,0)</f>
        <v>0</v>
      </c>
      <c r="AA15" s="132">
        <f t="shared" si="34"/>
        <v>0</v>
      </c>
      <c r="AB15" s="218">
        <f t="shared" si="35"/>
        <v>272662.15528481675</v>
      </c>
      <c r="AC15" s="218">
        <f>Tea_Retrofit!$G$20*AVERAGE(AR15,AS15)</f>
        <v>0</v>
      </c>
      <c r="AD15" s="132">
        <f t="shared" si="36"/>
        <v>68096.306690381301</v>
      </c>
      <c r="AE15" s="132">
        <f t="shared" si="37"/>
        <v>272662.15528481675</v>
      </c>
      <c r="AF15" s="122">
        <f t="shared" si="38"/>
        <v>204565.84859443543</v>
      </c>
      <c r="AG15" s="438">
        <f t="shared" si="39"/>
        <v>204565.84859443543</v>
      </c>
      <c r="AH15" s="122">
        <f t="shared" si="40"/>
        <v>36841.95446748448</v>
      </c>
      <c r="AI15" s="122">
        <f t="shared" si="41"/>
        <v>10935.885975034573</v>
      </c>
      <c r="AJ15" s="122">
        <f>-Debt_Calc!BU13</f>
        <v>40934.466316879101</v>
      </c>
      <c r="AK15" s="122">
        <f>Debt_Calc!BV13</f>
        <v>25906.068492449907</v>
      </c>
      <c r="AL15" s="122">
        <f t="shared" si="42"/>
        <v>66840.534809329009</v>
      </c>
      <c r="AM15" s="217">
        <f t="shared" si="43"/>
        <v>3.060505861869375</v>
      </c>
      <c r="AN15" s="122">
        <f t="shared" si="44"/>
        <v>137725.31378510641</v>
      </c>
      <c r="AO15" s="122">
        <f t="shared" si="45"/>
        <v>205821.62047548773</v>
      </c>
      <c r="AP15" s="122">
        <f t="shared" si="46"/>
        <v>137725.31378510641</v>
      </c>
      <c r="AQ15" s="122">
        <f t="shared" si="47"/>
        <v>0</v>
      </c>
      <c r="AR15" s="122">
        <f t="shared" si="48"/>
        <v>0</v>
      </c>
      <c r="AS15" s="122">
        <f t="shared" si="49"/>
        <v>0</v>
      </c>
      <c r="AT15" s="122">
        <f t="shared" si="50"/>
        <v>559203.94627307798</v>
      </c>
      <c r="AU15" s="122">
        <f t="shared" si="51"/>
        <v>2</v>
      </c>
      <c r="AV15" s="222">
        <f t="shared" si="52"/>
        <v>118.52652906678814</v>
      </c>
    </row>
    <row r="16" spans="2:95" s="86" customFormat="1" x14ac:dyDescent="0.3">
      <c r="B16" s="184">
        <f t="shared" si="18"/>
        <v>5</v>
      </c>
      <c r="C16" s="346">
        <f t="shared" si="19"/>
        <v>2026</v>
      </c>
      <c r="D16" s="347">
        <f t="shared" si="20"/>
        <v>46023</v>
      </c>
      <c r="E16" s="440">
        <f t="shared" si="21"/>
        <v>46387</v>
      </c>
      <c r="F16" s="732">
        <f>IF(AND(B16&gt;0,B16&lt;=Tea_Retrofit!$J$10),1,0)</f>
        <v>1</v>
      </c>
      <c r="G16" s="217">
        <f t="shared" si="22"/>
        <v>0</v>
      </c>
      <c r="H16" s="438">
        <f>(Tea_Retrofit!$N$28*F16)+IF(B16=Tea_Retrofit!$J$10,Tea_Retrofit!$J$12,0)</f>
        <v>272662.15528481675</v>
      </c>
      <c r="I16" s="122">
        <f t="shared" si="23"/>
        <v>272662.15528481675</v>
      </c>
      <c r="J16" s="219">
        <f t="shared" si="24"/>
        <v>1</v>
      </c>
      <c r="K16" s="220">
        <f>Deprec!R15</f>
        <v>4740</v>
      </c>
      <c r="L16" s="122">
        <f t="shared" si="25"/>
        <v>267922.15528481675</v>
      </c>
      <c r="M16" s="221">
        <f t="shared" si="26"/>
        <v>37178.086385473864</v>
      </c>
      <c r="N16" s="122">
        <f t="shared" si="27"/>
        <v>230744.06889934288</v>
      </c>
      <c r="O16" s="438">
        <f>IF(N16&lt;0,0,(N16*Tea_Retrofit!$J$7))</f>
        <v>69223.22066980286</v>
      </c>
      <c r="P16" s="122">
        <f t="shared" si="28"/>
        <v>161520.84822954002</v>
      </c>
      <c r="Q16" s="123">
        <f t="shared" si="29"/>
        <v>0.59238455025347747</v>
      </c>
      <c r="T16" s="218">
        <f t="shared" si="30"/>
        <v>272662.15528481675</v>
      </c>
      <c r="U16" s="438">
        <f t="shared" si="31"/>
        <v>272662.15528481675</v>
      </c>
      <c r="V16" s="218">
        <f>IF(B16=0,Tea_Retrofit!$C$29,0)</f>
        <v>0</v>
      </c>
      <c r="W16" s="435">
        <f t="shared" si="32"/>
        <v>0</v>
      </c>
      <c r="X16" s="438">
        <f t="shared" si="33"/>
        <v>272662.15528481675</v>
      </c>
      <c r="Y16" s="184">
        <f>IF(B16=0,Tea_Retrofit!$G$15+Tea_Retrofit!$G$16,0)</f>
        <v>0</v>
      </c>
      <c r="Z16" s="185">
        <f>IF(B16=0,Tea_Retrofit!$G$14,0)</f>
        <v>0</v>
      </c>
      <c r="AA16" s="132">
        <f t="shared" si="34"/>
        <v>0</v>
      </c>
      <c r="AB16" s="218">
        <f t="shared" si="35"/>
        <v>272662.15528481675</v>
      </c>
      <c r="AC16" s="218">
        <f>Tea_Retrofit!$G$20*AVERAGE(AR16,AS16)</f>
        <v>0</v>
      </c>
      <c r="AD16" s="132">
        <f t="shared" si="36"/>
        <v>69223.22066980286</v>
      </c>
      <c r="AE16" s="132">
        <f t="shared" si="37"/>
        <v>272662.15528481675</v>
      </c>
      <c r="AF16" s="122">
        <f t="shared" si="38"/>
        <v>203438.93461501389</v>
      </c>
      <c r="AG16" s="438">
        <f t="shared" si="39"/>
        <v>203438.93461501389</v>
      </c>
      <c r="AH16" s="122">
        <f t="shared" si="40"/>
        <v>10935.885975034573</v>
      </c>
      <c r="AI16" s="122">
        <f t="shared" si="41"/>
        <v>-18726.562448820558</v>
      </c>
      <c r="AJ16" s="122">
        <f>-Debt_Calc!BU14</f>
        <v>37178.086385473864</v>
      </c>
      <c r="AK16" s="122">
        <f>Debt_Calc!BV14</f>
        <v>29662.44842385513</v>
      </c>
      <c r="AL16" s="122">
        <f t="shared" si="42"/>
        <v>66840.534809328994</v>
      </c>
      <c r="AM16" s="217">
        <f t="shared" si="43"/>
        <v>3.0436461227509466</v>
      </c>
      <c r="AN16" s="122">
        <f t="shared" si="44"/>
        <v>136598.39980568489</v>
      </c>
      <c r="AO16" s="122">
        <f t="shared" si="45"/>
        <v>205821.62047548775</v>
      </c>
      <c r="AP16" s="122">
        <f t="shared" si="46"/>
        <v>136598.39980568489</v>
      </c>
      <c r="AQ16" s="122">
        <f t="shared" si="47"/>
        <v>0</v>
      </c>
      <c r="AR16" s="122">
        <f t="shared" si="48"/>
        <v>0</v>
      </c>
      <c r="AS16" s="122">
        <f t="shared" si="49"/>
        <v>0</v>
      </c>
      <c r="AT16" s="122">
        <f t="shared" si="50"/>
        <v>695802.3460787629</v>
      </c>
      <c r="AU16" s="122">
        <f t="shared" si="51"/>
        <v>2</v>
      </c>
      <c r="AV16" s="222">
        <f t="shared" si="52"/>
        <v>20.134824893001085</v>
      </c>
    </row>
    <row r="17" spans="2:48" s="86" customFormat="1" x14ac:dyDescent="0.3">
      <c r="B17" s="184">
        <f t="shared" si="18"/>
        <v>6</v>
      </c>
      <c r="C17" s="346">
        <f t="shared" si="19"/>
        <v>2027</v>
      </c>
      <c r="D17" s="347">
        <f t="shared" si="20"/>
        <v>46388</v>
      </c>
      <c r="E17" s="440">
        <f t="shared" si="21"/>
        <v>46752</v>
      </c>
      <c r="F17" s="732">
        <f>IF(AND(B17&gt;0,B17&lt;=Tea_Retrofit!$J$10),1,0)</f>
        <v>1</v>
      </c>
      <c r="G17" s="217">
        <f t="shared" si="22"/>
        <v>0</v>
      </c>
      <c r="H17" s="438">
        <f>(Tea_Retrofit!$N$28*F17)+IF(B17=Tea_Retrofit!$J$10,Tea_Retrofit!$J$12,0)</f>
        <v>272662.15528481675</v>
      </c>
      <c r="I17" s="122">
        <f t="shared" si="23"/>
        <v>272662.15528481675</v>
      </c>
      <c r="J17" s="219">
        <f t="shared" si="24"/>
        <v>1</v>
      </c>
      <c r="K17" s="220">
        <f>Deprec!R16</f>
        <v>4740</v>
      </c>
      <c r="L17" s="122">
        <f t="shared" si="25"/>
        <v>267922.15528481675</v>
      </c>
      <c r="M17" s="221">
        <f t="shared" si="26"/>
        <v>32877.031364014874</v>
      </c>
      <c r="N17" s="122">
        <f t="shared" si="27"/>
        <v>235045.12392080188</v>
      </c>
      <c r="O17" s="438">
        <f>IF(N17&lt;0,0,(N17*Tea_Retrofit!$J$7))</f>
        <v>70513.537176240556</v>
      </c>
      <c r="P17" s="122">
        <f t="shared" si="28"/>
        <v>164531.58674456133</v>
      </c>
      <c r="Q17" s="123">
        <f t="shared" si="29"/>
        <v>0.60342656124277805</v>
      </c>
      <c r="T17" s="218">
        <f t="shared" si="30"/>
        <v>272662.15528481675</v>
      </c>
      <c r="U17" s="438">
        <f t="shared" si="31"/>
        <v>272662.15528481675</v>
      </c>
      <c r="V17" s="218">
        <f>IF(B17=0,Tea_Retrofit!$C$29,0)</f>
        <v>0</v>
      </c>
      <c r="W17" s="435">
        <f t="shared" si="32"/>
        <v>0</v>
      </c>
      <c r="X17" s="438">
        <f t="shared" si="33"/>
        <v>272662.15528481675</v>
      </c>
      <c r="Y17" s="184">
        <f>IF(B17=0,Tea_Retrofit!$G$15+Tea_Retrofit!$G$16,0)</f>
        <v>0</v>
      </c>
      <c r="Z17" s="185">
        <f>IF(B17=0,Tea_Retrofit!$G$14,0)</f>
        <v>0</v>
      </c>
      <c r="AA17" s="132">
        <f t="shared" si="34"/>
        <v>0</v>
      </c>
      <c r="AB17" s="218">
        <f t="shared" si="35"/>
        <v>272662.15528481675</v>
      </c>
      <c r="AC17" s="218">
        <f>Tea_Retrofit!$G$20*AVERAGE(AR17,AS17)</f>
        <v>0</v>
      </c>
      <c r="AD17" s="132">
        <f t="shared" si="36"/>
        <v>70513.537176240556</v>
      </c>
      <c r="AE17" s="132">
        <f t="shared" si="37"/>
        <v>272662.15528481675</v>
      </c>
      <c r="AF17" s="122">
        <f t="shared" si="38"/>
        <v>202148.61810857619</v>
      </c>
      <c r="AG17" s="438">
        <f t="shared" si="39"/>
        <v>202148.61810857619</v>
      </c>
      <c r="AH17" s="122">
        <f t="shared" si="40"/>
        <v>-18726.562448820558</v>
      </c>
      <c r="AI17" s="122">
        <f t="shared" si="41"/>
        <v>-52690.065894134706</v>
      </c>
      <c r="AJ17" s="122">
        <f>-Debt_Calc!BU15</f>
        <v>32877.031364014874</v>
      </c>
      <c r="AK17" s="122">
        <f>Debt_Calc!BV15</f>
        <v>33963.503445314149</v>
      </c>
      <c r="AL17" s="122">
        <f t="shared" si="42"/>
        <v>66840.534809329023</v>
      </c>
      <c r="AM17" s="217">
        <f t="shared" si="43"/>
        <v>3.0243417214603441</v>
      </c>
      <c r="AN17" s="122">
        <f t="shared" si="44"/>
        <v>135308.08329924717</v>
      </c>
      <c r="AO17" s="122">
        <f t="shared" si="45"/>
        <v>205821.62047548773</v>
      </c>
      <c r="AP17" s="122">
        <f t="shared" si="46"/>
        <v>135308.08329924717</v>
      </c>
      <c r="AQ17" s="122">
        <f t="shared" si="47"/>
        <v>0</v>
      </c>
      <c r="AR17" s="122">
        <f t="shared" si="48"/>
        <v>0</v>
      </c>
      <c r="AS17" s="122">
        <f t="shared" si="49"/>
        <v>0</v>
      </c>
      <c r="AT17" s="122">
        <f t="shared" si="50"/>
        <v>831110.4293780101</v>
      </c>
      <c r="AU17" s="122">
        <f t="shared" si="51"/>
        <v>2</v>
      </c>
      <c r="AV17" s="222">
        <f t="shared" si="52"/>
        <v>3.416067443439009</v>
      </c>
    </row>
    <row r="18" spans="2:48" s="86" customFormat="1" x14ac:dyDescent="0.3">
      <c r="B18" s="184">
        <f t="shared" si="18"/>
        <v>7</v>
      </c>
      <c r="C18" s="346">
        <f t="shared" si="19"/>
        <v>2028</v>
      </c>
      <c r="D18" s="347">
        <f t="shared" si="20"/>
        <v>46753</v>
      </c>
      <c r="E18" s="440">
        <f t="shared" si="21"/>
        <v>47118</v>
      </c>
      <c r="F18" s="732">
        <f>IF(AND(B18&gt;0,B18&lt;=Tea_Retrofit!$J$10),1,0)</f>
        <v>1</v>
      </c>
      <c r="G18" s="217">
        <f t="shared" si="22"/>
        <v>0</v>
      </c>
      <c r="H18" s="438">
        <f>(Tea_Retrofit!$N$28*F18)+IF(B18=Tea_Retrofit!$J$10,Tea_Retrofit!$J$12,0)</f>
        <v>272662.15528481675</v>
      </c>
      <c r="I18" s="122">
        <f t="shared" si="23"/>
        <v>272662.15528481675</v>
      </c>
      <c r="J18" s="219">
        <f t="shared" si="24"/>
        <v>1</v>
      </c>
      <c r="K18" s="220">
        <f>Deprec!R17</f>
        <v>4740</v>
      </c>
      <c r="L18" s="122">
        <f t="shared" si="25"/>
        <v>267922.15528481675</v>
      </c>
      <c r="M18" s="221">
        <f t="shared" si="26"/>
        <v>27952.323364444321</v>
      </c>
      <c r="N18" s="122">
        <f t="shared" si="27"/>
        <v>239969.83192037244</v>
      </c>
      <c r="O18" s="438">
        <f>IF(N18&lt;0,0,(N18*Tea_Retrofit!$J$7))</f>
        <v>71990.949576111729</v>
      </c>
      <c r="P18" s="122">
        <f t="shared" si="28"/>
        <v>167978.8823442607</v>
      </c>
      <c r="Q18" s="123">
        <f t="shared" si="29"/>
        <v>0.61606966382552697</v>
      </c>
      <c r="T18" s="218">
        <f t="shared" si="30"/>
        <v>272662.15528481675</v>
      </c>
      <c r="U18" s="438">
        <f t="shared" si="31"/>
        <v>272662.15528481675</v>
      </c>
      <c r="V18" s="218">
        <f>IF(B18=0,Tea_Retrofit!$C$29,0)</f>
        <v>0</v>
      </c>
      <c r="W18" s="435">
        <f t="shared" si="32"/>
        <v>0</v>
      </c>
      <c r="X18" s="438">
        <f t="shared" si="33"/>
        <v>272662.15528481675</v>
      </c>
      <c r="Y18" s="184">
        <f>IF(B18=0,Tea_Retrofit!$G$15+Tea_Retrofit!$G$16,0)</f>
        <v>0</v>
      </c>
      <c r="Z18" s="185">
        <f>IF(B18=0,Tea_Retrofit!$G$14,0)</f>
        <v>0</v>
      </c>
      <c r="AA18" s="132">
        <f t="shared" si="34"/>
        <v>0</v>
      </c>
      <c r="AB18" s="218">
        <f t="shared" si="35"/>
        <v>272662.15528481675</v>
      </c>
      <c r="AC18" s="218">
        <f>Tea_Retrofit!$G$20*AVERAGE(AR18,AS18)</f>
        <v>0</v>
      </c>
      <c r="AD18" s="132">
        <f t="shared" si="36"/>
        <v>71990.949576111729</v>
      </c>
      <c r="AE18" s="132">
        <f t="shared" si="37"/>
        <v>272662.15528481675</v>
      </c>
      <c r="AF18" s="122">
        <f t="shared" si="38"/>
        <v>200671.20570870501</v>
      </c>
      <c r="AG18" s="438">
        <f t="shared" si="39"/>
        <v>200671.20570870501</v>
      </c>
      <c r="AH18" s="122">
        <f t="shared" si="40"/>
        <v>-52690.065894134706</v>
      </c>
      <c r="AI18" s="122">
        <f t="shared" si="41"/>
        <v>-91578.277339019391</v>
      </c>
      <c r="AJ18" s="122">
        <f>-Debt_Calc!BU16</f>
        <v>27952.323364444321</v>
      </c>
      <c r="AK18" s="122">
        <f>Debt_Calc!BV16</f>
        <v>38888.211444884684</v>
      </c>
      <c r="AL18" s="122">
        <f t="shared" si="42"/>
        <v>66840.534809329009</v>
      </c>
      <c r="AM18" s="217">
        <f t="shared" si="43"/>
        <v>3.0022381819826061</v>
      </c>
      <c r="AN18" s="122">
        <f t="shared" si="44"/>
        <v>133830.67089937598</v>
      </c>
      <c r="AO18" s="122">
        <f t="shared" si="45"/>
        <v>205821.62047548773</v>
      </c>
      <c r="AP18" s="122">
        <f t="shared" si="46"/>
        <v>133830.67089937598</v>
      </c>
      <c r="AQ18" s="122">
        <f t="shared" si="47"/>
        <v>0</v>
      </c>
      <c r="AR18" s="122">
        <f t="shared" si="48"/>
        <v>0</v>
      </c>
      <c r="AS18" s="122">
        <f t="shared" si="49"/>
        <v>0</v>
      </c>
      <c r="AT18" s="122">
        <f t="shared" si="50"/>
        <v>964941.10027738614</v>
      </c>
      <c r="AU18" s="122">
        <f t="shared" si="51"/>
        <v>2</v>
      </c>
      <c r="AV18" s="222">
        <f t="shared" si="52"/>
        <v>0.57870708372563995</v>
      </c>
    </row>
    <row r="19" spans="2:48" s="86" customFormat="1" x14ac:dyDescent="0.3">
      <c r="B19" s="184">
        <f t="shared" si="18"/>
        <v>8</v>
      </c>
      <c r="C19" s="346">
        <f t="shared" si="19"/>
        <v>2029</v>
      </c>
      <c r="D19" s="347">
        <f t="shared" si="20"/>
        <v>47119</v>
      </c>
      <c r="E19" s="440">
        <f t="shared" si="21"/>
        <v>47483</v>
      </c>
      <c r="F19" s="732">
        <f>IF(AND(B19&gt;0,B19&lt;=Tea_Retrofit!$J$10),1,0)</f>
        <v>1</v>
      </c>
      <c r="G19" s="217">
        <f t="shared" si="22"/>
        <v>0</v>
      </c>
      <c r="H19" s="438">
        <f>(Tea_Retrofit!$N$28*F19)+IF(B19=Tea_Retrofit!$J$10,Tea_Retrofit!$J$12,0)</f>
        <v>272662.15528481675</v>
      </c>
      <c r="I19" s="122">
        <f t="shared" si="23"/>
        <v>272662.15528481675</v>
      </c>
      <c r="J19" s="219">
        <f t="shared" si="24"/>
        <v>1</v>
      </c>
      <c r="K19" s="220">
        <f>Deprec!R18</f>
        <v>4740</v>
      </c>
      <c r="L19" s="122">
        <f t="shared" si="25"/>
        <v>267922.15528481675</v>
      </c>
      <c r="M19" s="221">
        <f t="shared" si="26"/>
        <v>22313.532704936042</v>
      </c>
      <c r="N19" s="122">
        <f t="shared" si="27"/>
        <v>245608.6225798807</v>
      </c>
      <c r="O19" s="438">
        <f>IF(N19&lt;0,0,(N19*Tea_Retrofit!$J$7))</f>
        <v>73682.586773964213</v>
      </c>
      <c r="P19" s="122">
        <f t="shared" si="28"/>
        <v>171926.03580591647</v>
      </c>
      <c r="Q19" s="123">
        <f t="shared" si="29"/>
        <v>0.63054601628277462</v>
      </c>
      <c r="T19" s="218">
        <f t="shared" si="30"/>
        <v>272662.15528481675</v>
      </c>
      <c r="U19" s="438">
        <f t="shared" si="31"/>
        <v>272662.15528481675</v>
      </c>
      <c r="V19" s="218">
        <f>IF(B19=0,Tea_Retrofit!$C$29,0)</f>
        <v>0</v>
      </c>
      <c r="W19" s="435">
        <f t="shared" si="32"/>
        <v>0</v>
      </c>
      <c r="X19" s="438">
        <f t="shared" si="33"/>
        <v>272662.15528481675</v>
      </c>
      <c r="Y19" s="184">
        <f>IF(B19=0,Tea_Retrofit!$G$15+Tea_Retrofit!$G$16,0)</f>
        <v>0</v>
      </c>
      <c r="Z19" s="185">
        <f>IF(B19=0,Tea_Retrofit!$G$14,0)</f>
        <v>0</v>
      </c>
      <c r="AA19" s="132">
        <f t="shared" si="34"/>
        <v>0</v>
      </c>
      <c r="AB19" s="218">
        <f t="shared" si="35"/>
        <v>272662.15528481675</v>
      </c>
      <c r="AC19" s="218">
        <f>Tea_Retrofit!$G$20*AVERAGE(AR19,AS19)</f>
        <v>0</v>
      </c>
      <c r="AD19" s="132">
        <f t="shared" si="36"/>
        <v>73682.586773964213</v>
      </c>
      <c r="AE19" s="132">
        <f t="shared" si="37"/>
        <v>272662.15528481675</v>
      </c>
      <c r="AF19" s="122">
        <f t="shared" si="38"/>
        <v>198979.56851085252</v>
      </c>
      <c r="AG19" s="438">
        <f t="shared" si="39"/>
        <v>198979.56851085252</v>
      </c>
      <c r="AH19" s="122">
        <f t="shared" si="40"/>
        <v>-91578.277339019391</v>
      </c>
      <c r="AI19" s="122">
        <f t="shared" si="41"/>
        <v>-136105.27944341235</v>
      </c>
      <c r="AJ19" s="122">
        <f>-Debt_Calc!BU17</f>
        <v>22313.532704936042</v>
      </c>
      <c r="AK19" s="122">
        <f>Debt_Calc!BV17</f>
        <v>44527.002104392966</v>
      </c>
      <c r="AL19" s="122">
        <f t="shared" si="42"/>
        <v>66840.534809329009</v>
      </c>
      <c r="AM19" s="217">
        <f t="shared" si="43"/>
        <v>2.9769296292805953</v>
      </c>
      <c r="AN19" s="122">
        <f t="shared" si="44"/>
        <v>132139.0337015235</v>
      </c>
      <c r="AO19" s="122">
        <f t="shared" si="45"/>
        <v>205821.62047548773</v>
      </c>
      <c r="AP19" s="122">
        <f t="shared" si="46"/>
        <v>132139.0337015235</v>
      </c>
      <c r="AQ19" s="122">
        <f t="shared" si="47"/>
        <v>0</v>
      </c>
      <c r="AR19" s="122">
        <f t="shared" si="48"/>
        <v>0</v>
      </c>
      <c r="AS19" s="122">
        <f t="shared" si="49"/>
        <v>0</v>
      </c>
      <c r="AT19" s="122">
        <f t="shared" si="50"/>
        <v>1097080.1339789096</v>
      </c>
      <c r="AU19" s="122">
        <f t="shared" si="51"/>
        <v>2</v>
      </c>
      <c r="AV19" s="222">
        <f t="shared" si="52"/>
        <v>9.7866649189014374E-2</v>
      </c>
    </row>
    <row r="20" spans="2:48" s="86" customFormat="1" x14ac:dyDescent="0.3">
      <c r="B20" s="184">
        <f t="shared" si="18"/>
        <v>9</v>
      </c>
      <c r="C20" s="346">
        <f t="shared" si="19"/>
        <v>2030</v>
      </c>
      <c r="D20" s="347">
        <f t="shared" si="20"/>
        <v>47484</v>
      </c>
      <c r="E20" s="440">
        <f t="shared" si="21"/>
        <v>47848</v>
      </c>
      <c r="F20" s="732">
        <f>IF(AND(B20&gt;0,B20&lt;=Tea_Retrofit!$J$10),1,0)</f>
        <v>1</v>
      </c>
      <c r="G20" s="217">
        <f t="shared" si="22"/>
        <v>0</v>
      </c>
      <c r="H20" s="438">
        <f>(Tea_Retrofit!$N$28*F20)+IF(B20=Tea_Retrofit!$J$10,Tea_Retrofit!$J$12,0)</f>
        <v>272662.15528481675</v>
      </c>
      <c r="I20" s="122">
        <f t="shared" si="23"/>
        <v>272662.15528481675</v>
      </c>
      <c r="J20" s="219">
        <f t="shared" si="24"/>
        <v>1</v>
      </c>
      <c r="K20" s="220">
        <f>Deprec!R19</f>
        <v>4740</v>
      </c>
      <c r="L20" s="122">
        <f t="shared" si="25"/>
        <v>267922.15528481675</v>
      </c>
      <c r="M20" s="221">
        <f t="shared" si="26"/>
        <v>15857.117399799061</v>
      </c>
      <c r="N20" s="122">
        <f t="shared" si="27"/>
        <v>252065.03788501769</v>
      </c>
      <c r="O20" s="438">
        <f>IF(N20&lt;0,0,(N20*Tea_Retrofit!$J$7))</f>
        <v>75619.511365505299</v>
      </c>
      <c r="P20" s="122">
        <f t="shared" si="28"/>
        <v>176445.52651951241</v>
      </c>
      <c r="Q20" s="123">
        <f t="shared" si="29"/>
        <v>0.64712143984632331</v>
      </c>
      <c r="T20" s="218">
        <f t="shared" si="30"/>
        <v>272662.15528481675</v>
      </c>
      <c r="U20" s="438">
        <f t="shared" si="31"/>
        <v>272662.15528481675</v>
      </c>
      <c r="V20" s="218">
        <f>IF(B20=0,Tea_Retrofit!$C$29,0)</f>
        <v>0</v>
      </c>
      <c r="W20" s="435">
        <f t="shared" si="32"/>
        <v>0</v>
      </c>
      <c r="X20" s="438">
        <f t="shared" si="33"/>
        <v>272662.15528481675</v>
      </c>
      <c r="Y20" s="184">
        <f>IF(B20=0,Tea_Retrofit!$G$15+Tea_Retrofit!$G$16,0)</f>
        <v>0</v>
      </c>
      <c r="Z20" s="185">
        <f>IF(B20=0,Tea_Retrofit!$G$14,0)</f>
        <v>0</v>
      </c>
      <c r="AA20" s="132">
        <f t="shared" si="34"/>
        <v>0</v>
      </c>
      <c r="AB20" s="218">
        <f t="shared" si="35"/>
        <v>272662.15528481675</v>
      </c>
      <c r="AC20" s="218">
        <f>Tea_Retrofit!$G$20*AVERAGE(AR20,AS20)</f>
        <v>0</v>
      </c>
      <c r="AD20" s="132">
        <f t="shared" si="36"/>
        <v>75619.511365505299</v>
      </c>
      <c r="AE20" s="132">
        <f t="shared" si="37"/>
        <v>272662.15528481675</v>
      </c>
      <c r="AF20" s="122">
        <f t="shared" si="38"/>
        <v>197042.64391931146</v>
      </c>
      <c r="AG20" s="438">
        <f t="shared" si="39"/>
        <v>197042.64391931146</v>
      </c>
      <c r="AH20" s="122">
        <f t="shared" si="40"/>
        <v>-136105.27944341235</v>
      </c>
      <c r="AI20" s="122">
        <f t="shared" si="41"/>
        <v>-187088.69685294229</v>
      </c>
      <c r="AJ20" s="122">
        <f>-Debt_Calc!BU18</f>
        <v>15857.117399799061</v>
      </c>
      <c r="AK20" s="122">
        <f>Debt_Calc!BV18</f>
        <v>50983.417409529946</v>
      </c>
      <c r="AL20" s="122">
        <f t="shared" si="42"/>
        <v>66840.534809329009</v>
      </c>
      <c r="AM20" s="217">
        <f t="shared" si="43"/>
        <v>2.9479513364367933</v>
      </c>
      <c r="AN20" s="122">
        <f t="shared" si="44"/>
        <v>130202.10910998246</v>
      </c>
      <c r="AO20" s="122">
        <f t="shared" si="45"/>
        <v>205821.62047548775</v>
      </c>
      <c r="AP20" s="122">
        <f t="shared" si="46"/>
        <v>130202.10910998246</v>
      </c>
      <c r="AQ20" s="122">
        <f t="shared" si="47"/>
        <v>0</v>
      </c>
      <c r="AR20" s="122">
        <f t="shared" si="48"/>
        <v>0</v>
      </c>
      <c r="AS20" s="122">
        <f t="shared" si="49"/>
        <v>0</v>
      </c>
      <c r="AT20" s="122">
        <f t="shared" si="50"/>
        <v>1227282.243088892</v>
      </c>
      <c r="AU20" s="122">
        <f t="shared" si="51"/>
        <v>2</v>
      </c>
      <c r="AV20" s="222">
        <f t="shared" si="52"/>
        <v>1.6516653607587421E-2</v>
      </c>
    </row>
    <row r="21" spans="2:48" s="86" customFormat="1" x14ac:dyDescent="0.3">
      <c r="B21" s="184">
        <f t="shared" si="18"/>
        <v>10</v>
      </c>
      <c r="C21" s="346">
        <f t="shared" si="19"/>
        <v>2031</v>
      </c>
      <c r="D21" s="347">
        <f t="shared" si="20"/>
        <v>47849</v>
      </c>
      <c r="E21" s="440">
        <f t="shared" si="21"/>
        <v>48213</v>
      </c>
      <c r="F21" s="732">
        <f>IF(AND(B21&gt;0,B21&lt;=Tea_Retrofit!$J$10),1,0)</f>
        <v>1</v>
      </c>
      <c r="G21" s="217">
        <f t="shared" si="22"/>
        <v>0</v>
      </c>
      <c r="H21" s="438">
        <f>(Tea_Retrofit!$N$28*F21)+IF(B21=Tea_Retrofit!$J$10,Tea_Retrofit!$J$12,0)</f>
        <v>272662.15528481675</v>
      </c>
      <c r="I21" s="122">
        <f t="shared" si="23"/>
        <v>272662.15528481675</v>
      </c>
      <c r="J21" s="219">
        <f t="shared" si="24"/>
        <v>1</v>
      </c>
      <c r="K21" s="220">
        <f>Deprec!R20</f>
        <v>4740</v>
      </c>
      <c r="L21" s="122">
        <f t="shared" si="25"/>
        <v>267922.15528481675</v>
      </c>
      <c r="M21" s="221">
        <f t="shared" si="26"/>
        <v>8464.5218754172201</v>
      </c>
      <c r="N21" s="122">
        <f t="shared" si="27"/>
        <v>259457.63340939954</v>
      </c>
      <c r="O21" s="438">
        <f>IF(N21&lt;0,0,(N21*Tea_Retrofit!$J$7))</f>
        <v>77837.290022819856</v>
      </c>
      <c r="P21" s="122">
        <f t="shared" si="28"/>
        <v>181620.34338657968</v>
      </c>
      <c r="Q21" s="123">
        <f t="shared" si="29"/>
        <v>0.66610029982658636</v>
      </c>
      <c r="T21" s="218">
        <f t="shared" si="30"/>
        <v>272662.15528481675</v>
      </c>
      <c r="U21" s="438">
        <f t="shared" si="31"/>
        <v>272662.15528481675</v>
      </c>
      <c r="V21" s="218">
        <f>IF(B21=0,Tea_Retrofit!$C$29,0)</f>
        <v>0</v>
      </c>
      <c r="W21" s="435">
        <f t="shared" si="32"/>
        <v>0</v>
      </c>
      <c r="X21" s="438">
        <f t="shared" si="33"/>
        <v>272662.15528481675</v>
      </c>
      <c r="Y21" s="184">
        <f>IF(B21=0,Tea_Retrofit!$G$15+Tea_Retrofit!$G$16,0)</f>
        <v>0</v>
      </c>
      <c r="Z21" s="185">
        <f>IF(B21=0,Tea_Retrofit!$G$14,0)</f>
        <v>0</v>
      </c>
      <c r="AA21" s="132">
        <f t="shared" si="34"/>
        <v>0</v>
      </c>
      <c r="AB21" s="218">
        <f t="shared" si="35"/>
        <v>272662.15528481675</v>
      </c>
      <c r="AC21" s="218">
        <f>Tea_Retrofit!$G$20*AVERAGE(AR21,AS21)</f>
        <v>0</v>
      </c>
      <c r="AD21" s="132">
        <f t="shared" si="36"/>
        <v>77837.290022819856</v>
      </c>
      <c r="AE21" s="132">
        <f t="shared" si="37"/>
        <v>272662.15528481675</v>
      </c>
      <c r="AF21" s="122">
        <f t="shared" si="38"/>
        <v>194824.86526199689</v>
      </c>
      <c r="AG21" s="438">
        <f t="shared" si="39"/>
        <v>194824.86526199689</v>
      </c>
      <c r="AH21" s="122">
        <f t="shared" si="40"/>
        <v>-187088.69685294229</v>
      </c>
      <c r="AI21" s="122">
        <f t="shared" si="41"/>
        <v>-245464.70978685416</v>
      </c>
      <c r="AJ21" s="122">
        <f>-Debt_Calc!BU19</f>
        <v>8464.5218754172201</v>
      </c>
      <c r="AK21" s="122">
        <f>Debt_Calc!BV19</f>
        <v>58376.012933911887</v>
      </c>
      <c r="AL21" s="122">
        <f t="shared" si="42"/>
        <v>66840.53480932911</v>
      </c>
      <c r="AM21" s="217">
        <f t="shared" si="43"/>
        <v>2.9147711911306353</v>
      </c>
      <c r="AN21" s="122">
        <f t="shared" si="44"/>
        <v>127984.33045266778</v>
      </c>
      <c r="AO21" s="122">
        <f t="shared" si="45"/>
        <v>205821.62047548764</v>
      </c>
      <c r="AP21" s="122">
        <f t="shared" si="46"/>
        <v>127984.33045266778</v>
      </c>
      <c r="AQ21" s="122">
        <f t="shared" si="47"/>
        <v>0</v>
      </c>
      <c r="AR21" s="122">
        <f t="shared" si="48"/>
        <v>0</v>
      </c>
      <c r="AS21" s="122">
        <f t="shared" si="49"/>
        <v>0</v>
      </c>
      <c r="AT21" s="122">
        <f t="shared" si="50"/>
        <v>1355266.5735415597</v>
      </c>
      <c r="AU21" s="122">
        <f t="shared" si="51"/>
        <v>2</v>
      </c>
      <c r="AV21" s="222">
        <f t="shared" si="52"/>
        <v>2.7807458083110837E-3</v>
      </c>
    </row>
    <row r="22" spans="2:48" s="86" customFormat="1" x14ac:dyDescent="0.3">
      <c r="B22" s="184">
        <f t="shared" si="18"/>
        <v>11</v>
      </c>
      <c r="C22" s="346">
        <f t="shared" si="19"/>
        <v>2032</v>
      </c>
      <c r="D22" s="347">
        <f t="shared" si="20"/>
        <v>48214</v>
      </c>
      <c r="E22" s="440">
        <f t="shared" si="21"/>
        <v>48579</v>
      </c>
      <c r="F22" s="732">
        <f>IF(AND(B22&gt;0,B22&lt;=Tea_Retrofit!$J$10),1,0)</f>
        <v>1</v>
      </c>
      <c r="G22" s="217">
        <f t="shared" si="22"/>
        <v>0</v>
      </c>
      <c r="H22" s="438">
        <f>(Tea_Retrofit!$N$28*F22)+IF(B22=Tea_Retrofit!$J$10,Tea_Retrofit!$J$12,0)</f>
        <v>272662.15528481675</v>
      </c>
      <c r="I22" s="122">
        <f t="shared" si="23"/>
        <v>272662.15528481675</v>
      </c>
      <c r="J22" s="219">
        <f t="shared" si="24"/>
        <v>1</v>
      </c>
      <c r="K22" s="220">
        <f>Deprec!R21</f>
        <v>4740</v>
      </c>
      <c r="L22" s="122">
        <f t="shared" si="25"/>
        <v>267922.15528481675</v>
      </c>
      <c r="M22" s="221">
        <f t="shared" si="26"/>
        <v>0</v>
      </c>
      <c r="N22" s="122">
        <f t="shared" si="27"/>
        <v>267922.15528481675</v>
      </c>
      <c r="O22" s="438">
        <f>IF(N22&lt;0,0,(N22*Tea_Retrofit!$J$7))</f>
        <v>80376.646585445022</v>
      </c>
      <c r="P22" s="122">
        <f t="shared" si="28"/>
        <v>187545.50869937171</v>
      </c>
      <c r="Q22" s="123">
        <f t="shared" si="29"/>
        <v>0.68783109450398749</v>
      </c>
      <c r="T22" s="218">
        <f t="shared" si="30"/>
        <v>272662.15528481675</v>
      </c>
      <c r="U22" s="438">
        <f t="shared" si="31"/>
        <v>272662.15528481675</v>
      </c>
      <c r="V22" s="218">
        <f>IF(B22=0,Tea_Retrofit!$C$29,0)</f>
        <v>0</v>
      </c>
      <c r="W22" s="435">
        <f t="shared" si="32"/>
        <v>0</v>
      </c>
      <c r="X22" s="438">
        <f t="shared" si="33"/>
        <v>272662.15528481675</v>
      </c>
      <c r="Y22" s="184">
        <f>IF(B22=0,Tea_Retrofit!$G$15+Tea_Retrofit!$G$16,0)</f>
        <v>0</v>
      </c>
      <c r="Z22" s="185">
        <f>IF(B22=0,Tea_Retrofit!$G$14,0)</f>
        <v>0</v>
      </c>
      <c r="AA22" s="132">
        <f t="shared" si="34"/>
        <v>0</v>
      </c>
      <c r="AB22" s="218">
        <f t="shared" si="35"/>
        <v>272662.15528481675</v>
      </c>
      <c r="AC22" s="218">
        <f>Tea_Retrofit!$G$20*AVERAGE(AR22,AS22)</f>
        <v>0</v>
      </c>
      <c r="AD22" s="132">
        <f t="shared" si="36"/>
        <v>80376.646585445022</v>
      </c>
      <c r="AE22" s="132">
        <f t="shared" si="37"/>
        <v>272662.15528481675</v>
      </c>
      <c r="AF22" s="122">
        <f t="shared" si="38"/>
        <v>192285.50869937171</v>
      </c>
      <c r="AG22" s="438">
        <f t="shared" si="39"/>
        <v>192285.50869937171</v>
      </c>
      <c r="AH22" s="122">
        <f t="shared" si="40"/>
        <v>-245464.70978685416</v>
      </c>
      <c r="AI22" s="122">
        <f t="shared" si="41"/>
        <v>-245464.70978685416</v>
      </c>
      <c r="AJ22" s="122">
        <f>-Debt_Calc!BU20</f>
        <v>0</v>
      </c>
      <c r="AK22" s="122">
        <f>Debt_Calc!BV20</f>
        <v>0</v>
      </c>
      <c r="AL22" s="122">
        <f t="shared" si="42"/>
        <v>0</v>
      </c>
      <c r="AM22" s="217">
        <f t="shared" si="43"/>
        <v>0</v>
      </c>
      <c r="AN22" s="122">
        <f t="shared" si="44"/>
        <v>192285.50869937171</v>
      </c>
      <c r="AO22" s="122">
        <f t="shared" si="45"/>
        <v>272662.15528481675</v>
      </c>
      <c r="AP22" s="122">
        <f t="shared" si="46"/>
        <v>192285.50869937171</v>
      </c>
      <c r="AQ22" s="122">
        <f t="shared" si="47"/>
        <v>0</v>
      </c>
      <c r="AR22" s="122">
        <f t="shared" si="48"/>
        <v>0</v>
      </c>
      <c r="AS22" s="122">
        <f t="shared" si="49"/>
        <v>0</v>
      </c>
      <c r="AT22" s="122">
        <f t="shared" si="50"/>
        <v>1547552.0822409315</v>
      </c>
      <c r="AU22" s="122">
        <f t="shared" si="51"/>
        <v>2</v>
      </c>
      <c r="AV22" s="222">
        <f t="shared" si="52"/>
        <v>7.1556896262213985E-4</v>
      </c>
    </row>
    <row r="23" spans="2:48" s="86" customFormat="1" x14ac:dyDescent="0.3">
      <c r="B23" s="184">
        <f t="shared" si="18"/>
        <v>12</v>
      </c>
      <c r="C23" s="346">
        <f t="shared" si="19"/>
        <v>2033</v>
      </c>
      <c r="D23" s="347">
        <f t="shared" si="20"/>
        <v>48580</v>
      </c>
      <c r="E23" s="440">
        <f t="shared" si="21"/>
        <v>48944</v>
      </c>
      <c r="F23" s="732">
        <f>IF(AND(B23&gt;0,B23&lt;=Tea_Retrofit!$J$10),1,0)</f>
        <v>1</v>
      </c>
      <c r="G23" s="217">
        <f t="shared" si="22"/>
        <v>0</v>
      </c>
      <c r="H23" s="438">
        <f>(Tea_Retrofit!$N$28*F23)+IF(B23=Tea_Retrofit!$J$10,Tea_Retrofit!$J$12,0)</f>
        <v>272662.15528481675</v>
      </c>
      <c r="I23" s="122">
        <f t="shared" si="23"/>
        <v>272662.15528481675</v>
      </c>
      <c r="J23" s="219">
        <f t="shared" si="24"/>
        <v>1</v>
      </c>
      <c r="K23" s="220">
        <f>Deprec!R22</f>
        <v>4740</v>
      </c>
      <c r="L23" s="122">
        <f t="shared" si="25"/>
        <v>267922.15528481675</v>
      </c>
      <c r="M23" s="221">
        <f t="shared" si="26"/>
        <v>0</v>
      </c>
      <c r="N23" s="122">
        <f t="shared" si="27"/>
        <v>267922.15528481675</v>
      </c>
      <c r="O23" s="438">
        <f>IF(N23&lt;0,0,(N23*Tea_Retrofit!$J$7))</f>
        <v>80376.646585445022</v>
      </c>
      <c r="P23" s="122">
        <f t="shared" si="28"/>
        <v>187545.50869937171</v>
      </c>
      <c r="Q23" s="123">
        <f t="shared" si="29"/>
        <v>0.68783109450398749</v>
      </c>
      <c r="T23" s="218">
        <f t="shared" si="30"/>
        <v>272662.15528481675</v>
      </c>
      <c r="U23" s="438">
        <f t="shared" si="31"/>
        <v>272662.15528481675</v>
      </c>
      <c r="V23" s="218">
        <f>IF(B23=0,Tea_Retrofit!$C$29,0)</f>
        <v>0</v>
      </c>
      <c r="W23" s="435">
        <f t="shared" si="32"/>
        <v>0</v>
      </c>
      <c r="X23" s="438">
        <f t="shared" si="33"/>
        <v>272662.15528481675</v>
      </c>
      <c r="Y23" s="184">
        <f>IF(B23=0,Tea_Retrofit!$G$15+Tea_Retrofit!$G$16,0)</f>
        <v>0</v>
      </c>
      <c r="Z23" s="185">
        <f>IF(B23=0,Tea_Retrofit!$G$14,0)</f>
        <v>0</v>
      </c>
      <c r="AA23" s="132">
        <f t="shared" si="34"/>
        <v>0</v>
      </c>
      <c r="AB23" s="218">
        <f t="shared" si="35"/>
        <v>272662.15528481675</v>
      </c>
      <c r="AC23" s="218">
        <f>Tea_Retrofit!$G$20*AVERAGE(AR23,AS23)</f>
        <v>0</v>
      </c>
      <c r="AD23" s="132">
        <f t="shared" si="36"/>
        <v>80376.646585445022</v>
      </c>
      <c r="AE23" s="132">
        <f t="shared" si="37"/>
        <v>272662.15528481675</v>
      </c>
      <c r="AF23" s="122">
        <f t="shared" si="38"/>
        <v>192285.50869937171</v>
      </c>
      <c r="AG23" s="438">
        <f t="shared" si="39"/>
        <v>192285.50869937171</v>
      </c>
      <c r="AH23" s="122">
        <f t="shared" si="40"/>
        <v>-245464.70978685416</v>
      </c>
      <c r="AI23" s="122">
        <f t="shared" si="41"/>
        <v>-245464.70978685416</v>
      </c>
      <c r="AJ23" s="122">
        <f>-Debt_Calc!BU21</f>
        <v>0</v>
      </c>
      <c r="AK23" s="122">
        <f>Debt_Calc!BV21</f>
        <v>0</v>
      </c>
      <c r="AL23" s="122">
        <f t="shared" si="42"/>
        <v>0</v>
      </c>
      <c r="AM23" s="217">
        <f t="shared" si="43"/>
        <v>0</v>
      </c>
      <c r="AN23" s="122">
        <f t="shared" si="44"/>
        <v>192285.50869937171</v>
      </c>
      <c r="AO23" s="122">
        <f t="shared" si="45"/>
        <v>272662.15528481675</v>
      </c>
      <c r="AP23" s="122">
        <f t="shared" si="46"/>
        <v>192285.50869937171</v>
      </c>
      <c r="AQ23" s="122">
        <f t="shared" si="47"/>
        <v>0</v>
      </c>
      <c r="AR23" s="122">
        <f t="shared" si="48"/>
        <v>0</v>
      </c>
      <c r="AS23" s="122">
        <f t="shared" si="49"/>
        <v>0</v>
      </c>
      <c r="AT23" s="122">
        <f t="shared" si="50"/>
        <v>1739837.5909403032</v>
      </c>
      <c r="AU23" s="122">
        <f t="shared" si="51"/>
        <v>2</v>
      </c>
      <c r="AV23" s="222">
        <f t="shared" si="52"/>
        <v>1.2256090074360727E-4</v>
      </c>
    </row>
    <row r="24" spans="2:48" s="86" customFormat="1" x14ac:dyDescent="0.3">
      <c r="B24" s="184">
        <f t="shared" si="18"/>
        <v>13</v>
      </c>
      <c r="C24" s="346">
        <f t="shared" si="19"/>
        <v>2034</v>
      </c>
      <c r="D24" s="347">
        <f t="shared" si="20"/>
        <v>48945</v>
      </c>
      <c r="E24" s="440">
        <f t="shared" si="21"/>
        <v>49309</v>
      </c>
      <c r="F24" s="732">
        <f>IF(AND(B24&gt;0,B24&lt;=Tea_Retrofit!$J$10),1,0)</f>
        <v>1</v>
      </c>
      <c r="G24" s="217">
        <f t="shared" si="22"/>
        <v>0</v>
      </c>
      <c r="H24" s="438">
        <f>(Tea_Retrofit!$N$28*F24)+IF(B24=Tea_Retrofit!$J$10,Tea_Retrofit!$J$12,0)</f>
        <v>272662.15528481675</v>
      </c>
      <c r="I24" s="122">
        <f t="shared" si="23"/>
        <v>272662.15528481675</v>
      </c>
      <c r="J24" s="219">
        <f t="shared" si="24"/>
        <v>1</v>
      </c>
      <c r="K24" s="220">
        <f>Deprec!R23</f>
        <v>4740</v>
      </c>
      <c r="L24" s="122">
        <f t="shared" si="25"/>
        <v>267922.15528481675</v>
      </c>
      <c r="M24" s="221">
        <f t="shared" si="26"/>
        <v>0</v>
      </c>
      <c r="N24" s="122">
        <f t="shared" si="27"/>
        <v>267922.15528481675</v>
      </c>
      <c r="O24" s="438">
        <f>IF(N24&lt;0,0,(N24*Tea_Retrofit!$J$7))</f>
        <v>80376.646585445022</v>
      </c>
      <c r="P24" s="122">
        <f t="shared" si="28"/>
        <v>187545.50869937171</v>
      </c>
      <c r="Q24" s="123">
        <f t="shared" si="29"/>
        <v>0.68783109450398749</v>
      </c>
      <c r="T24" s="218">
        <f t="shared" si="30"/>
        <v>272662.15528481675</v>
      </c>
      <c r="U24" s="438">
        <f t="shared" si="31"/>
        <v>272662.15528481675</v>
      </c>
      <c r="V24" s="218">
        <f>IF(B24=0,Tea_Retrofit!$C$29,0)</f>
        <v>0</v>
      </c>
      <c r="W24" s="435">
        <f t="shared" si="32"/>
        <v>0</v>
      </c>
      <c r="X24" s="438">
        <f t="shared" si="33"/>
        <v>272662.15528481675</v>
      </c>
      <c r="Y24" s="184">
        <f>IF(B24=0,Tea_Retrofit!$G$15+Tea_Retrofit!$G$16,0)</f>
        <v>0</v>
      </c>
      <c r="Z24" s="185">
        <f>IF(B24=0,Tea_Retrofit!$G$14,0)</f>
        <v>0</v>
      </c>
      <c r="AA24" s="132">
        <f t="shared" si="34"/>
        <v>0</v>
      </c>
      <c r="AB24" s="218">
        <f t="shared" si="35"/>
        <v>272662.15528481675</v>
      </c>
      <c r="AC24" s="218">
        <f>Tea_Retrofit!$G$20*AVERAGE(AR24,AS24)</f>
        <v>0</v>
      </c>
      <c r="AD24" s="132">
        <f t="shared" si="36"/>
        <v>80376.646585445022</v>
      </c>
      <c r="AE24" s="132">
        <f t="shared" si="37"/>
        <v>272662.15528481675</v>
      </c>
      <c r="AF24" s="122">
        <f t="shared" si="38"/>
        <v>192285.50869937171</v>
      </c>
      <c r="AG24" s="438">
        <f t="shared" si="39"/>
        <v>192285.50869937171</v>
      </c>
      <c r="AH24" s="122">
        <f t="shared" si="40"/>
        <v>-245464.70978685416</v>
      </c>
      <c r="AI24" s="122">
        <f t="shared" si="41"/>
        <v>-245464.70978685416</v>
      </c>
      <c r="AJ24" s="122">
        <f>-Debt_Calc!BU22</f>
        <v>0</v>
      </c>
      <c r="AK24" s="122">
        <f>Debt_Calc!BV22</f>
        <v>0</v>
      </c>
      <c r="AL24" s="122">
        <f t="shared" si="42"/>
        <v>0</v>
      </c>
      <c r="AM24" s="217">
        <f t="shared" si="43"/>
        <v>0</v>
      </c>
      <c r="AN24" s="122">
        <f t="shared" si="44"/>
        <v>192285.50869937171</v>
      </c>
      <c r="AO24" s="122">
        <f t="shared" si="45"/>
        <v>272662.15528481675</v>
      </c>
      <c r="AP24" s="122">
        <f t="shared" si="46"/>
        <v>192285.50869937171</v>
      </c>
      <c r="AQ24" s="122">
        <f t="shared" si="47"/>
        <v>0</v>
      </c>
      <c r="AR24" s="122">
        <f t="shared" si="48"/>
        <v>0</v>
      </c>
      <c r="AS24" s="122">
        <f t="shared" si="49"/>
        <v>0</v>
      </c>
      <c r="AT24" s="122">
        <f t="shared" si="50"/>
        <v>1932123.0996396749</v>
      </c>
      <c r="AU24" s="122">
        <f t="shared" si="51"/>
        <v>2</v>
      </c>
      <c r="AV24" s="222">
        <f t="shared" si="52"/>
        <v>2.0991931142514313E-5</v>
      </c>
    </row>
    <row r="25" spans="2:48" s="86" customFormat="1" x14ac:dyDescent="0.3">
      <c r="B25" s="184">
        <f t="shared" si="18"/>
        <v>14</v>
      </c>
      <c r="C25" s="346">
        <f t="shared" si="19"/>
        <v>2035</v>
      </c>
      <c r="D25" s="347">
        <f t="shared" si="20"/>
        <v>49310</v>
      </c>
      <c r="E25" s="440">
        <f t="shared" si="21"/>
        <v>49674</v>
      </c>
      <c r="F25" s="732">
        <f>IF(AND(B25&gt;0,B25&lt;=Tea_Retrofit!$J$10),1,0)</f>
        <v>1</v>
      </c>
      <c r="G25" s="217">
        <f t="shared" si="22"/>
        <v>0</v>
      </c>
      <c r="H25" s="438">
        <f>(Tea_Retrofit!$N$28*F25)+IF(B25=Tea_Retrofit!$J$10,Tea_Retrofit!$J$12,0)</f>
        <v>272662.15528481675</v>
      </c>
      <c r="I25" s="122">
        <f t="shared" si="23"/>
        <v>272662.15528481675</v>
      </c>
      <c r="J25" s="219">
        <f t="shared" si="24"/>
        <v>1</v>
      </c>
      <c r="K25" s="220">
        <f>Deprec!R24</f>
        <v>4740</v>
      </c>
      <c r="L25" s="122">
        <f t="shared" si="25"/>
        <v>267922.15528481675</v>
      </c>
      <c r="M25" s="221">
        <f t="shared" si="26"/>
        <v>0</v>
      </c>
      <c r="N25" s="122">
        <f t="shared" si="27"/>
        <v>267922.15528481675</v>
      </c>
      <c r="O25" s="438">
        <f>IF(N25&lt;0,0,(N25*Tea_Retrofit!$J$7))</f>
        <v>80376.646585445022</v>
      </c>
      <c r="P25" s="122">
        <f t="shared" si="28"/>
        <v>187545.50869937171</v>
      </c>
      <c r="Q25" s="123">
        <f t="shared" si="29"/>
        <v>0.68783109450398749</v>
      </c>
      <c r="T25" s="218">
        <f t="shared" si="30"/>
        <v>272662.15528481675</v>
      </c>
      <c r="U25" s="438">
        <f t="shared" si="31"/>
        <v>272662.15528481675</v>
      </c>
      <c r="V25" s="218">
        <f>IF(B25=0,Tea_Retrofit!$C$29,0)</f>
        <v>0</v>
      </c>
      <c r="W25" s="435">
        <f t="shared" si="32"/>
        <v>0</v>
      </c>
      <c r="X25" s="438">
        <f t="shared" si="33"/>
        <v>272662.15528481675</v>
      </c>
      <c r="Y25" s="184">
        <f>IF(B25=0,Tea_Retrofit!$G$15+Tea_Retrofit!$G$16,0)</f>
        <v>0</v>
      </c>
      <c r="Z25" s="185">
        <f>IF(B25=0,Tea_Retrofit!$G$14,0)</f>
        <v>0</v>
      </c>
      <c r="AA25" s="132">
        <f t="shared" si="34"/>
        <v>0</v>
      </c>
      <c r="AB25" s="218">
        <f t="shared" si="35"/>
        <v>272662.15528481675</v>
      </c>
      <c r="AC25" s="218">
        <f>Tea_Retrofit!$G$20*AVERAGE(AR25,AS25)</f>
        <v>0</v>
      </c>
      <c r="AD25" s="132">
        <f t="shared" si="36"/>
        <v>80376.646585445022</v>
      </c>
      <c r="AE25" s="132">
        <f t="shared" si="37"/>
        <v>272662.15528481675</v>
      </c>
      <c r="AF25" s="122">
        <f t="shared" si="38"/>
        <v>192285.50869937171</v>
      </c>
      <c r="AG25" s="438">
        <f t="shared" si="39"/>
        <v>192285.50869937171</v>
      </c>
      <c r="AH25" s="122">
        <f t="shared" si="40"/>
        <v>-245464.70978685416</v>
      </c>
      <c r="AI25" s="122">
        <f t="shared" si="41"/>
        <v>-245464.70978685416</v>
      </c>
      <c r="AJ25" s="122">
        <f>-Debt_Calc!BU23</f>
        <v>0</v>
      </c>
      <c r="AK25" s="122">
        <f>Debt_Calc!BV23</f>
        <v>0</v>
      </c>
      <c r="AL25" s="122">
        <f t="shared" si="42"/>
        <v>0</v>
      </c>
      <c r="AM25" s="217">
        <f t="shared" si="43"/>
        <v>0</v>
      </c>
      <c r="AN25" s="122">
        <f t="shared" si="44"/>
        <v>192285.50869937171</v>
      </c>
      <c r="AO25" s="122">
        <f t="shared" si="45"/>
        <v>272662.15528481675</v>
      </c>
      <c r="AP25" s="122">
        <f t="shared" si="46"/>
        <v>192285.50869937171</v>
      </c>
      <c r="AQ25" s="122">
        <f t="shared" si="47"/>
        <v>0</v>
      </c>
      <c r="AR25" s="122">
        <f t="shared" si="48"/>
        <v>0</v>
      </c>
      <c r="AS25" s="122">
        <f t="shared" si="49"/>
        <v>0</v>
      </c>
      <c r="AT25" s="122">
        <f t="shared" si="50"/>
        <v>2124408.6083390466</v>
      </c>
      <c r="AU25" s="122">
        <f t="shared" si="51"/>
        <v>2</v>
      </c>
      <c r="AV25" s="222">
        <f t="shared" si="52"/>
        <v>3.595446593640076E-6</v>
      </c>
    </row>
    <row r="26" spans="2:48" s="86" customFormat="1" x14ac:dyDescent="0.3">
      <c r="B26" s="184">
        <f t="shared" si="18"/>
        <v>15</v>
      </c>
      <c r="C26" s="346">
        <f t="shared" si="19"/>
        <v>2036</v>
      </c>
      <c r="D26" s="347">
        <f t="shared" si="20"/>
        <v>49675</v>
      </c>
      <c r="E26" s="440">
        <f t="shared" si="21"/>
        <v>50040</v>
      </c>
      <c r="F26" s="732">
        <f>IF(AND(B26&gt;0,B26&lt;=Tea_Retrofit!$J$10),1,0)</f>
        <v>1</v>
      </c>
      <c r="G26" s="217">
        <f t="shared" si="22"/>
        <v>0</v>
      </c>
      <c r="H26" s="438">
        <f>(Tea_Retrofit!$N$28*F26)+IF(B26=Tea_Retrofit!$J$10,Tea_Retrofit!$J$12,0)</f>
        <v>272662.15528481675</v>
      </c>
      <c r="I26" s="122">
        <f t="shared" si="23"/>
        <v>272662.15528481675</v>
      </c>
      <c r="J26" s="219">
        <f t="shared" si="24"/>
        <v>1</v>
      </c>
      <c r="K26" s="220">
        <f>Deprec!R25</f>
        <v>4740</v>
      </c>
      <c r="L26" s="122">
        <f t="shared" si="25"/>
        <v>267922.15528481675</v>
      </c>
      <c r="M26" s="221">
        <f t="shared" si="26"/>
        <v>0</v>
      </c>
      <c r="N26" s="122">
        <f t="shared" si="27"/>
        <v>267922.15528481675</v>
      </c>
      <c r="O26" s="438">
        <f>IF(N26&lt;0,0,(N26*Tea_Retrofit!$J$7))</f>
        <v>80376.646585445022</v>
      </c>
      <c r="P26" s="122">
        <f t="shared" si="28"/>
        <v>187545.50869937171</v>
      </c>
      <c r="Q26" s="123">
        <f t="shared" si="29"/>
        <v>0.68783109450398749</v>
      </c>
      <c r="T26" s="218">
        <f t="shared" si="30"/>
        <v>272662.15528481675</v>
      </c>
      <c r="U26" s="438">
        <f t="shared" si="31"/>
        <v>272662.15528481675</v>
      </c>
      <c r="V26" s="218">
        <f>IF(B26=0,Tea_Retrofit!$C$29,0)</f>
        <v>0</v>
      </c>
      <c r="W26" s="435">
        <f t="shared" si="32"/>
        <v>0</v>
      </c>
      <c r="X26" s="438">
        <f t="shared" si="33"/>
        <v>272662.15528481675</v>
      </c>
      <c r="Y26" s="184">
        <f>IF(B26=0,Tea_Retrofit!$G$15+Tea_Retrofit!$G$16,0)</f>
        <v>0</v>
      </c>
      <c r="Z26" s="185">
        <f>IF(B26=0,Tea_Retrofit!$G$14,0)</f>
        <v>0</v>
      </c>
      <c r="AA26" s="132">
        <f t="shared" si="34"/>
        <v>0</v>
      </c>
      <c r="AB26" s="218">
        <f t="shared" si="35"/>
        <v>272662.15528481675</v>
      </c>
      <c r="AC26" s="218">
        <f>Tea_Retrofit!$G$20*AVERAGE(AR26,AS26)</f>
        <v>0</v>
      </c>
      <c r="AD26" s="132">
        <f t="shared" si="36"/>
        <v>80376.646585445022</v>
      </c>
      <c r="AE26" s="132">
        <f t="shared" si="37"/>
        <v>272662.15528481675</v>
      </c>
      <c r="AF26" s="122">
        <f t="shared" si="38"/>
        <v>192285.50869937171</v>
      </c>
      <c r="AG26" s="438">
        <f t="shared" si="39"/>
        <v>192285.50869937171</v>
      </c>
      <c r="AH26" s="122">
        <f t="shared" si="40"/>
        <v>-245464.70978685416</v>
      </c>
      <c r="AI26" s="122">
        <f t="shared" si="41"/>
        <v>-245464.70978685416</v>
      </c>
      <c r="AJ26" s="122">
        <f>-Debt_Calc!BU24</f>
        <v>0</v>
      </c>
      <c r="AK26" s="122">
        <f>Debt_Calc!BV24</f>
        <v>0</v>
      </c>
      <c r="AL26" s="122">
        <f t="shared" si="42"/>
        <v>0</v>
      </c>
      <c r="AM26" s="217">
        <f t="shared" si="43"/>
        <v>0</v>
      </c>
      <c r="AN26" s="122">
        <f t="shared" si="44"/>
        <v>192285.50869937171</v>
      </c>
      <c r="AO26" s="122">
        <f t="shared" si="45"/>
        <v>272662.15528481675</v>
      </c>
      <c r="AP26" s="122">
        <f t="shared" si="46"/>
        <v>192285.50869937171</v>
      </c>
      <c r="AQ26" s="122">
        <f t="shared" si="47"/>
        <v>0</v>
      </c>
      <c r="AR26" s="122">
        <f t="shared" si="48"/>
        <v>0</v>
      </c>
      <c r="AS26" s="122">
        <f t="shared" si="49"/>
        <v>0</v>
      </c>
      <c r="AT26" s="122">
        <f t="shared" si="50"/>
        <v>2316694.1170384185</v>
      </c>
      <c r="AU26" s="122">
        <f t="shared" si="51"/>
        <v>2</v>
      </c>
      <c r="AV26" s="222">
        <f t="shared" si="52"/>
        <v>6.1581929361119568E-7</v>
      </c>
    </row>
    <row r="27" spans="2:48" s="86" customFormat="1" x14ac:dyDescent="0.3">
      <c r="B27" s="184">
        <f t="shared" si="18"/>
        <v>16</v>
      </c>
      <c r="C27" s="346">
        <f t="shared" si="19"/>
        <v>2037</v>
      </c>
      <c r="D27" s="347">
        <f t="shared" si="20"/>
        <v>50041</v>
      </c>
      <c r="E27" s="440">
        <f t="shared" si="21"/>
        <v>50405</v>
      </c>
      <c r="F27" s="732">
        <f>IF(AND(B27&gt;0,B27&lt;=Tea_Retrofit!$J$10),1,0)</f>
        <v>1</v>
      </c>
      <c r="G27" s="217">
        <f t="shared" si="22"/>
        <v>0</v>
      </c>
      <c r="H27" s="438">
        <f>(Tea_Retrofit!$N$28*F27)+IF(B27=Tea_Retrofit!$J$10,Tea_Retrofit!$J$12,0)</f>
        <v>272662.15528481675</v>
      </c>
      <c r="I27" s="122">
        <f t="shared" si="23"/>
        <v>272662.15528481675</v>
      </c>
      <c r="J27" s="219">
        <f t="shared" si="24"/>
        <v>1</v>
      </c>
      <c r="K27" s="220">
        <f>Deprec!R26</f>
        <v>4740</v>
      </c>
      <c r="L27" s="122">
        <f t="shared" si="25"/>
        <v>267922.15528481675</v>
      </c>
      <c r="M27" s="221">
        <f t="shared" si="26"/>
        <v>0</v>
      </c>
      <c r="N27" s="122">
        <f t="shared" si="27"/>
        <v>267922.15528481675</v>
      </c>
      <c r="O27" s="438">
        <f>IF(N27&lt;0,0,(N27*Tea_Retrofit!$J$7))</f>
        <v>80376.646585445022</v>
      </c>
      <c r="P27" s="122">
        <f t="shared" si="28"/>
        <v>187545.50869937171</v>
      </c>
      <c r="Q27" s="123">
        <f t="shared" si="29"/>
        <v>0.68783109450398749</v>
      </c>
      <c r="T27" s="218">
        <f t="shared" si="30"/>
        <v>272662.15528481675</v>
      </c>
      <c r="U27" s="438">
        <f t="shared" si="31"/>
        <v>272662.15528481675</v>
      </c>
      <c r="V27" s="218">
        <f>IF(B27=0,Tea_Retrofit!$C$29,0)</f>
        <v>0</v>
      </c>
      <c r="W27" s="435">
        <f t="shared" si="32"/>
        <v>0</v>
      </c>
      <c r="X27" s="438">
        <f t="shared" si="33"/>
        <v>272662.15528481675</v>
      </c>
      <c r="Y27" s="184">
        <f>IF(B27=0,Tea_Retrofit!$G$15+Tea_Retrofit!$G$16,0)</f>
        <v>0</v>
      </c>
      <c r="Z27" s="185">
        <f>IF(B27=0,Tea_Retrofit!$G$14,0)</f>
        <v>0</v>
      </c>
      <c r="AA27" s="132">
        <f t="shared" si="34"/>
        <v>0</v>
      </c>
      <c r="AB27" s="218">
        <f t="shared" si="35"/>
        <v>272662.15528481675</v>
      </c>
      <c r="AC27" s="218">
        <f>Tea_Retrofit!$G$20*AVERAGE(AR27,AS27)</f>
        <v>0</v>
      </c>
      <c r="AD27" s="132">
        <f t="shared" si="36"/>
        <v>80376.646585445022</v>
      </c>
      <c r="AE27" s="132">
        <f t="shared" si="37"/>
        <v>272662.15528481675</v>
      </c>
      <c r="AF27" s="122">
        <f t="shared" si="38"/>
        <v>192285.50869937171</v>
      </c>
      <c r="AG27" s="438">
        <f t="shared" si="39"/>
        <v>192285.50869937171</v>
      </c>
      <c r="AH27" s="122">
        <f t="shared" si="40"/>
        <v>-245464.70978685416</v>
      </c>
      <c r="AI27" s="122">
        <f t="shared" si="41"/>
        <v>-245464.70978685416</v>
      </c>
      <c r="AJ27" s="122">
        <f>-Debt_Calc!BU25</f>
        <v>0</v>
      </c>
      <c r="AK27" s="122">
        <f>Debt_Calc!BV25</f>
        <v>0</v>
      </c>
      <c r="AL27" s="122">
        <f t="shared" si="42"/>
        <v>0</v>
      </c>
      <c r="AM27" s="217">
        <f t="shared" si="43"/>
        <v>0</v>
      </c>
      <c r="AN27" s="122">
        <f t="shared" si="44"/>
        <v>192285.50869937171</v>
      </c>
      <c r="AO27" s="122">
        <f t="shared" si="45"/>
        <v>272662.15528481675</v>
      </c>
      <c r="AP27" s="122">
        <f t="shared" si="46"/>
        <v>192285.50869937171</v>
      </c>
      <c r="AQ27" s="122">
        <f t="shared" si="47"/>
        <v>0</v>
      </c>
      <c r="AR27" s="122">
        <f t="shared" si="48"/>
        <v>0</v>
      </c>
      <c r="AS27" s="122">
        <f t="shared" si="49"/>
        <v>0</v>
      </c>
      <c r="AT27" s="122">
        <f t="shared" si="50"/>
        <v>2508979.62573779</v>
      </c>
      <c r="AU27" s="122">
        <f t="shared" si="51"/>
        <v>2</v>
      </c>
      <c r="AV27" s="222">
        <f t="shared" si="52"/>
        <v>1.0547602154753502E-7</v>
      </c>
    </row>
    <row r="28" spans="2:48" s="86" customFormat="1" x14ac:dyDescent="0.3">
      <c r="B28" s="184">
        <f t="shared" si="18"/>
        <v>17</v>
      </c>
      <c r="C28" s="346">
        <f t="shared" si="19"/>
        <v>2038</v>
      </c>
      <c r="D28" s="347">
        <f t="shared" si="20"/>
        <v>50406</v>
      </c>
      <c r="E28" s="440">
        <f t="shared" si="21"/>
        <v>50770</v>
      </c>
      <c r="F28" s="732">
        <f>IF(AND(B28&gt;0,B28&lt;=Tea_Retrofit!$J$10),1,0)</f>
        <v>1</v>
      </c>
      <c r="G28" s="217">
        <f t="shared" si="22"/>
        <v>0</v>
      </c>
      <c r="H28" s="438">
        <f>(Tea_Retrofit!$N$28*F28)+IF(B28=Tea_Retrofit!$J$10,Tea_Retrofit!$J$12,0)</f>
        <v>272662.15528481675</v>
      </c>
      <c r="I28" s="122">
        <f t="shared" si="23"/>
        <v>272662.15528481675</v>
      </c>
      <c r="J28" s="219">
        <f t="shared" si="24"/>
        <v>1</v>
      </c>
      <c r="K28" s="220">
        <f>Deprec!R27</f>
        <v>4740</v>
      </c>
      <c r="L28" s="122">
        <f t="shared" si="25"/>
        <v>267922.15528481675</v>
      </c>
      <c r="M28" s="221">
        <f t="shared" si="26"/>
        <v>0</v>
      </c>
      <c r="N28" s="122">
        <f t="shared" si="27"/>
        <v>267922.15528481675</v>
      </c>
      <c r="O28" s="438">
        <f>IF(N28&lt;0,0,(N28*Tea_Retrofit!$J$7))</f>
        <v>80376.646585445022</v>
      </c>
      <c r="P28" s="122">
        <f t="shared" si="28"/>
        <v>187545.50869937171</v>
      </c>
      <c r="Q28" s="123">
        <f t="shared" si="29"/>
        <v>0.68783109450398749</v>
      </c>
      <c r="T28" s="218">
        <f t="shared" si="30"/>
        <v>272662.15528481675</v>
      </c>
      <c r="U28" s="438">
        <f t="shared" si="31"/>
        <v>272662.15528481675</v>
      </c>
      <c r="V28" s="218">
        <f>IF(B28=0,Tea_Retrofit!$C$29,0)</f>
        <v>0</v>
      </c>
      <c r="W28" s="435">
        <f t="shared" si="32"/>
        <v>0</v>
      </c>
      <c r="X28" s="438">
        <f t="shared" si="33"/>
        <v>272662.15528481675</v>
      </c>
      <c r="Y28" s="184">
        <f>IF(B28=0,Tea_Retrofit!$G$15+Tea_Retrofit!$G$16,0)</f>
        <v>0</v>
      </c>
      <c r="Z28" s="185">
        <f>IF(B28=0,Tea_Retrofit!$G$14,0)</f>
        <v>0</v>
      </c>
      <c r="AA28" s="132">
        <f t="shared" si="34"/>
        <v>0</v>
      </c>
      <c r="AB28" s="218">
        <f t="shared" si="35"/>
        <v>272662.15528481675</v>
      </c>
      <c r="AC28" s="218">
        <f>Tea_Retrofit!$G$20*AVERAGE(AR28,AS28)</f>
        <v>0</v>
      </c>
      <c r="AD28" s="132">
        <f t="shared" si="36"/>
        <v>80376.646585445022</v>
      </c>
      <c r="AE28" s="132">
        <f t="shared" si="37"/>
        <v>272662.15528481675</v>
      </c>
      <c r="AF28" s="122">
        <f t="shared" si="38"/>
        <v>192285.50869937171</v>
      </c>
      <c r="AG28" s="438">
        <f t="shared" si="39"/>
        <v>192285.50869937171</v>
      </c>
      <c r="AH28" s="122">
        <f t="shared" si="40"/>
        <v>-245464.70978685416</v>
      </c>
      <c r="AI28" s="122">
        <f t="shared" si="41"/>
        <v>-245464.70978685416</v>
      </c>
      <c r="AJ28" s="122">
        <f>-Debt_Calc!BU26</f>
        <v>0</v>
      </c>
      <c r="AK28" s="122">
        <f>Debt_Calc!BV26</f>
        <v>0</v>
      </c>
      <c r="AL28" s="122">
        <f t="shared" si="42"/>
        <v>0</v>
      </c>
      <c r="AM28" s="217">
        <f t="shared" si="43"/>
        <v>0</v>
      </c>
      <c r="AN28" s="122">
        <f t="shared" si="44"/>
        <v>192285.50869937171</v>
      </c>
      <c r="AO28" s="122">
        <f t="shared" si="45"/>
        <v>272662.15528481675</v>
      </c>
      <c r="AP28" s="122">
        <f t="shared" si="46"/>
        <v>192285.50869937171</v>
      </c>
      <c r="AQ28" s="122">
        <f t="shared" si="47"/>
        <v>0</v>
      </c>
      <c r="AR28" s="122">
        <f t="shared" si="48"/>
        <v>0</v>
      </c>
      <c r="AS28" s="122">
        <f t="shared" si="49"/>
        <v>0</v>
      </c>
      <c r="AT28" s="122">
        <f t="shared" si="50"/>
        <v>2701265.1344371615</v>
      </c>
      <c r="AU28" s="122">
        <f t="shared" si="51"/>
        <v>2</v>
      </c>
      <c r="AV28" s="222">
        <f t="shared" si="52"/>
        <v>1.8065674844737951E-8</v>
      </c>
    </row>
    <row r="29" spans="2:48" s="86" customFormat="1" x14ac:dyDescent="0.3">
      <c r="B29" s="184">
        <f t="shared" si="18"/>
        <v>18</v>
      </c>
      <c r="C29" s="346">
        <f t="shared" si="19"/>
        <v>2039</v>
      </c>
      <c r="D29" s="347">
        <f t="shared" si="20"/>
        <v>50771</v>
      </c>
      <c r="E29" s="440">
        <f t="shared" si="21"/>
        <v>51135</v>
      </c>
      <c r="F29" s="732">
        <f>IF(AND(B29&gt;0,B29&lt;=Tea_Retrofit!$J$10),1,0)</f>
        <v>1</v>
      </c>
      <c r="G29" s="217">
        <f t="shared" si="22"/>
        <v>0</v>
      </c>
      <c r="H29" s="438">
        <f>(Tea_Retrofit!$N$28*F29)+IF(B29=Tea_Retrofit!$J$10,Tea_Retrofit!$J$12,0)</f>
        <v>272662.15528481675</v>
      </c>
      <c r="I29" s="122">
        <f t="shared" si="23"/>
        <v>272662.15528481675</v>
      </c>
      <c r="J29" s="219">
        <f t="shared" si="24"/>
        <v>1</v>
      </c>
      <c r="K29" s="220">
        <f>Deprec!R28</f>
        <v>4740</v>
      </c>
      <c r="L29" s="122">
        <f t="shared" si="25"/>
        <v>267922.15528481675</v>
      </c>
      <c r="M29" s="221">
        <f t="shared" si="26"/>
        <v>0</v>
      </c>
      <c r="N29" s="122">
        <f t="shared" si="27"/>
        <v>267922.15528481675</v>
      </c>
      <c r="O29" s="438">
        <f>IF(N29&lt;0,0,(N29*Tea_Retrofit!$J$7))</f>
        <v>80376.646585445022</v>
      </c>
      <c r="P29" s="122">
        <f t="shared" si="28"/>
        <v>187545.50869937171</v>
      </c>
      <c r="Q29" s="123">
        <f t="shared" si="29"/>
        <v>0.68783109450398749</v>
      </c>
      <c r="T29" s="218">
        <f t="shared" si="30"/>
        <v>272662.15528481675</v>
      </c>
      <c r="U29" s="438">
        <f t="shared" si="31"/>
        <v>272662.15528481675</v>
      </c>
      <c r="V29" s="218">
        <f>IF(B29=0,Tea_Retrofit!$C$29,0)</f>
        <v>0</v>
      </c>
      <c r="W29" s="435">
        <f t="shared" si="32"/>
        <v>0</v>
      </c>
      <c r="X29" s="438">
        <f t="shared" si="33"/>
        <v>272662.15528481675</v>
      </c>
      <c r="Y29" s="184">
        <f>IF(B29=0,Tea_Retrofit!$G$15+Tea_Retrofit!$G$16,0)</f>
        <v>0</v>
      </c>
      <c r="Z29" s="185">
        <f>IF(B29=0,Tea_Retrofit!$G$14,0)</f>
        <v>0</v>
      </c>
      <c r="AA29" s="132">
        <f t="shared" si="34"/>
        <v>0</v>
      </c>
      <c r="AB29" s="218">
        <f t="shared" si="35"/>
        <v>272662.15528481675</v>
      </c>
      <c r="AC29" s="218">
        <f>Tea_Retrofit!$G$20*AVERAGE(AR29,AS29)</f>
        <v>0</v>
      </c>
      <c r="AD29" s="132">
        <f t="shared" si="36"/>
        <v>80376.646585445022</v>
      </c>
      <c r="AE29" s="132">
        <f t="shared" si="37"/>
        <v>272662.15528481675</v>
      </c>
      <c r="AF29" s="122">
        <f t="shared" si="38"/>
        <v>192285.50869937171</v>
      </c>
      <c r="AG29" s="438">
        <f t="shared" si="39"/>
        <v>192285.50869937171</v>
      </c>
      <c r="AH29" s="122">
        <f t="shared" si="40"/>
        <v>-245464.70978685416</v>
      </c>
      <c r="AI29" s="122">
        <f t="shared" si="41"/>
        <v>-245464.70978685416</v>
      </c>
      <c r="AJ29" s="122">
        <f>-Debt_Calc!BU27</f>
        <v>0</v>
      </c>
      <c r="AK29" s="122">
        <f>Debt_Calc!BV27</f>
        <v>0</v>
      </c>
      <c r="AL29" s="122">
        <f t="shared" si="42"/>
        <v>0</v>
      </c>
      <c r="AM29" s="217">
        <f t="shared" si="43"/>
        <v>0</v>
      </c>
      <c r="AN29" s="122">
        <f t="shared" si="44"/>
        <v>192285.50869937171</v>
      </c>
      <c r="AO29" s="122">
        <f t="shared" si="45"/>
        <v>272662.15528481675</v>
      </c>
      <c r="AP29" s="122">
        <f t="shared" si="46"/>
        <v>192285.50869937171</v>
      </c>
      <c r="AQ29" s="122">
        <f t="shared" si="47"/>
        <v>0</v>
      </c>
      <c r="AR29" s="122">
        <f t="shared" si="48"/>
        <v>0</v>
      </c>
      <c r="AS29" s="122">
        <f t="shared" si="49"/>
        <v>0</v>
      </c>
      <c r="AT29" s="122">
        <f t="shared" si="50"/>
        <v>2893550.643136533</v>
      </c>
      <c r="AU29" s="122">
        <f t="shared" si="51"/>
        <v>2</v>
      </c>
      <c r="AV29" s="222">
        <f t="shared" si="52"/>
        <v>3.0942445762301777E-9</v>
      </c>
    </row>
    <row r="30" spans="2:48" s="86" customFormat="1" x14ac:dyDescent="0.3">
      <c r="B30" s="184">
        <f t="shared" si="18"/>
        <v>19</v>
      </c>
      <c r="C30" s="346">
        <f t="shared" si="19"/>
        <v>2040</v>
      </c>
      <c r="D30" s="347">
        <f t="shared" si="20"/>
        <v>51136</v>
      </c>
      <c r="E30" s="440">
        <f t="shared" si="21"/>
        <v>51501</v>
      </c>
      <c r="F30" s="732">
        <f>IF(AND(B30&gt;0,B30&lt;=Tea_Retrofit!$J$10),1,0)</f>
        <v>1</v>
      </c>
      <c r="G30" s="217">
        <f t="shared" si="22"/>
        <v>0</v>
      </c>
      <c r="H30" s="438">
        <f>(Tea_Retrofit!$N$28*F30)+IF(B30=Tea_Retrofit!$J$10,Tea_Retrofit!$J$12,0)</f>
        <v>272662.15528481675</v>
      </c>
      <c r="I30" s="122">
        <f t="shared" si="23"/>
        <v>272662.15528481675</v>
      </c>
      <c r="J30" s="219">
        <f t="shared" si="24"/>
        <v>1</v>
      </c>
      <c r="K30" s="220">
        <f>Deprec!R29</f>
        <v>4740</v>
      </c>
      <c r="L30" s="122">
        <f t="shared" si="25"/>
        <v>267922.15528481675</v>
      </c>
      <c r="M30" s="221">
        <f t="shared" si="26"/>
        <v>0</v>
      </c>
      <c r="N30" s="122">
        <f t="shared" si="27"/>
        <v>267922.15528481675</v>
      </c>
      <c r="O30" s="438">
        <f>IF(N30&lt;0,0,(N30*Tea_Retrofit!$J$7))</f>
        <v>80376.646585445022</v>
      </c>
      <c r="P30" s="122">
        <f t="shared" si="28"/>
        <v>187545.50869937171</v>
      </c>
      <c r="Q30" s="123">
        <f t="shared" si="29"/>
        <v>0.68783109450398749</v>
      </c>
      <c r="T30" s="218">
        <f t="shared" si="30"/>
        <v>272662.15528481675</v>
      </c>
      <c r="U30" s="438">
        <f t="shared" si="31"/>
        <v>272662.15528481675</v>
      </c>
      <c r="V30" s="218">
        <f>IF(B30=0,Tea_Retrofit!$C$29,0)</f>
        <v>0</v>
      </c>
      <c r="W30" s="435">
        <f t="shared" si="32"/>
        <v>0</v>
      </c>
      <c r="X30" s="438">
        <f t="shared" si="33"/>
        <v>272662.15528481675</v>
      </c>
      <c r="Y30" s="184">
        <f>IF(B30=0,Tea_Retrofit!$G$15+Tea_Retrofit!$G$16,0)</f>
        <v>0</v>
      </c>
      <c r="Z30" s="185">
        <f>IF(B30=0,Tea_Retrofit!$G$14,0)</f>
        <v>0</v>
      </c>
      <c r="AA30" s="132">
        <f t="shared" si="34"/>
        <v>0</v>
      </c>
      <c r="AB30" s="218">
        <f t="shared" si="35"/>
        <v>272662.15528481675</v>
      </c>
      <c r="AC30" s="218">
        <f>Tea_Retrofit!$G$20*AVERAGE(AR30,AS30)</f>
        <v>0</v>
      </c>
      <c r="AD30" s="132">
        <f t="shared" si="36"/>
        <v>80376.646585445022</v>
      </c>
      <c r="AE30" s="132">
        <f t="shared" si="37"/>
        <v>272662.15528481675</v>
      </c>
      <c r="AF30" s="122">
        <f t="shared" si="38"/>
        <v>192285.50869937171</v>
      </c>
      <c r="AG30" s="438">
        <f t="shared" si="39"/>
        <v>192285.50869937171</v>
      </c>
      <c r="AH30" s="122">
        <f t="shared" si="40"/>
        <v>-245464.70978685416</v>
      </c>
      <c r="AI30" s="122">
        <f t="shared" si="41"/>
        <v>-245464.70978685416</v>
      </c>
      <c r="AJ30" s="122">
        <f>-Debt_Calc!BU28</f>
        <v>0</v>
      </c>
      <c r="AK30" s="122">
        <f>Debt_Calc!BV28</f>
        <v>0</v>
      </c>
      <c r="AL30" s="122">
        <f t="shared" si="42"/>
        <v>0</v>
      </c>
      <c r="AM30" s="217">
        <f t="shared" si="43"/>
        <v>0</v>
      </c>
      <c r="AN30" s="122">
        <f t="shared" si="44"/>
        <v>192285.50869937171</v>
      </c>
      <c r="AO30" s="122">
        <f t="shared" si="45"/>
        <v>272662.15528481675</v>
      </c>
      <c r="AP30" s="122">
        <f t="shared" si="46"/>
        <v>192285.50869937171</v>
      </c>
      <c r="AQ30" s="122">
        <f t="shared" si="47"/>
        <v>0</v>
      </c>
      <c r="AR30" s="122">
        <f t="shared" si="48"/>
        <v>0</v>
      </c>
      <c r="AS30" s="122">
        <f t="shared" si="49"/>
        <v>0</v>
      </c>
      <c r="AT30" s="122">
        <f t="shared" si="50"/>
        <v>3085836.1518359045</v>
      </c>
      <c r="AU30" s="122">
        <f t="shared" si="51"/>
        <v>2</v>
      </c>
      <c r="AV30" s="222">
        <f t="shared" si="52"/>
        <v>5.2997463863458307E-10</v>
      </c>
    </row>
    <row r="31" spans="2:48" s="86" customFormat="1" x14ac:dyDescent="0.3">
      <c r="B31" s="184">
        <f t="shared" si="18"/>
        <v>20</v>
      </c>
      <c r="C31" s="346">
        <f t="shared" si="19"/>
        <v>2041</v>
      </c>
      <c r="D31" s="347">
        <f t="shared" si="20"/>
        <v>51502</v>
      </c>
      <c r="E31" s="440">
        <f t="shared" si="21"/>
        <v>51866</v>
      </c>
      <c r="F31" s="732">
        <f>IF(AND(B31&gt;0,B31&lt;=Tea_Retrofit!$J$10),1,0)</f>
        <v>1</v>
      </c>
      <c r="G31" s="217">
        <f t="shared" si="22"/>
        <v>0</v>
      </c>
      <c r="H31" s="438">
        <f>(Tea_Retrofit!$N$28*F31)+IF(B31=Tea_Retrofit!$J$10,Tea_Retrofit!$J$12,0)</f>
        <v>272662.15528481675</v>
      </c>
      <c r="I31" s="122">
        <f t="shared" si="23"/>
        <v>272662.15528481675</v>
      </c>
      <c r="J31" s="219">
        <f t="shared" si="24"/>
        <v>1</v>
      </c>
      <c r="K31" s="220">
        <f>Deprec!R30</f>
        <v>4740</v>
      </c>
      <c r="L31" s="122">
        <f t="shared" si="25"/>
        <v>267922.15528481675</v>
      </c>
      <c r="M31" s="221">
        <f t="shared" si="26"/>
        <v>0</v>
      </c>
      <c r="N31" s="122">
        <f t="shared" si="27"/>
        <v>267922.15528481675</v>
      </c>
      <c r="O31" s="438">
        <f>IF(N31&lt;0,0,(N31*Tea_Retrofit!$J$7))</f>
        <v>80376.646585445022</v>
      </c>
      <c r="P31" s="122">
        <f t="shared" si="28"/>
        <v>187545.50869937171</v>
      </c>
      <c r="Q31" s="123">
        <f t="shared" si="29"/>
        <v>0.68783109450398749</v>
      </c>
      <c r="T31" s="218">
        <f t="shared" si="30"/>
        <v>272662.15528481675</v>
      </c>
      <c r="U31" s="438">
        <f t="shared" si="31"/>
        <v>272662.15528481675</v>
      </c>
      <c r="V31" s="218">
        <f>IF(B31=0,Tea_Retrofit!$C$29,0)</f>
        <v>0</v>
      </c>
      <c r="W31" s="435">
        <f t="shared" si="32"/>
        <v>0</v>
      </c>
      <c r="X31" s="438">
        <f t="shared" si="33"/>
        <v>272662.15528481675</v>
      </c>
      <c r="Y31" s="184">
        <f>IF(B31=0,Tea_Retrofit!$G$15+Tea_Retrofit!$G$16,0)</f>
        <v>0</v>
      </c>
      <c r="Z31" s="185">
        <f>IF(B31=0,Tea_Retrofit!$G$14,0)</f>
        <v>0</v>
      </c>
      <c r="AA31" s="132">
        <f t="shared" si="34"/>
        <v>0</v>
      </c>
      <c r="AB31" s="218">
        <f t="shared" si="35"/>
        <v>272662.15528481675</v>
      </c>
      <c r="AC31" s="218">
        <f>Tea_Retrofit!$G$20*AVERAGE(AR31,AS31)</f>
        <v>0</v>
      </c>
      <c r="AD31" s="132">
        <f t="shared" si="36"/>
        <v>80376.646585445022</v>
      </c>
      <c r="AE31" s="132">
        <f t="shared" si="37"/>
        <v>272662.15528481675</v>
      </c>
      <c r="AF31" s="122">
        <f t="shared" si="38"/>
        <v>192285.50869937171</v>
      </c>
      <c r="AG31" s="438">
        <f t="shared" si="39"/>
        <v>192285.50869937171</v>
      </c>
      <c r="AH31" s="122">
        <f t="shared" si="40"/>
        <v>-245464.70978685416</v>
      </c>
      <c r="AI31" s="122">
        <f t="shared" si="41"/>
        <v>-245464.70978685416</v>
      </c>
      <c r="AJ31" s="122">
        <f>-Debt_Calc!BU29</f>
        <v>0</v>
      </c>
      <c r="AK31" s="122">
        <f>Debt_Calc!BV29</f>
        <v>0</v>
      </c>
      <c r="AL31" s="122">
        <f t="shared" si="42"/>
        <v>0</v>
      </c>
      <c r="AM31" s="217">
        <f t="shared" si="43"/>
        <v>0</v>
      </c>
      <c r="AN31" s="122">
        <f t="shared" si="44"/>
        <v>192285.50869937171</v>
      </c>
      <c r="AO31" s="122">
        <f t="shared" si="45"/>
        <v>272662.15528481675</v>
      </c>
      <c r="AP31" s="122">
        <f t="shared" si="46"/>
        <v>192285.50869937171</v>
      </c>
      <c r="AQ31" s="122">
        <f t="shared" si="47"/>
        <v>0</v>
      </c>
      <c r="AR31" s="122">
        <f t="shared" si="48"/>
        <v>0</v>
      </c>
      <c r="AS31" s="122">
        <f t="shared" si="49"/>
        <v>0</v>
      </c>
      <c r="AT31" s="122">
        <f t="shared" si="50"/>
        <v>3278121.6605352759</v>
      </c>
      <c r="AU31" s="122">
        <f t="shared" si="51"/>
        <v>2</v>
      </c>
      <c r="AV31" s="222">
        <f t="shared" si="52"/>
        <v>9.0772759126253052E-11</v>
      </c>
    </row>
    <row r="32" spans="2:48" s="86" customFormat="1" x14ac:dyDescent="0.3">
      <c r="B32" s="184">
        <f t="shared" si="18"/>
        <v>21</v>
      </c>
      <c r="C32" s="346">
        <f t="shared" si="19"/>
        <v>2042</v>
      </c>
      <c r="D32" s="347">
        <f t="shared" si="20"/>
        <v>51867</v>
      </c>
      <c r="E32" s="440">
        <f t="shared" si="21"/>
        <v>52231</v>
      </c>
      <c r="F32" s="732">
        <f>IF(AND(B32&gt;0,B32&lt;=Tea_Retrofit!$J$10),1,0)</f>
        <v>1</v>
      </c>
      <c r="G32" s="217">
        <f t="shared" si="22"/>
        <v>0</v>
      </c>
      <c r="H32" s="438">
        <f>(Tea_Retrofit!$N$28*F32)+IF(B32=Tea_Retrofit!$J$10,Tea_Retrofit!$J$12,0)</f>
        <v>272662.15528481675</v>
      </c>
      <c r="I32" s="122">
        <f t="shared" si="23"/>
        <v>272662.15528481675</v>
      </c>
      <c r="J32" s="219">
        <f t="shared" si="24"/>
        <v>1</v>
      </c>
      <c r="K32" s="220">
        <f>Deprec!R31</f>
        <v>4740</v>
      </c>
      <c r="L32" s="122">
        <f t="shared" si="25"/>
        <v>267922.15528481675</v>
      </c>
      <c r="M32" s="221">
        <f t="shared" si="26"/>
        <v>0</v>
      </c>
      <c r="N32" s="122">
        <f t="shared" si="27"/>
        <v>267922.15528481675</v>
      </c>
      <c r="O32" s="438">
        <f>IF(N32&lt;0,0,(N32*Tea_Retrofit!$J$7))</f>
        <v>80376.646585445022</v>
      </c>
      <c r="P32" s="122">
        <f t="shared" si="28"/>
        <v>187545.50869937171</v>
      </c>
      <c r="Q32" s="123">
        <f t="shared" si="29"/>
        <v>0.68783109450398749</v>
      </c>
      <c r="T32" s="218">
        <f t="shared" si="30"/>
        <v>272662.15528481675</v>
      </c>
      <c r="U32" s="438">
        <f t="shared" si="31"/>
        <v>272662.15528481675</v>
      </c>
      <c r="V32" s="218">
        <f>IF(B32=0,Tea_Retrofit!$C$29,0)</f>
        <v>0</v>
      </c>
      <c r="W32" s="435">
        <f t="shared" si="32"/>
        <v>0</v>
      </c>
      <c r="X32" s="438">
        <f t="shared" si="33"/>
        <v>272662.15528481675</v>
      </c>
      <c r="Y32" s="184">
        <f>IF(B32=0,Tea_Retrofit!$G$15+Tea_Retrofit!$G$16,0)</f>
        <v>0</v>
      </c>
      <c r="Z32" s="185">
        <f>IF(B32=0,Tea_Retrofit!$G$14,0)</f>
        <v>0</v>
      </c>
      <c r="AA32" s="132">
        <f t="shared" si="34"/>
        <v>0</v>
      </c>
      <c r="AB32" s="218">
        <f t="shared" si="35"/>
        <v>272662.15528481675</v>
      </c>
      <c r="AC32" s="218">
        <f>Tea_Retrofit!$G$20*AVERAGE(AR32,AS32)</f>
        <v>0</v>
      </c>
      <c r="AD32" s="132">
        <f t="shared" si="36"/>
        <v>80376.646585445022</v>
      </c>
      <c r="AE32" s="132">
        <f t="shared" si="37"/>
        <v>272662.15528481675</v>
      </c>
      <c r="AF32" s="122">
        <f t="shared" si="38"/>
        <v>192285.50869937171</v>
      </c>
      <c r="AG32" s="438">
        <f t="shared" si="39"/>
        <v>192285.50869937171</v>
      </c>
      <c r="AH32" s="122">
        <f t="shared" si="40"/>
        <v>-245464.70978685416</v>
      </c>
      <c r="AI32" s="122">
        <f t="shared" si="41"/>
        <v>-245464.70978685416</v>
      </c>
      <c r="AJ32" s="122">
        <f>-Debt_Calc!BU30</f>
        <v>0</v>
      </c>
      <c r="AK32" s="122">
        <f>Debt_Calc!BV30</f>
        <v>0</v>
      </c>
      <c r="AL32" s="122">
        <f t="shared" si="42"/>
        <v>0</v>
      </c>
      <c r="AM32" s="217">
        <f t="shared" si="43"/>
        <v>0</v>
      </c>
      <c r="AN32" s="122">
        <f t="shared" si="44"/>
        <v>192285.50869937171</v>
      </c>
      <c r="AO32" s="122">
        <f t="shared" si="45"/>
        <v>272662.15528481675</v>
      </c>
      <c r="AP32" s="122">
        <f t="shared" si="46"/>
        <v>192285.50869937171</v>
      </c>
      <c r="AQ32" s="122">
        <f t="shared" si="47"/>
        <v>0</v>
      </c>
      <c r="AR32" s="122">
        <f t="shared" si="48"/>
        <v>0</v>
      </c>
      <c r="AS32" s="122">
        <f t="shared" si="49"/>
        <v>0</v>
      </c>
      <c r="AT32" s="122">
        <f t="shared" si="50"/>
        <v>3470407.1692346474</v>
      </c>
      <c r="AU32" s="122">
        <f t="shared" si="51"/>
        <v>2</v>
      </c>
      <c r="AV32" s="222">
        <f t="shared" si="52"/>
        <v>1.5547336039742113E-11</v>
      </c>
    </row>
    <row r="33" spans="2:67" s="86" customFormat="1" x14ac:dyDescent="0.3">
      <c r="B33" s="184">
        <f t="shared" si="18"/>
        <v>22</v>
      </c>
      <c r="C33" s="346">
        <f t="shared" si="19"/>
        <v>2043</v>
      </c>
      <c r="D33" s="347">
        <f t="shared" si="20"/>
        <v>52232</v>
      </c>
      <c r="E33" s="440">
        <f t="shared" si="21"/>
        <v>52596</v>
      </c>
      <c r="F33" s="732">
        <f>IF(AND(B33&gt;0,B33&lt;=Tea_Retrofit!$J$10),1,0)</f>
        <v>1</v>
      </c>
      <c r="G33" s="217">
        <f t="shared" si="22"/>
        <v>0</v>
      </c>
      <c r="H33" s="438">
        <f>(Tea_Retrofit!$N$28*F33)+IF(B33=Tea_Retrofit!$J$10,Tea_Retrofit!$J$12,0)</f>
        <v>272662.15528481675</v>
      </c>
      <c r="I33" s="122">
        <f t="shared" si="23"/>
        <v>272662.15528481675</v>
      </c>
      <c r="J33" s="219">
        <f t="shared" si="24"/>
        <v>1</v>
      </c>
      <c r="K33" s="220">
        <f>Deprec!R32</f>
        <v>4740</v>
      </c>
      <c r="L33" s="122">
        <f t="shared" si="25"/>
        <v>267922.15528481675</v>
      </c>
      <c r="M33" s="221">
        <f t="shared" si="26"/>
        <v>0</v>
      </c>
      <c r="N33" s="122">
        <f t="shared" si="27"/>
        <v>267922.15528481675</v>
      </c>
      <c r="O33" s="438">
        <f>IF(N33&lt;0,0,(N33*Tea_Retrofit!$J$7))</f>
        <v>80376.646585445022</v>
      </c>
      <c r="P33" s="122">
        <f t="shared" si="28"/>
        <v>187545.50869937171</v>
      </c>
      <c r="Q33" s="123">
        <f t="shared" si="29"/>
        <v>0.68783109450398749</v>
      </c>
      <c r="T33" s="218">
        <f t="shared" si="30"/>
        <v>272662.15528481675</v>
      </c>
      <c r="U33" s="438">
        <f t="shared" si="31"/>
        <v>272662.15528481675</v>
      </c>
      <c r="V33" s="218">
        <f>IF(B33=0,Tea_Retrofit!$C$29,0)</f>
        <v>0</v>
      </c>
      <c r="W33" s="435">
        <f t="shared" si="32"/>
        <v>0</v>
      </c>
      <c r="X33" s="438">
        <f t="shared" si="33"/>
        <v>272662.15528481675</v>
      </c>
      <c r="Y33" s="184">
        <f>IF(B33=0,Tea_Retrofit!$G$15+Tea_Retrofit!$G$16,0)</f>
        <v>0</v>
      </c>
      <c r="Z33" s="185">
        <f>IF(B33=0,Tea_Retrofit!$G$14,0)</f>
        <v>0</v>
      </c>
      <c r="AA33" s="132">
        <f t="shared" si="34"/>
        <v>0</v>
      </c>
      <c r="AB33" s="218">
        <f t="shared" si="35"/>
        <v>272662.15528481675</v>
      </c>
      <c r="AC33" s="218">
        <f>Tea_Retrofit!$G$20*AVERAGE(AR33,AS33)</f>
        <v>0</v>
      </c>
      <c r="AD33" s="132">
        <f t="shared" si="36"/>
        <v>80376.646585445022</v>
      </c>
      <c r="AE33" s="132">
        <f t="shared" si="37"/>
        <v>272662.15528481675</v>
      </c>
      <c r="AF33" s="122">
        <f t="shared" si="38"/>
        <v>192285.50869937171</v>
      </c>
      <c r="AG33" s="438">
        <f t="shared" si="39"/>
        <v>192285.50869937171</v>
      </c>
      <c r="AH33" s="122">
        <f t="shared" si="40"/>
        <v>-245464.70978685416</v>
      </c>
      <c r="AI33" s="122">
        <f t="shared" si="41"/>
        <v>-245464.70978685416</v>
      </c>
      <c r="AJ33" s="122">
        <f>-Debt_Calc!BU31</f>
        <v>0</v>
      </c>
      <c r="AK33" s="122">
        <f>Debt_Calc!BV31</f>
        <v>0</v>
      </c>
      <c r="AL33" s="122">
        <f t="shared" si="42"/>
        <v>0</v>
      </c>
      <c r="AM33" s="217">
        <f t="shared" si="43"/>
        <v>0</v>
      </c>
      <c r="AN33" s="122">
        <f t="shared" si="44"/>
        <v>192285.50869937171</v>
      </c>
      <c r="AO33" s="122">
        <f t="shared" si="45"/>
        <v>272662.15528481675</v>
      </c>
      <c r="AP33" s="122">
        <f t="shared" si="46"/>
        <v>192285.50869937171</v>
      </c>
      <c r="AQ33" s="122">
        <f t="shared" si="47"/>
        <v>0</v>
      </c>
      <c r="AR33" s="122">
        <f t="shared" si="48"/>
        <v>0</v>
      </c>
      <c r="AS33" s="122">
        <f t="shared" si="49"/>
        <v>0</v>
      </c>
      <c r="AT33" s="122">
        <f t="shared" si="50"/>
        <v>3662692.6779340189</v>
      </c>
      <c r="AU33" s="122">
        <f t="shared" si="51"/>
        <v>2</v>
      </c>
      <c r="AV33" s="222">
        <f t="shared" si="52"/>
        <v>2.6629096687086874E-12</v>
      </c>
    </row>
    <row r="34" spans="2:67" s="86" customFormat="1" x14ac:dyDescent="0.3">
      <c r="B34" s="184">
        <f t="shared" si="18"/>
        <v>23</v>
      </c>
      <c r="C34" s="346">
        <f t="shared" si="19"/>
        <v>2044</v>
      </c>
      <c r="D34" s="347">
        <f t="shared" si="20"/>
        <v>52597</v>
      </c>
      <c r="E34" s="440">
        <f t="shared" si="21"/>
        <v>52962</v>
      </c>
      <c r="F34" s="732">
        <f>IF(AND(B34&gt;0,B34&lt;=Tea_Retrofit!$J$10),1,0)</f>
        <v>1</v>
      </c>
      <c r="G34" s="217">
        <f t="shared" si="22"/>
        <v>0</v>
      </c>
      <c r="H34" s="438">
        <f>(Tea_Retrofit!$N$28*F34)+IF(B34=Tea_Retrofit!$J$10,Tea_Retrofit!$J$12,0)</f>
        <v>272662.15528481675</v>
      </c>
      <c r="I34" s="122">
        <f t="shared" si="23"/>
        <v>272662.15528481675</v>
      </c>
      <c r="J34" s="219">
        <f t="shared" si="24"/>
        <v>1</v>
      </c>
      <c r="K34" s="220">
        <f>Deprec!R33</f>
        <v>4740</v>
      </c>
      <c r="L34" s="122">
        <f t="shared" si="25"/>
        <v>267922.15528481675</v>
      </c>
      <c r="M34" s="221">
        <f t="shared" si="26"/>
        <v>0</v>
      </c>
      <c r="N34" s="122">
        <f t="shared" si="27"/>
        <v>267922.15528481675</v>
      </c>
      <c r="O34" s="438">
        <f>IF(N34&lt;0,0,(N34*Tea_Retrofit!$J$7))</f>
        <v>80376.646585445022</v>
      </c>
      <c r="P34" s="122">
        <f t="shared" si="28"/>
        <v>187545.50869937171</v>
      </c>
      <c r="Q34" s="123">
        <f t="shared" si="29"/>
        <v>0.68783109450398749</v>
      </c>
      <c r="T34" s="218">
        <f t="shared" si="30"/>
        <v>272662.15528481675</v>
      </c>
      <c r="U34" s="438">
        <f t="shared" si="31"/>
        <v>272662.15528481675</v>
      </c>
      <c r="V34" s="218">
        <f>IF(B34=0,Tea_Retrofit!$C$29,0)</f>
        <v>0</v>
      </c>
      <c r="W34" s="435">
        <f t="shared" si="32"/>
        <v>0</v>
      </c>
      <c r="X34" s="438">
        <f t="shared" si="33"/>
        <v>272662.15528481675</v>
      </c>
      <c r="Y34" s="184">
        <f>IF(B34=0,Tea_Retrofit!$G$15+Tea_Retrofit!$G$16,0)</f>
        <v>0</v>
      </c>
      <c r="Z34" s="185">
        <f>IF(B34=0,Tea_Retrofit!$G$14,0)</f>
        <v>0</v>
      </c>
      <c r="AA34" s="132">
        <f t="shared" si="34"/>
        <v>0</v>
      </c>
      <c r="AB34" s="218">
        <f t="shared" si="35"/>
        <v>272662.15528481675</v>
      </c>
      <c r="AC34" s="218">
        <f>Tea_Retrofit!$G$20*AVERAGE(AR34,AS34)</f>
        <v>0</v>
      </c>
      <c r="AD34" s="132">
        <f t="shared" si="36"/>
        <v>80376.646585445022</v>
      </c>
      <c r="AE34" s="132">
        <f t="shared" si="37"/>
        <v>272662.15528481675</v>
      </c>
      <c r="AF34" s="122">
        <f t="shared" si="38"/>
        <v>192285.50869937171</v>
      </c>
      <c r="AG34" s="438">
        <f t="shared" si="39"/>
        <v>192285.50869937171</v>
      </c>
      <c r="AH34" s="122">
        <f t="shared" si="40"/>
        <v>-245464.70978685416</v>
      </c>
      <c r="AI34" s="122">
        <f t="shared" si="41"/>
        <v>-245464.70978685416</v>
      </c>
      <c r="AJ34" s="122">
        <f>-Debt_Calc!BU32</f>
        <v>0</v>
      </c>
      <c r="AK34" s="122">
        <f>Debt_Calc!BV32</f>
        <v>0</v>
      </c>
      <c r="AL34" s="122">
        <f t="shared" si="42"/>
        <v>0</v>
      </c>
      <c r="AM34" s="217">
        <f t="shared" si="43"/>
        <v>0</v>
      </c>
      <c r="AN34" s="122">
        <f t="shared" si="44"/>
        <v>192285.50869937171</v>
      </c>
      <c r="AO34" s="122">
        <f t="shared" si="45"/>
        <v>272662.15528481675</v>
      </c>
      <c r="AP34" s="122">
        <f t="shared" si="46"/>
        <v>192285.50869937171</v>
      </c>
      <c r="AQ34" s="122">
        <f t="shared" si="47"/>
        <v>0</v>
      </c>
      <c r="AR34" s="122">
        <f t="shared" si="48"/>
        <v>0</v>
      </c>
      <c r="AS34" s="122">
        <f t="shared" si="49"/>
        <v>0</v>
      </c>
      <c r="AT34" s="122">
        <f t="shared" si="50"/>
        <v>3854978.1866333904</v>
      </c>
      <c r="AU34" s="122">
        <f t="shared" si="51"/>
        <v>2</v>
      </c>
      <c r="AV34" s="222">
        <f t="shared" si="52"/>
        <v>4.5609665125755094E-13</v>
      </c>
    </row>
    <row r="35" spans="2:67" s="86" customFormat="1" x14ac:dyDescent="0.3">
      <c r="B35" s="184">
        <f t="shared" si="18"/>
        <v>24</v>
      </c>
      <c r="C35" s="346">
        <f t="shared" si="19"/>
        <v>2045</v>
      </c>
      <c r="D35" s="347">
        <f t="shared" si="20"/>
        <v>52963</v>
      </c>
      <c r="E35" s="440">
        <f t="shared" si="21"/>
        <v>53327</v>
      </c>
      <c r="F35" s="732">
        <f>IF(AND(B35&gt;0,B35&lt;=Tea_Retrofit!$J$10),1,0)</f>
        <v>1</v>
      </c>
      <c r="G35" s="217">
        <f t="shared" si="22"/>
        <v>0</v>
      </c>
      <c r="H35" s="438">
        <f>(Tea_Retrofit!$N$28*F35)+IF(B35=Tea_Retrofit!$J$10,Tea_Retrofit!$J$12,0)</f>
        <v>272662.15528481675</v>
      </c>
      <c r="I35" s="122">
        <f t="shared" si="23"/>
        <v>272662.15528481675</v>
      </c>
      <c r="J35" s="219">
        <f t="shared" si="24"/>
        <v>1</v>
      </c>
      <c r="K35" s="220">
        <f>Deprec!R34</f>
        <v>4740</v>
      </c>
      <c r="L35" s="122">
        <f t="shared" si="25"/>
        <v>267922.15528481675</v>
      </c>
      <c r="M35" s="221">
        <f t="shared" si="26"/>
        <v>0</v>
      </c>
      <c r="N35" s="122">
        <f t="shared" si="27"/>
        <v>267922.15528481675</v>
      </c>
      <c r="O35" s="438">
        <f>IF(N35&lt;0,0,(N35*Tea_Retrofit!$J$7))</f>
        <v>80376.646585445022</v>
      </c>
      <c r="P35" s="122">
        <f t="shared" si="28"/>
        <v>187545.50869937171</v>
      </c>
      <c r="Q35" s="123">
        <f t="shared" si="29"/>
        <v>0.68783109450398749</v>
      </c>
      <c r="T35" s="218">
        <f t="shared" si="30"/>
        <v>272662.15528481675</v>
      </c>
      <c r="U35" s="438">
        <f t="shared" si="31"/>
        <v>272662.15528481675</v>
      </c>
      <c r="V35" s="218">
        <f>IF(B35=0,Tea_Retrofit!$C$29,0)</f>
        <v>0</v>
      </c>
      <c r="W35" s="435">
        <f t="shared" si="32"/>
        <v>0</v>
      </c>
      <c r="X35" s="438">
        <f t="shared" si="33"/>
        <v>272662.15528481675</v>
      </c>
      <c r="Y35" s="184">
        <f>IF(B35=0,Tea_Retrofit!$G$15+Tea_Retrofit!$G$16,0)</f>
        <v>0</v>
      </c>
      <c r="Z35" s="185">
        <f>IF(B35=0,Tea_Retrofit!$G$14,0)</f>
        <v>0</v>
      </c>
      <c r="AA35" s="132">
        <f t="shared" si="34"/>
        <v>0</v>
      </c>
      <c r="AB35" s="218">
        <f t="shared" si="35"/>
        <v>272662.15528481675</v>
      </c>
      <c r="AC35" s="218">
        <f>Tea_Retrofit!$G$20*AVERAGE(AR35,AS35)</f>
        <v>0</v>
      </c>
      <c r="AD35" s="132">
        <f t="shared" si="36"/>
        <v>80376.646585445022</v>
      </c>
      <c r="AE35" s="132">
        <f t="shared" si="37"/>
        <v>272662.15528481675</v>
      </c>
      <c r="AF35" s="122">
        <f t="shared" si="38"/>
        <v>192285.50869937171</v>
      </c>
      <c r="AG35" s="438">
        <f t="shared" si="39"/>
        <v>192285.50869937171</v>
      </c>
      <c r="AH35" s="122">
        <f t="shared" si="40"/>
        <v>-245464.70978685416</v>
      </c>
      <c r="AI35" s="122">
        <f t="shared" si="41"/>
        <v>-245464.70978685416</v>
      </c>
      <c r="AJ35" s="122">
        <f>-Debt_Calc!BU33</f>
        <v>0</v>
      </c>
      <c r="AK35" s="122">
        <f>Debt_Calc!BV33</f>
        <v>0</v>
      </c>
      <c r="AL35" s="122">
        <f t="shared" si="42"/>
        <v>0</v>
      </c>
      <c r="AM35" s="217">
        <f t="shared" si="43"/>
        <v>0</v>
      </c>
      <c r="AN35" s="122">
        <f t="shared" si="44"/>
        <v>192285.50869937171</v>
      </c>
      <c r="AO35" s="122">
        <f t="shared" si="45"/>
        <v>272662.15528481675</v>
      </c>
      <c r="AP35" s="122">
        <f t="shared" si="46"/>
        <v>192285.50869937171</v>
      </c>
      <c r="AQ35" s="122">
        <f t="shared" si="47"/>
        <v>0</v>
      </c>
      <c r="AR35" s="122">
        <f t="shared" si="48"/>
        <v>0</v>
      </c>
      <c r="AS35" s="122">
        <f t="shared" si="49"/>
        <v>0</v>
      </c>
      <c r="AT35" s="122">
        <f t="shared" si="50"/>
        <v>4047263.6953327619</v>
      </c>
      <c r="AU35" s="122">
        <f t="shared" si="51"/>
        <v>2</v>
      </c>
      <c r="AV35" s="222">
        <f t="shared" si="52"/>
        <v>7.8119118246030564E-14</v>
      </c>
    </row>
    <row r="36" spans="2:67" s="86" customFormat="1" x14ac:dyDescent="0.3">
      <c r="B36" s="184">
        <f t="shared" si="18"/>
        <v>25</v>
      </c>
      <c r="C36" s="346">
        <f t="shared" si="19"/>
        <v>2046</v>
      </c>
      <c r="D36" s="347">
        <f t="shared" si="20"/>
        <v>53328</v>
      </c>
      <c r="E36" s="440">
        <f t="shared" si="21"/>
        <v>53692</v>
      </c>
      <c r="F36" s="732">
        <f>IF(AND(B36&gt;0,B36&lt;=Tea_Retrofit!$J$10),1,0)</f>
        <v>1</v>
      </c>
      <c r="G36" s="217">
        <f t="shared" si="22"/>
        <v>0</v>
      </c>
      <c r="H36" s="438">
        <f>(Tea_Retrofit!$N$28*F36)+IF(B36=Tea_Retrofit!$J$10,Tea_Retrofit!$J$12,0)</f>
        <v>272662.15528481675</v>
      </c>
      <c r="I36" s="122">
        <f t="shared" si="23"/>
        <v>272662.15528481675</v>
      </c>
      <c r="J36" s="219">
        <f t="shared" si="24"/>
        <v>1</v>
      </c>
      <c r="K36" s="220">
        <f>Deprec!R35</f>
        <v>4740</v>
      </c>
      <c r="L36" s="122">
        <f t="shared" si="25"/>
        <v>267922.15528481675</v>
      </c>
      <c r="M36" s="221">
        <f t="shared" si="26"/>
        <v>0</v>
      </c>
      <c r="N36" s="122">
        <f t="shared" si="27"/>
        <v>267922.15528481675</v>
      </c>
      <c r="O36" s="438">
        <f>IF(N36&lt;0,0,(N36*Tea_Retrofit!$J$7))</f>
        <v>80376.646585445022</v>
      </c>
      <c r="P36" s="122">
        <f t="shared" si="28"/>
        <v>187545.50869937171</v>
      </c>
      <c r="Q36" s="123">
        <f t="shared" si="29"/>
        <v>0.68783109450398749</v>
      </c>
      <c r="T36" s="218">
        <f t="shared" si="30"/>
        <v>272662.15528481675</v>
      </c>
      <c r="U36" s="438">
        <f t="shared" si="31"/>
        <v>272662.15528481675</v>
      </c>
      <c r="V36" s="218">
        <f>IF(B36=0,Tea_Retrofit!$C$29,0)</f>
        <v>0</v>
      </c>
      <c r="W36" s="435">
        <f t="shared" si="32"/>
        <v>0</v>
      </c>
      <c r="X36" s="438">
        <f t="shared" si="33"/>
        <v>272662.15528481675</v>
      </c>
      <c r="Y36" s="184">
        <f>IF(B36=0,Tea_Retrofit!$G$15+Tea_Retrofit!$G$16,0)</f>
        <v>0</v>
      </c>
      <c r="Z36" s="185">
        <f>IF(B36=0,Tea_Retrofit!$G$14,0)</f>
        <v>0</v>
      </c>
      <c r="AA36" s="132">
        <f t="shared" si="34"/>
        <v>0</v>
      </c>
      <c r="AB36" s="218">
        <f t="shared" si="35"/>
        <v>272662.15528481675</v>
      </c>
      <c r="AC36" s="218">
        <f>Tea_Retrofit!$G$20*AVERAGE(AR36,AS36)</f>
        <v>0</v>
      </c>
      <c r="AD36" s="132">
        <f t="shared" si="36"/>
        <v>80376.646585445022</v>
      </c>
      <c r="AE36" s="132">
        <f t="shared" si="37"/>
        <v>272662.15528481675</v>
      </c>
      <c r="AF36" s="122">
        <f t="shared" si="38"/>
        <v>192285.50869937171</v>
      </c>
      <c r="AG36" s="438">
        <f t="shared" si="39"/>
        <v>192285.50869937171</v>
      </c>
      <c r="AH36" s="122">
        <f t="shared" si="40"/>
        <v>-245464.70978685416</v>
      </c>
      <c r="AI36" s="122">
        <f t="shared" si="41"/>
        <v>-245464.70978685416</v>
      </c>
      <c r="AJ36" s="122">
        <f>-Debt_Calc!BU34</f>
        <v>0</v>
      </c>
      <c r="AK36" s="122">
        <f>Debt_Calc!BV34</f>
        <v>0</v>
      </c>
      <c r="AL36" s="122">
        <f t="shared" si="42"/>
        <v>0</v>
      </c>
      <c r="AM36" s="217">
        <f t="shared" si="43"/>
        <v>0</v>
      </c>
      <c r="AN36" s="122">
        <f t="shared" si="44"/>
        <v>192285.50869937171</v>
      </c>
      <c r="AO36" s="122">
        <f t="shared" si="45"/>
        <v>272662.15528481675</v>
      </c>
      <c r="AP36" s="122">
        <f t="shared" si="46"/>
        <v>192285.50869937171</v>
      </c>
      <c r="AQ36" s="122">
        <f t="shared" si="47"/>
        <v>0</v>
      </c>
      <c r="AR36" s="122">
        <f t="shared" si="48"/>
        <v>0</v>
      </c>
      <c r="AS36" s="122">
        <f t="shared" si="49"/>
        <v>0</v>
      </c>
      <c r="AT36" s="122">
        <f t="shared" si="50"/>
        <v>4239549.2040321333</v>
      </c>
      <c r="AU36" s="122">
        <f t="shared" si="51"/>
        <v>2</v>
      </c>
      <c r="AV36" s="222">
        <f t="shared" si="52"/>
        <v>1.3380051396367874E-14</v>
      </c>
    </row>
    <row r="37" spans="2:67" s="86" customFormat="1" x14ac:dyDescent="0.3">
      <c r="B37" s="184">
        <f t="shared" si="18"/>
        <v>26</v>
      </c>
      <c r="C37" s="346">
        <f t="shared" si="19"/>
        <v>2047</v>
      </c>
      <c r="D37" s="347">
        <f t="shared" si="20"/>
        <v>53693</v>
      </c>
      <c r="E37" s="440">
        <f t="shared" si="21"/>
        <v>54057</v>
      </c>
      <c r="F37" s="732">
        <f>IF(AND(B37&gt;0,B37&lt;=Tea_Retrofit!$J$10),1,0)</f>
        <v>0</v>
      </c>
      <c r="G37" s="217">
        <f t="shared" si="22"/>
        <v>0</v>
      </c>
      <c r="H37" s="438">
        <f>(Tea_Retrofit!$N$28*F37)+IF(B37=Tea_Retrofit!$J$10,Tea_Retrofit!$J$12,0)</f>
        <v>0</v>
      </c>
      <c r="I37" s="122">
        <f t="shared" si="23"/>
        <v>0</v>
      </c>
      <c r="J37" s="219">
        <f t="shared" si="24"/>
        <v>0</v>
      </c>
      <c r="K37" s="220">
        <f>Deprec!R36</f>
        <v>0</v>
      </c>
      <c r="L37" s="122">
        <f t="shared" si="25"/>
        <v>0</v>
      </c>
      <c r="M37" s="221">
        <f t="shared" si="26"/>
        <v>0</v>
      </c>
      <c r="N37" s="122">
        <f t="shared" si="27"/>
        <v>0</v>
      </c>
      <c r="O37" s="438">
        <f>IF(N37&lt;0,0,(N37*Tea_Retrofit!$J$7))</f>
        <v>0</v>
      </c>
      <c r="P37" s="122">
        <f t="shared" si="28"/>
        <v>0</v>
      </c>
      <c r="Q37" s="123">
        <f t="shared" si="29"/>
        <v>0</v>
      </c>
      <c r="T37" s="218">
        <f t="shared" si="30"/>
        <v>0</v>
      </c>
      <c r="U37" s="438">
        <f t="shared" si="31"/>
        <v>0</v>
      </c>
      <c r="V37" s="218">
        <f>IF(B37=0,Tea_Retrofit!$C$29,0)</f>
        <v>0</v>
      </c>
      <c r="W37" s="435">
        <f t="shared" si="32"/>
        <v>0</v>
      </c>
      <c r="X37" s="438">
        <f t="shared" si="33"/>
        <v>0</v>
      </c>
      <c r="Y37" s="184">
        <f>IF(B37=0,Tea_Retrofit!$G$15+Tea_Retrofit!$G$16,0)</f>
        <v>0</v>
      </c>
      <c r="Z37" s="185">
        <f>IF(B37=0,Tea_Retrofit!$G$14,0)</f>
        <v>0</v>
      </c>
      <c r="AA37" s="132">
        <f t="shared" si="34"/>
        <v>0</v>
      </c>
      <c r="AB37" s="218">
        <f t="shared" si="35"/>
        <v>0</v>
      </c>
      <c r="AC37" s="218">
        <f>Tea_Retrofit!$G$20*AVERAGE(AR37,AS37)</f>
        <v>0</v>
      </c>
      <c r="AD37" s="132">
        <f t="shared" si="36"/>
        <v>0</v>
      </c>
      <c r="AE37" s="132">
        <f t="shared" si="37"/>
        <v>0</v>
      </c>
      <c r="AF37" s="122">
        <f t="shared" si="38"/>
        <v>0</v>
      </c>
      <c r="AG37" s="438">
        <f t="shared" si="39"/>
        <v>0</v>
      </c>
      <c r="AH37" s="122">
        <f t="shared" si="40"/>
        <v>-245464.70978685416</v>
      </c>
      <c r="AI37" s="122">
        <f t="shared" si="41"/>
        <v>-245464.70978685416</v>
      </c>
      <c r="AJ37" s="122">
        <f>-Debt_Calc!BU35</f>
        <v>0</v>
      </c>
      <c r="AK37" s="122">
        <f>Debt_Calc!BV35</f>
        <v>0</v>
      </c>
      <c r="AL37" s="122">
        <f t="shared" si="42"/>
        <v>0</v>
      </c>
      <c r="AM37" s="217">
        <f t="shared" si="43"/>
        <v>0</v>
      </c>
      <c r="AN37" s="122">
        <f t="shared" si="44"/>
        <v>0</v>
      </c>
      <c r="AO37" s="122">
        <f t="shared" si="45"/>
        <v>0</v>
      </c>
      <c r="AP37" s="122">
        <f t="shared" si="46"/>
        <v>0</v>
      </c>
      <c r="AQ37" s="122">
        <f t="shared" si="47"/>
        <v>0</v>
      </c>
      <c r="AR37" s="122">
        <f t="shared" si="48"/>
        <v>0</v>
      </c>
      <c r="AS37" s="122">
        <f t="shared" si="49"/>
        <v>0</v>
      </c>
      <c r="AT37" s="122">
        <f t="shared" si="50"/>
        <v>4239549.2040321333</v>
      </c>
      <c r="AU37" s="122">
        <f t="shared" si="51"/>
        <v>2</v>
      </c>
      <c r="AV37" s="222">
        <f t="shared" si="52"/>
        <v>0</v>
      </c>
    </row>
    <row r="38" spans="2:67" s="86" customFormat="1" x14ac:dyDescent="0.3">
      <c r="B38" s="184">
        <f t="shared" si="18"/>
        <v>27</v>
      </c>
      <c r="C38" s="346">
        <f t="shared" si="19"/>
        <v>2048</v>
      </c>
      <c r="D38" s="347">
        <f t="shared" si="20"/>
        <v>54058</v>
      </c>
      <c r="E38" s="440">
        <f t="shared" si="21"/>
        <v>54423</v>
      </c>
      <c r="F38" s="732">
        <f>IF(AND(B38&gt;0,B38&lt;=Tea_Retrofit!$J$10),1,0)</f>
        <v>0</v>
      </c>
      <c r="G38" s="217">
        <f t="shared" si="22"/>
        <v>0</v>
      </c>
      <c r="H38" s="438">
        <f>(Tea_Retrofit!$N$28*F38)+IF(B38=Tea_Retrofit!$J$10,Tea_Retrofit!$J$12,0)</f>
        <v>0</v>
      </c>
      <c r="I38" s="122">
        <f t="shared" si="23"/>
        <v>0</v>
      </c>
      <c r="J38" s="219">
        <f t="shared" si="24"/>
        <v>0</v>
      </c>
      <c r="K38" s="220">
        <f>Deprec!R37</f>
        <v>0</v>
      </c>
      <c r="L38" s="122">
        <f t="shared" si="25"/>
        <v>0</v>
      </c>
      <c r="M38" s="221">
        <f t="shared" si="26"/>
        <v>0</v>
      </c>
      <c r="N38" s="122">
        <f t="shared" si="27"/>
        <v>0</v>
      </c>
      <c r="O38" s="438">
        <f>IF(N38&lt;0,0,(N38*Tea_Retrofit!$J$7))</f>
        <v>0</v>
      </c>
      <c r="P38" s="122">
        <f t="shared" si="28"/>
        <v>0</v>
      </c>
      <c r="Q38" s="123">
        <f t="shared" si="29"/>
        <v>0</v>
      </c>
      <c r="T38" s="218">
        <f t="shared" si="30"/>
        <v>0</v>
      </c>
      <c r="U38" s="438">
        <f t="shared" si="31"/>
        <v>0</v>
      </c>
      <c r="V38" s="218">
        <f>IF(B38=0,Tea_Retrofit!$C$29,0)</f>
        <v>0</v>
      </c>
      <c r="W38" s="435">
        <f t="shared" si="32"/>
        <v>0</v>
      </c>
      <c r="X38" s="438">
        <f t="shared" si="33"/>
        <v>0</v>
      </c>
      <c r="Y38" s="184">
        <f>IF(B38=0,Tea_Retrofit!$G$15+Tea_Retrofit!$G$16,0)</f>
        <v>0</v>
      </c>
      <c r="Z38" s="185">
        <f>IF(B38=0,Tea_Retrofit!$G$14,0)</f>
        <v>0</v>
      </c>
      <c r="AA38" s="132">
        <f t="shared" si="34"/>
        <v>0</v>
      </c>
      <c r="AB38" s="218">
        <f t="shared" si="35"/>
        <v>0</v>
      </c>
      <c r="AC38" s="218">
        <f>Tea_Retrofit!$G$20*AVERAGE(AR38,AS38)</f>
        <v>0</v>
      </c>
      <c r="AD38" s="132">
        <f t="shared" si="36"/>
        <v>0</v>
      </c>
      <c r="AE38" s="132">
        <f t="shared" si="37"/>
        <v>0</v>
      </c>
      <c r="AF38" s="122">
        <f t="shared" si="38"/>
        <v>0</v>
      </c>
      <c r="AG38" s="438">
        <f t="shared" si="39"/>
        <v>0</v>
      </c>
      <c r="AH38" s="122">
        <f t="shared" si="40"/>
        <v>-245464.70978685416</v>
      </c>
      <c r="AI38" s="122">
        <f t="shared" si="41"/>
        <v>-245464.70978685416</v>
      </c>
      <c r="AJ38" s="122">
        <f>-Debt_Calc!BU36</f>
        <v>0</v>
      </c>
      <c r="AK38" s="122">
        <f>Debt_Calc!BV36</f>
        <v>0</v>
      </c>
      <c r="AL38" s="122">
        <f t="shared" si="42"/>
        <v>0</v>
      </c>
      <c r="AM38" s="217">
        <f t="shared" si="43"/>
        <v>0</v>
      </c>
      <c r="AN38" s="122">
        <f t="shared" si="44"/>
        <v>0</v>
      </c>
      <c r="AO38" s="122">
        <f t="shared" si="45"/>
        <v>0</v>
      </c>
      <c r="AP38" s="122">
        <f t="shared" si="46"/>
        <v>0</v>
      </c>
      <c r="AQ38" s="122">
        <f t="shared" si="47"/>
        <v>0</v>
      </c>
      <c r="AR38" s="122">
        <f t="shared" si="48"/>
        <v>0</v>
      </c>
      <c r="AS38" s="122">
        <f t="shared" si="49"/>
        <v>0</v>
      </c>
      <c r="AT38" s="122">
        <f t="shared" si="50"/>
        <v>4239549.2040321333</v>
      </c>
      <c r="AU38" s="122">
        <f t="shared" si="51"/>
        <v>2</v>
      </c>
      <c r="AV38" s="222">
        <f t="shared" si="52"/>
        <v>0</v>
      </c>
    </row>
    <row r="39" spans="2:67" s="86" customFormat="1" x14ac:dyDescent="0.3">
      <c r="B39" s="184">
        <f t="shared" si="18"/>
        <v>28</v>
      </c>
      <c r="C39" s="346">
        <f t="shared" si="19"/>
        <v>2049</v>
      </c>
      <c r="D39" s="347">
        <f t="shared" si="20"/>
        <v>54424</v>
      </c>
      <c r="E39" s="440">
        <f t="shared" si="21"/>
        <v>54788</v>
      </c>
      <c r="F39" s="732">
        <f>IF(AND(B39&gt;0,B39&lt;=Tea_Retrofit!$J$10),1,0)</f>
        <v>0</v>
      </c>
      <c r="G39" s="217">
        <f t="shared" si="22"/>
        <v>0</v>
      </c>
      <c r="H39" s="438">
        <f>(Tea_Retrofit!$N$28*F39)+IF(B39=Tea_Retrofit!$J$10,Tea_Retrofit!$J$12,0)</f>
        <v>0</v>
      </c>
      <c r="I39" s="122">
        <f t="shared" si="23"/>
        <v>0</v>
      </c>
      <c r="J39" s="219">
        <f t="shared" si="24"/>
        <v>0</v>
      </c>
      <c r="K39" s="220">
        <f>Deprec!R38</f>
        <v>0</v>
      </c>
      <c r="L39" s="122">
        <f t="shared" si="25"/>
        <v>0</v>
      </c>
      <c r="M39" s="221">
        <f t="shared" si="26"/>
        <v>0</v>
      </c>
      <c r="N39" s="122">
        <f t="shared" si="27"/>
        <v>0</v>
      </c>
      <c r="O39" s="438">
        <f>IF(N39&lt;0,0,(N39*Tea_Retrofit!$J$7))</f>
        <v>0</v>
      </c>
      <c r="P39" s="122">
        <f t="shared" si="28"/>
        <v>0</v>
      </c>
      <c r="Q39" s="123">
        <f t="shared" si="29"/>
        <v>0</v>
      </c>
      <c r="T39" s="218">
        <f t="shared" si="30"/>
        <v>0</v>
      </c>
      <c r="U39" s="438">
        <f t="shared" si="31"/>
        <v>0</v>
      </c>
      <c r="V39" s="218">
        <f>IF(B39=0,Tea_Retrofit!$C$29,0)</f>
        <v>0</v>
      </c>
      <c r="W39" s="435">
        <f t="shared" si="32"/>
        <v>0</v>
      </c>
      <c r="X39" s="438">
        <f t="shared" si="33"/>
        <v>0</v>
      </c>
      <c r="Y39" s="184">
        <f>IF(B39=0,Tea_Retrofit!$G$15+Tea_Retrofit!$G$16,0)</f>
        <v>0</v>
      </c>
      <c r="Z39" s="185">
        <f>IF(B39=0,Tea_Retrofit!$G$14,0)</f>
        <v>0</v>
      </c>
      <c r="AA39" s="132">
        <f t="shared" si="34"/>
        <v>0</v>
      </c>
      <c r="AB39" s="218">
        <f t="shared" si="35"/>
        <v>0</v>
      </c>
      <c r="AC39" s="218">
        <f>Tea_Retrofit!$G$20*AVERAGE(AR39,AS39)</f>
        <v>0</v>
      </c>
      <c r="AD39" s="132">
        <f t="shared" si="36"/>
        <v>0</v>
      </c>
      <c r="AE39" s="132">
        <f t="shared" si="37"/>
        <v>0</v>
      </c>
      <c r="AF39" s="122">
        <f t="shared" si="38"/>
        <v>0</v>
      </c>
      <c r="AG39" s="438">
        <f t="shared" si="39"/>
        <v>0</v>
      </c>
      <c r="AH39" s="122">
        <f t="shared" si="40"/>
        <v>-245464.70978685416</v>
      </c>
      <c r="AI39" s="122">
        <f t="shared" si="41"/>
        <v>-245464.70978685416</v>
      </c>
      <c r="AJ39" s="122">
        <f>-Debt_Calc!BU37</f>
        <v>0</v>
      </c>
      <c r="AK39" s="122">
        <f>Debt_Calc!BV37</f>
        <v>0</v>
      </c>
      <c r="AL39" s="122">
        <f t="shared" si="42"/>
        <v>0</v>
      </c>
      <c r="AM39" s="217">
        <f t="shared" si="43"/>
        <v>0</v>
      </c>
      <c r="AN39" s="122">
        <f t="shared" si="44"/>
        <v>0</v>
      </c>
      <c r="AO39" s="122">
        <f t="shared" si="45"/>
        <v>0</v>
      </c>
      <c r="AP39" s="122">
        <f t="shared" si="46"/>
        <v>0</v>
      </c>
      <c r="AQ39" s="122">
        <f t="shared" si="47"/>
        <v>0</v>
      </c>
      <c r="AR39" s="122">
        <f t="shared" si="48"/>
        <v>0</v>
      </c>
      <c r="AS39" s="122">
        <f t="shared" si="49"/>
        <v>0</v>
      </c>
      <c r="AT39" s="122">
        <f t="shared" si="50"/>
        <v>4239549.2040321333</v>
      </c>
      <c r="AU39" s="122">
        <f t="shared" si="51"/>
        <v>2</v>
      </c>
      <c r="AV39" s="222">
        <f t="shared" si="52"/>
        <v>0</v>
      </c>
    </row>
    <row r="40" spans="2:67" s="86" customFormat="1" x14ac:dyDescent="0.3">
      <c r="B40" s="184">
        <f t="shared" si="18"/>
        <v>29</v>
      </c>
      <c r="C40" s="346">
        <f t="shared" si="19"/>
        <v>2050</v>
      </c>
      <c r="D40" s="347">
        <f t="shared" si="20"/>
        <v>54789</v>
      </c>
      <c r="E40" s="440">
        <f t="shared" si="21"/>
        <v>55153</v>
      </c>
      <c r="F40" s="732">
        <f>IF(AND(B40&gt;0,B40&lt;=Tea_Retrofit!$J$10),1,0)</f>
        <v>0</v>
      </c>
      <c r="G40" s="217">
        <f t="shared" si="22"/>
        <v>0</v>
      </c>
      <c r="H40" s="438">
        <f>(Tea_Retrofit!$N$28*F40)+IF(B40=Tea_Retrofit!$J$10,Tea_Retrofit!$J$12,0)</f>
        <v>0</v>
      </c>
      <c r="I40" s="122">
        <f t="shared" si="23"/>
        <v>0</v>
      </c>
      <c r="J40" s="219">
        <f t="shared" si="24"/>
        <v>0</v>
      </c>
      <c r="K40" s="220">
        <f>Deprec!R39</f>
        <v>0</v>
      </c>
      <c r="L40" s="122">
        <f t="shared" si="25"/>
        <v>0</v>
      </c>
      <c r="M40" s="221">
        <f t="shared" si="26"/>
        <v>0</v>
      </c>
      <c r="N40" s="122">
        <f t="shared" si="27"/>
        <v>0</v>
      </c>
      <c r="O40" s="438">
        <f>IF(N40&lt;0,0,(N40*Tea_Retrofit!$J$7))</f>
        <v>0</v>
      </c>
      <c r="P40" s="122">
        <f t="shared" si="28"/>
        <v>0</v>
      </c>
      <c r="Q40" s="123">
        <f t="shared" si="29"/>
        <v>0</v>
      </c>
      <c r="T40" s="218">
        <f t="shared" si="30"/>
        <v>0</v>
      </c>
      <c r="U40" s="438">
        <f t="shared" si="31"/>
        <v>0</v>
      </c>
      <c r="V40" s="218">
        <f>IF(B40=0,Tea_Retrofit!$C$29,0)</f>
        <v>0</v>
      </c>
      <c r="W40" s="435">
        <f t="shared" si="32"/>
        <v>0</v>
      </c>
      <c r="X40" s="438">
        <f t="shared" si="33"/>
        <v>0</v>
      </c>
      <c r="Y40" s="184">
        <f>IF(B40=0,Tea_Retrofit!$G$15+Tea_Retrofit!$G$16,0)</f>
        <v>0</v>
      </c>
      <c r="Z40" s="185">
        <f>IF(B40=0,Tea_Retrofit!$G$14,0)</f>
        <v>0</v>
      </c>
      <c r="AA40" s="132">
        <f t="shared" si="34"/>
        <v>0</v>
      </c>
      <c r="AB40" s="218">
        <f t="shared" si="35"/>
        <v>0</v>
      </c>
      <c r="AC40" s="218">
        <f>Tea_Retrofit!$G$20*AVERAGE(AR40,AS40)</f>
        <v>0</v>
      </c>
      <c r="AD40" s="132">
        <f t="shared" si="36"/>
        <v>0</v>
      </c>
      <c r="AE40" s="132">
        <f t="shared" si="37"/>
        <v>0</v>
      </c>
      <c r="AF40" s="122">
        <f t="shared" si="38"/>
        <v>0</v>
      </c>
      <c r="AG40" s="438">
        <f t="shared" si="39"/>
        <v>0</v>
      </c>
      <c r="AH40" s="122">
        <f t="shared" si="40"/>
        <v>-245464.70978685416</v>
      </c>
      <c r="AI40" s="122">
        <f t="shared" si="41"/>
        <v>-245464.70978685416</v>
      </c>
      <c r="AJ40" s="122">
        <f>-Debt_Calc!BU38</f>
        <v>0</v>
      </c>
      <c r="AK40" s="122">
        <f>Debt_Calc!BV38</f>
        <v>0</v>
      </c>
      <c r="AL40" s="122">
        <f t="shared" si="42"/>
        <v>0</v>
      </c>
      <c r="AM40" s="217">
        <f t="shared" si="43"/>
        <v>0</v>
      </c>
      <c r="AN40" s="122">
        <f t="shared" si="44"/>
        <v>0</v>
      </c>
      <c r="AO40" s="122">
        <f t="shared" si="45"/>
        <v>0</v>
      </c>
      <c r="AP40" s="122">
        <f t="shared" si="46"/>
        <v>0</v>
      </c>
      <c r="AQ40" s="122">
        <f t="shared" si="47"/>
        <v>0</v>
      </c>
      <c r="AR40" s="122">
        <f t="shared" si="48"/>
        <v>0</v>
      </c>
      <c r="AS40" s="122">
        <f t="shared" si="49"/>
        <v>0</v>
      </c>
      <c r="AT40" s="122">
        <f t="shared" si="50"/>
        <v>4239549.2040321333</v>
      </c>
      <c r="AU40" s="122">
        <f t="shared" si="51"/>
        <v>2</v>
      </c>
      <c r="AV40" s="222">
        <f t="shared" si="52"/>
        <v>0</v>
      </c>
    </row>
    <row r="41" spans="2:67" s="86" customFormat="1" x14ac:dyDescent="0.3">
      <c r="B41" s="184">
        <f t="shared" si="18"/>
        <v>30</v>
      </c>
      <c r="C41" s="346">
        <f t="shared" si="19"/>
        <v>2051</v>
      </c>
      <c r="D41" s="347">
        <f t="shared" si="20"/>
        <v>55154</v>
      </c>
      <c r="E41" s="440">
        <f t="shared" si="21"/>
        <v>55518</v>
      </c>
      <c r="F41" s="732">
        <f>IF(AND(B41&gt;0,B41&lt;=Tea_Retrofit!$J$10),1,0)</f>
        <v>0</v>
      </c>
      <c r="G41" s="217">
        <f t="shared" si="22"/>
        <v>0</v>
      </c>
      <c r="H41" s="438">
        <f>(Tea_Retrofit!$N$28*F41)+IF(B41=Tea_Retrofit!$J$10,Tea_Retrofit!$J$12,0)</f>
        <v>0</v>
      </c>
      <c r="I41" s="122">
        <f t="shared" si="23"/>
        <v>0</v>
      </c>
      <c r="J41" s="219">
        <f t="shared" si="24"/>
        <v>0</v>
      </c>
      <c r="K41" s="220">
        <f>Deprec!R40</f>
        <v>0</v>
      </c>
      <c r="L41" s="122">
        <f t="shared" si="25"/>
        <v>0</v>
      </c>
      <c r="M41" s="221">
        <f t="shared" si="26"/>
        <v>0</v>
      </c>
      <c r="N41" s="122">
        <f t="shared" si="27"/>
        <v>0</v>
      </c>
      <c r="O41" s="438">
        <f>IF(N41&lt;0,0,(N41*Tea_Retrofit!$J$7))</f>
        <v>0</v>
      </c>
      <c r="P41" s="122">
        <f t="shared" si="28"/>
        <v>0</v>
      </c>
      <c r="Q41" s="123">
        <f t="shared" si="29"/>
        <v>0</v>
      </c>
      <c r="T41" s="218">
        <f t="shared" si="30"/>
        <v>0</v>
      </c>
      <c r="U41" s="438">
        <f t="shared" si="31"/>
        <v>0</v>
      </c>
      <c r="V41" s="218">
        <f>IF(B41=0,Tea_Retrofit!$C$29,0)</f>
        <v>0</v>
      </c>
      <c r="W41" s="435">
        <f t="shared" si="32"/>
        <v>0</v>
      </c>
      <c r="X41" s="438">
        <f t="shared" si="33"/>
        <v>0</v>
      </c>
      <c r="Y41" s="184">
        <f>IF(B41=0,Tea_Retrofit!$G$15+Tea_Retrofit!$G$16,0)</f>
        <v>0</v>
      </c>
      <c r="Z41" s="185">
        <f>IF(B41=0,Tea_Retrofit!$G$14,0)</f>
        <v>0</v>
      </c>
      <c r="AA41" s="132">
        <f t="shared" si="34"/>
        <v>0</v>
      </c>
      <c r="AB41" s="218">
        <f t="shared" si="35"/>
        <v>0</v>
      </c>
      <c r="AC41" s="218">
        <f>Tea_Retrofit!$G$20*AVERAGE(AR41,AS41)</f>
        <v>0</v>
      </c>
      <c r="AD41" s="132">
        <f t="shared" si="36"/>
        <v>0</v>
      </c>
      <c r="AE41" s="132">
        <f t="shared" si="37"/>
        <v>0</v>
      </c>
      <c r="AF41" s="122">
        <f t="shared" si="38"/>
        <v>0</v>
      </c>
      <c r="AG41" s="438">
        <f t="shared" si="39"/>
        <v>0</v>
      </c>
      <c r="AH41" s="122">
        <f t="shared" si="40"/>
        <v>-245464.70978685416</v>
      </c>
      <c r="AI41" s="122">
        <f t="shared" si="41"/>
        <v>-245464.70978685416</v>
      </c>
      <c r="AJ41" s="122">
        <f>-Debt_Calc!BU39</f>
        <v>0</v>
      </c>
      <c r="AK41" s="122">
        <f>Debt_Calc!BV39</f>
        <v>0</v>
      </c>
      <c r="AL41" s="122">
        <f t="shared" si="42"/>
        <v>0</v>
      </c>
      <c r="AM41" s="217">
        <f t="shared" si="43"/>
        <v>0</v>
      </c>
      <c r="AN41" s="122">
        <f t="shared" si="44"/>
        <v>0</v>
      </c>
      <c r="AO41" s="122">
        <f t="shared" si="45"/>
        <v>0</v>
      </c>
      <c r="AP41" s="122">
        <f t="shared" si="46"/>
        <v>0</v>
      </c>
      <c r="AQ41" s="122">
        <f t="shared" si="47"/>
        <v>0</v>
      </c>
      <c r="AR41" s="122">
        <f t="shared" si="48"/>
        <v>0</v>
      </c>
      <c r="AS41" s="122">
        <f t="shared" si="49"/>
        <v>0</v>
      </c>
      <c r="AT41" s="122">
        <f t="shared" si="50"/>
        <v>4239549.2040321333</v>
      </c>
      <c r="AU41" s="122">
        <f t="shared" si="51"/>
        <v>2</v>
      </c>
      <c r="AV41" s="222">
        <f t="shared" si="52"/>
        <v>0</v>
      </c>
    </row>
    <row r="42" spans="2:67" s="86" customFormat="1" x14ac:dyDescent="0.3">
      <c r="B42" s="184">
        <f t="shared" si="18"/>
        <v>31</v>
      </c>
      <c r="C42" s="346">
        <f t="shared" si="19"/>
        <v>2052</v>
      </c>
      <c r="D42" s="347">
        <f t="shared" si="20"/>
        <v>55519</v>
      </c>
      <c r="E42" s="440">
        <f t="shared" si="21"/>
        <v>55884</v>
      </c>
      <c r="F42" s="732">
        <f>IF(AND(B42&gt;0,B42&lt;=Tea_Retrofit!$J$10),1,0)</f>
        <v>0</v>
      </c>
      <c r="G42" s="217">
        <f t="shared" si="22"/>
        <v>0</v>
      </c>
      <c r="H42" s="438">
        <f>(Tea_Retrofit!$N$28*F42)+IF(B42=Tea_Retrofit!$J$10,Tea_Retrofit!$J$12,0)</f>
        <v>0</v>
      </c>
      <c r="I42" s="122">
        <f t="shared" si="23"/>
        <v>0</v>
      </c>
      <c r="J42" s="219">
        <f t="shared" si="24"/>
        <v>0</v>
      </c>
      <c r="K42" s="220">
        <f>Deprec!R41</f>
        <v>0</v>
      </c>
      <c r="L42" s="122">
        <f t="shared" si="25"/>
        <v>0</v>
      </c>
      <c r="M42" s="221">
        <f t="shared" si="26"/>
        <v>0</v>
      </c>
      <c r="N42" s="122">
        <f t="shared" si="27"/>
        <v>0</v>
      </c>
      <c r="O42" s="438">
        <f>IF(N42&lt;0,0,(N42*Tea_Retrofit!$J$7))</f>
        <v>0</v>
      </c>
      <c r="P42" s="122">
        <f t="shared" si="28"/>
        <v>0</v>
      </c>
      <c r="Q42" s="123">
        <f t="shared" si="29"/>
        <v>0</v>
      </c>
      <c r="T42" s="218">
        <f t="shared" si="30"/>
        <v>0</v>
      </c>
      <c r="U42" s="438">
        <f t="shared" si="31"/>
        <v>0</v>
      </c>
      <c r="V42" s="218">
        <f>IF(B42=0,Tea_Retrofit!$C$29,0)</f>
        <v>0</v>
      </c>
      <c r="W42" s="435">
        <f t="shared" si="32"/>
        <v>0</v>
      </c>
      <c r="X42" s="438">
        <f t="shared" si="33"/>
        <v>0</v>
      </c>
      <c r="Y42" s="184">
        <f>IF(B42=0,Tea_Retrofit!$G$15+Tea_Retrofit!$G$16,0)</f>
        <v>0</v>
      </c>
      <c r="Z42" s="185">
        <f>IF(B42=0,Tea_Retrofit!$G$14,0)</f>
        <v>0</v>
      </c>
      <c r="AA42" s="132">
        <f t="shared" si="34"/>
        <v>0</v>
      </c>
      <c r="AB42" s="218">
        <f t="shared" si="35"/>
        <v>0</v>
      </c>
      <c r="AC42" s="218">
        <f>Tea_Retrofit!$G$20*AVERAGE(AR42,AS42)</f>
        <v>0</v>
      </c>
      <c r="AD42" s="132">
        <f t="shared" si="36"/>
        <v>0</v>
      </c>
      <c r="AE42" s="132">
        <f t="shared" si="37"/>
        <v>0</v>
      </c>
      <c r="AF42" s="122">
        <f t="shared" si="38"/>
        <v>0</v>
      </c>
      <c r="AG42" s="438">
        <f t="shared" si="39"/>
        <v>0</v>
      </c>
      <c r="AH42" s="122">
        <f t="shared" si="40"/>
        <v>-245464.70978685416</v>
      </c>
      <c r="AI42" s="122">
        <f t="shared" si="41"/>
        <v>-245464.70978685416</v>
      </c>
      <c r="AJ42" s="122">
        <f>-Debt_Calc!BU40</f>
        <v>0</v>
      </c>
      <c r="AK42" s="122">
        <f>Debt_Calc!BV40</f>
        <v>0</v>
      </c>
      <c r="AL42" s="122">
        <f t="shared" si="42"/>
        <v>0</v>
      </c>
      <c r="AM42" s="217">
        <f t="shared" si="43"/>
        <v>0</v>
      </c>
      <c r="AN42" s="122">
        <f t="shared" si="44"/>
        <v>0</v>
      </c>
      <c r="AO42" s="122">
        <f t="shared" si="45"/>
        <v>0</v>
      </c>
      <c r="AP42" s="122">
        <f t="shared" si="46"/>
        <v>0</v>
      </c>
      <c r="AQ42" s="122">
        <f t="shared" si="47"/>
        <v>0</v>
      </c>
      <c r="AR42" s="122">
        <f t="shared" si="48"/>
        <v>0</v>
      </c>
      <c r="AS42" s="122">
        <f t="shared" si="49"/>
        <v>0</v>
      </c>
      <c r="AT42" s="122">
        <f t="shared" si="50"/>
        <v>4239549.2040321333</v>
      </c>
      <c r="AU42" s="122">
        <f t="shared" si="51"/>
        <v>2</v>
      </c>
      <c r="AV42" s="222">
        <f t="shared" si="52"/>
        <v>0</v>
      </c>
    </row>
    <row r="43" spans="2:67" s="86" customFormat="1" x14ac:dyDescent="0.3">
      <c r="B43" s="184">
        <f t="shared" si="18"/>
        <v>32</v>
      </c>
      <c r="C43" s="346">
        <f t="shared" si="19"/>
        <v>2053</v>
      </c>
      <c r="D43" s="347">
        <f t="shared" si="20"/>
        <v>55885</v>
      </c>
      <c r="E43" s="440">
        <f t="shared" si="21"/>
        <v>56249</v>
      </c>
      <c r="F43" s="732">
        <f>IF(AND(B43&gt;0,B43&lt;=Tea_Retrofit!$J$10),1,0)</f>
        <v>0</v>
      </c>
      <c r="G43" s="217">
        <f t="shared" si="22"/>
        <v>0</v>
      </c>
      <c r="H43" s="438">
        <f>(Tea_Retrofit!$N$28*F43)+IF(B43=Tea_Retrofit!$J$10,Tea_Retrofit!$J$12,0)</f>
        <v>0</v>
      </c>
      <c r="I43" s="122">
        <f t="shared" si="23"/>
        <v>0</v>
      </c>
      <c r="J43" s="219">
        <f t="shared" si="24"/>
        <v>0</v>
      </c>
      <c r="K43" s="220">
        <f>Deprec!R42</f>
        <v>0</v>
      </c>
      <c r="L43" s="122">
        <f t="shared" si="25"/>
        <v>0</v>
      </c>
      <c r="M43" s="221">
        <f t="shared" si="26"/>
        <v>0</v>
      </c>
      <c r="N43" s="122">
        <f t="shared" si="27"/>
        <v>0</v>
      </c>
      <c r="O43" s="438">
        <f>IF(N43&lt;0,0,(N43*Tea_Retrofit!$J$7))</f>
        <v>0</v>
      </c>
      <c r="P43" s="122">
        <f t="shared" si="28"/>
        <v>0</v>
      </c>
      <c r="Q43" s="123">
        <f t="shared" si="29"/>
        <v>0</v>
      </c>
      <c r="T43" s="218">
        <f t="shared" si="30"/>
        <v>0</v>
      </c>
      <c r="U43" s="438">
        <f t="shared" si="31"/>
        <v>0</v>
      </c>
      <c r="V43" s="218">
        <f>IF(B43=0,Tea_Retrofit!$C$29,0)</f>
        <v>0</v>
      </c>
      <c r="W43" s="435">
        <f t="shared" si="32"/>
        <v>0</v>
      </c>
      <c r="X43" s="438">
        <f t="shared" si="33"/>
        <v>0</v>
      </c>
      <c r="Y43" s="184">
        <f>IF(B43=0,Tea_Retrofit!$G$15+Tea_Retrofit!$G$16,0)</f>
        <v>0</v>
      </c>
      <c r="Z43" s="185">
        <f>IF(B43=0,Tea_Retrofit!$G$14,0)</f>
        <v>0</v>
      </c>
      <c r="AA43" s="132">
        <f t="shared" si="34"/>
        <v>0</v>
      </c>
      <c r="AB43" s="218">
        <f t="shared" si="35"/>
        <v>0</v>
      </c>
      <c r="AC43" s="218">
        <f>Tea_Retrofit!$G$20*AVERAGE(AR43,AS43)</f>
        <v>0</v>
      </c>
      <c r="AD43" s="132">
        <f t="shared" si="36"/>
        <v>0</v>
      </c>
      <c r="AE43" s="132">
        <f t="shared" si="37"/>
        <v>0</v>
      </c>
      <c r="AF43" s="122">
        <f t="shared" si="38"/>
        <v>0</v>
      </c>
      <c r="AG43" s="438">
        <f t="shared" si="39"/>
        <v>0</v>
      </c>
      <c r="AH43" s="122">
        <f t="shared" si="40"/>
        <v>-245464.70978685416</v>
      </c>
      <c r="AI43" s="122">
        <f t="shared" si="41"/>
        <v>-245464.70978685416</v>
      </c>
      <c r="AJ43" s="122">
        <f>-Debt_Calc!BU41</f>
        <v>0</v>
      </c>
      <c r="AK43" s="122">
        <f>Debt_Calc!BV41</f>
        <v>0</v>
      </c>
      <c r="AL43" s="122">
        <f t="shared" si="42"/>
        <v>0</v>
      </c>
      <c r="AM43" s="217">
        <f t="shared" si="43"/>
        <v>0</v>
      </c>
      <c r="AN43" s="122">
        <f t="shared" si="44"/>
        <v>0</v>
      </c>
      <c r="AO43" s="122">
        <f t="shared" si="45"/>
        <v>0</v>
      </c>
      <c r="AP43" s="122">
        <f t="shared" si="46"/>
        <v>0</v>
      </c>
      <c r="AQ43" s="122">
        <f t="shared" si="47"/>
        <v>0</v>
      </c>
      <c r="AR43" s="122">
        <f t="shared" si="48"/>
        <v>0</v>
      </c>
      <c r="AS43" s="122">
        <f t="shared" si="49"/>
        <v>0</v>
      </c>
      <c r="AT43" s="122">
        <f t="shared" si="50"/>
        <v>4239549.2040321333</v>
      </c>
      <c r="AU43" s="122">
        <f t="shared" si="51"/>
        <v>2</v>
      </c>
      <c r="AV43" s="222">
        <f t="shared" si="52"/>
        <v>0</v>
      </c>
    </row>
    <row r="44" spans="2:67" s="86" customFormat="1" x14ac:dyDescent="0.3">
      <c r="B44" s="748">
        <f t="shared" si="18"/>
        <v>33</v>
      </c>
      <c r="C44" s="756">
        <f t="shared" si="19"/>
        <v>2054</v>
      </c>
      <c r="D44" s="757">
        <f t="shared" si="20"/>
        <v>56250</v>
      </c>
      <c r="E44" s="758">
        <f t="shared" si="21"/>
        <v>56614</v>
      </c>
      <c r="F44" s="762">
        <f>IF(AND(B44&gt;0,B44&lt;=Tea_Retrofit!$J$10),1,0)</f>
        <v>0</v>
      </c>
      <c r="G44" s="759">
        <f t="shared" si="22"/>
        <v>0</v>
      </c>
      <c r="H44" s="749">
        <f>(Tea_Retrofit!$N$28*F44)+IF(B44=Tea_Retrofit!$J$10,Tea_Retrofit!$J$12,0)</f>
        <v>0</v>
      </c>
      <c r="I44" s="83">
        <f t="shared" si="23"/>
        <v>0</v>
      </c>
      <c r="J44" s="738">
        <f t="shared" si="24"/>
        <v>0</v>
      </c>
      <c r="K44" s="750">
        <f>Deprec!R43</f>
        <v>0</v>
      </c>
      <c r="L44" s="83">
        <f t="shared" si="25"/>
        <v>0</v>
      </c>
      <c r="M44" s="751">
        <f t="shared" si="26"/>
        <v>0</v>
      </c>
      <c r="N44" s="83">
        <f t="shared" si="27"/>
        <v>0</v>
      </c>
      <c r="O44" s="749">
        <f>IF(N44&lt;0,0,(N44*Tea_Retrofit!$J$7))</f>
        <v>0</v>
      </c>
      <c r="P44" s="83">
        <f t="shared" si="28"/>
        <v>0</v>
      </c>
      <c r="Q44" s="688">
        <f t="shared" si="29"/>
        <v>0</v>
      </c>
      <c r="R44" s="232"/>
      <c r="S44" s="232"/>
      <c r="T44" s="746">
        <f t="shared" si="30"/>
        <v>0</v>
      </c>
      <c r="U44" s="749">
        <f t="shared" si="31"/>
        <v>0</v>
      </c>
      <c r="V44" s="746">
        <f>IF(B44=0,Tea_Retrofit!$C$29,0)</f>
        <v>0</v>
      </c>
      <c r="W44" s="760">
        <f t="shared" si="32"/>
        <v>0</v>
      </c>
      <c r="X44" s="749">
        <f t="shared" si="33"/>
        <v>0</v>
      </c>
      <c r="Y44" s="748">
        <f>IF(B44=0,Tea_Retrofit!$G$15+Tea_Retrofit!$G$16,0)</f>
        <v>0</v>
      </c>
      <c r="Z44" s="150">
        <f>IF(B44=0,Tea_Retrofit!$G$14,0)</f>
        <v>0</v>
      </c>
      <c r="AA44" s="84">
        <f t="shared" si="34"/>
        <v>0</v>
      </c>
      <c r="AB44" s="746">
        <f t="shared" si="35"/>
        <v>0</v>
      </c>
      <c r="AC44" s="746">
        <f>Tea_Retrofit!$G$20*AVERAGE(AR44,AS44)</f>
        <v>0</v>
      </c>
      <c r="AD44" s="84">
        <f t="shared" si="36"/>
        <v>0</v>
      </c>
      <c r="AE44" s="84">
        <f t="shared" si="37"/>
        <v>0</v>
      </c>
      <c r="AF44" s="83">
        <f t="shared" si="38"/>
        <v>0</v>
      </c>
      <c r="AG44" s="749">
        <f t="shared" si="39"/>
        <v>0</v>
      </c>
      <c r="AH44" s="83">
        <f t="shared" si="40"/>
        <v>-245464.70978685416</v>
      </c>
      <c r="AI44" s="83">
        <f t="shared" si="41"/>
        <v>-245464.70978685416</v>
      </c>
      <c r="AJ44" s="83">
        <f>-Debt_Calc!BU42</f>
        <v>0</v>
      </c>
      <c r="AK44" s="83">
        <f>Debt_Calc!BV42</f>
        <v>0</v>
      </c>
      <c r="AL44" s="83">
        <f t="shared" si="42"/>
        <v>0</v>
      </c>
      <c r="AM44" s="759">
        <f t="shared" si="43"/>
        <v>0</v>
      </c>
      <c r="AN44" s="83">
        <f t="shared" si="44"/>
        <v>0</v>
      </c>
      <c r="AO44" s="83">
        <f t="shared" si="45"/>
        <v>0</v>
      </c>
      <c r="AP44" s="83">
        <f t="shared" si="46"/>
        <v>0</v>
      </c>
      <c r="AQ44" s="83">
        <f t="shared" si="47"/>
        <v>0</v>
      </c>
      <c r="AR44" s="83">
        <f t="shared" si="48"/>
        <v>0</v>
      </c>
      <c r="AS44" s="83">
        <f t="shared" si="49"/>
        <v>0</v>
      </c>
      <c r="AT44" s="83">
        <f t="shared" si="50"/>
        <v>4239549.2040321333</v>
      </c>
      <c r="AU44" s="83">
        <f t="shared" si="51"/>
        <v>2</v>
      </c>
      <c r="AV44" s="739">
        <f t="shared" si="52"/>
        <v>0</v>
      </c>
    </row>
    <row r="45" spans="2:67" s="227" customFormat="1" x14ac:dyDescent="0.3">
      <c r="G45" s="202"/>
      <c r="H45" s="86"/>
      <c r="I45" s="86"/>
      <c r="J45" s="86"/>
      <c r="K45" s="86"/>
      <c r="L45" s="86"/>
      <c r="M45" s="199"/>
      <c r="N45" s="86"/>
      <c r="O45" s="86"/>
      <c r="P45" s="86"/>
      <c r="Q45" s="225"/>
      <c r="R45" s="86"/>
      <c r="S45" s="86"/>
      <c r="T45" s="239"/>
      <c r="U45" s="86"/>
      <c r="V45" s="202"/>
      <c r="W45" s="86"/>
      <c r="X45" s="86"/>
      <c r="Y45" s="86"/>
      <c r="Z45" s="86"/>
      <c r="AA45" s="86"/>
      <c r="AB45" s="86"/>
      <c r="AC45" s="86"/>
      <c r="AD45" s="86"/>
      <c r="AE45" s="86"/>
      <c r="AF45" s="86"/>
      <c r="AG45" s="86"/>
      <c r="AH45" s="86"/>
      <c r="AI45" s="86"/>
      <c r="AJ45" s="202"/>
      <c r="AK45" s="202"/>
      <c r="AL45" s="202"/>
      <c r="AM45" s="86"/>
      <c r="AN45" s="86"/>
      <c r="AO45" s="86"/>
      <c r="AP45" s="86"/>
      <c r="AQ45" s="86"/>
      <c r="AR45" s="86"/>
      <c r="AS45" s="86"/>
      <c r="AT45" s="86"/>
      <c r="AU45" s="86"/>
      <c r="AV45" s="86"/>
      <c r="AW45" s="86"/>
      <c r="AX45" s="86"/>
      <c r="AY45" s="86"/>
      <c r="AZ45" s="86"/>
      <c r="BA45" s="86"/>
      <c r="BB45" s="86"/>
      <c r="BC45" s="86"/>
      <c r="BD45" s="86"/>
      <c r="BE45" s="86"/>
      <c r="BF45" s="86"/>
      <c r="BG45" s="86"/>
      <c r="BH45" s="86"/>
      <c r="BI45" s="86"/>
      <c r="BJ45" s="86"/>
      <c r="BK45" s="86"/>
      <c r="BL45" s="86"/>
      <c r="BM45" s="86"/>
      <c r="BN45" s="86"/>
      <c r="BO45" s="86"/>
    </row>
    <row r="46" spans="2:67" s="227" customFormat="1" x14ac:dyDescent="0.3">
      <c r="G46" s="202"/>
      <c r="H46" s="86"/>
      <c r="I46" s="86"/>
      <c r="J46" s="86"/>
      <c r="K46" s="86"/>
      <c r="L46" s="86"/>
      <c r="M46" s="199"/>
      <c r="N46" s="86"/>
      <c r="O46" s="86"/>
      <c r="P46" s="86"/>
      <c r="Q46" s="225"/>
      <c r="R46" s="86"/>
      <c r="S46" s="86"/>
      <c r="T46" s="239"/>
      <c r="U46" s="86"/>
      <c r="V46" s="202"/>
      <c r="W46" s="86"/>
      <c r="X46" s="86"/>
      <c r="Y46" s="86"/>
      <c r="Z46" s="86"/>
      <c r="AA46" s="86"/>
      <c r="AB46" s="86"/>
      <c r="AC46" s="86"/>
      <c r="AD46" s="86"/>
      <c r="AE46" s="86"/>
      <c r="AF46" s="86"/>
      <c r="AG46" s="86"/>
      <c r="AH46" s="86"/>
      <c r="AI46" s="86"/>
      <c r="AJ46" s="202"/>
      <c r="AK46" s="202"/>
      <c r="AL46" s="202"/>
      <c r="AM46" s="86"/>
      <c r="AN46" s="86"/>
      <c r="AO46" s="86"/>
      <c r="AP46" s="86"/>
      <c r="AQ46" s="86"/>
      <c r="AR46" s="86"/>
      <c r="AS46" s="86"/>
      <c r="AT46" s="86"/>
      <c r="AU46" s="86"/>
      <c r="AV46" s="86"/>
      <c r="AW46" s="86"/>
      <c r="AX46" s="86"/>
      <c r="AY46" s="86"/>
      <c r="AZ46" s="86"/>
      <c r="BA46" s="86"/>
      <c r="BB46" s="86"/>
      <c r="BC46" s="86"/>
      <c r="BD46" s="86"/>
      <c r="BE46" s="86"/>
      <c r="BF46" s="86"/>
      <c r="BG46" s="86"/>
      <c r="BH46" s="86"/>
      <c r="BI46" s="86"/>
      <c r="BJ46" s="86"/>
      <c r="BK46" s="86"/>
      <c r="BL46" s="86"/>
      <c r="BM46" s="86"/>
      <c r="BN46" s="86"/>
      <c r="BO46" s="86"/>
    </row>
    <row r="47" spans="2:67" s="227" customFormat="1" x14ac:dyDescent="0.3">
      <c r="G47" s="202"/>
      <c r="H47" s="86"/>
      <c r="I47" s="86"/>
      <c r="J47" s="86"/>
      <c r="K47" s="86"/>
      <c r="L47" s="86"/>
      <c r="M47" s="199"/>
      <c r="N47" s="86"/>
      <c r="O47" s="86"/>
      <c r="P47" s="86"/>
      <c r="Q47" s="225"/>
      <c r="R47" s="86"/>
      <c r="S47" s="86"/>
      <c r="T47" s="239"/>
      <c r="U47" s="86"/>
      <c r="V47" s="202"/>
      <c r="W47" s="86"/>
      <c r="X47" s="86"/>
      <c r="Y47" s="86"/>
      <c r="Z47" s="86"/>
      <c r="AA47" s="86"/>
      <c r="AB47" s="86"/>
      <c r="AC47" s="86"/>
      <c r="AD47" s="86"/>
      <c r="AE47" s="86"/>
      <c r="AF47" s="86"/>
      <c r="AG47" s="86"/>
      <c r="AH47" s="86"/>
      <c r="AI47" s="86"/>
      <c r="AJ47" s="202"/>
      <c r="AK47" s="202"/>
      <c r="AL47" s="202"/>
      <c r="AM47" s="86"/>
      <c r="AN47" s="86"/>
      <c r="AO47" s="86"/>
      <c r="AP47" s="86"/>
      <c r="AQ47" s="86"/>
      <c r="AR47" s="86"/>
      <c r="AS47" s="86"/>
      <c r="AT47" s="86"/>
      <c r="AU47" s="86"/>
      <c r="AV47" s="86"/>
      <c r="AW47" s="86"/>
      <c r="AX47" s="86"/>
      <c r="AY47" s="86"/>
      <c r="AZ47" s="86"/>
      <c r="BA47" s="86"/>
      <c r="BB47" s="86"/>
      <c r="BC47" s="86"/>
      <c r="BD47" s="86"/>
      <c r="BE47" s="86"/>
      <c r="BF47" s="86"/>
      <c r="BG47" s="86"/>
      <c r="BH47" s="86"/>
      <c r="BI47" s="86"/>
      <c r="BJ47" s="86"/>
      <c r="BK47" s="86"/>
      <c r="BL47" s="86"/>
      <c r="BM47" s="86"/>
      <c r="BN47" s="86"/>
      <c r="BO47" s="86"/>
    </row>
    <row r="48" spans="2:67" s="227" customFormat="1" x14ac:dyDescent="0.3">
      <c r="G48" s="202"/>
      <c r="H48" s="86"/>
      <c r="I48" s="86"/>
      <c r="J48" s="86"/>
      <c r="K48" s="86"/>
      <c r="L48" s="86"/>
      <c r="M48" s="199"/>
      <c r="N48" s="86"/>
      <c r="O48" s="86"/>
      <c r="P48" s="86"/>
      <c r="Q48" s="225"/>
      <c r="R48" s="86"/>
      <c r="S48" s="86"/>
      <c r="T48" s="239"/>
      <c r="U48" s="86"/>
      <c r="V48" s="202"/>
      <c r="W48" s="86"/>
      <c r="X48" s="86"/>
      <c r="Y48" s="86"/>
      <c r="Z48" s="86"/>
      <c r="AA48" s="86"/>
      <c r="AB48" s="86"/>
      <c r="AC48" s="86"/>
      <c r="AD48" s="86"/>
      <c r="AE48" s="86"/>
      <c r="AF48" s="86"/>
      <c r="AG48" s="86"/>
      <c r="AH48" s="86"/>
      <c r="AI48" s="86"/>
      <c r="AJ48" s="202"/>
      <c r="AK48" s="202"/>
      <c r="AL48" s="202"/>
      <c r="AM48" s="86"/>
      <c r="AN48" s="86"/>
      <c r="AO48" s="86"/>
      <c r="AP48" s="86"/>
      <c r="AQ48" s="86"/>
      <c r="AR48" s="86"/>
      <c r="AS48" s="86"/>
      <c r="AT48" s="86"/>
      <c r="AU48" s="86"/>
      <c r="AV48" s="86"/>
      <c r="AW48" s="86"/>
      <c r="AX48" s="86"/>
      <c r="AY48" s="86"/>
      <c r="AZ48" s="86"/>
      <c r="BA48" s="86"/>
      <c r="BB48" s="86"/>
      <c r="BC48" s="86"/>
      <c r="BD48" s="86"/>
      <c r="BE48" s="86"/>
      <c r="BF48" s="86"/>
      <c r="BG48" s="86"/>
      <c r="BH48" s="86"/>
      <c r="BI48" s="86"/>
      <c r="BJ48" s="86"/>
      <c r="BK48" s="86"/>
      <c r="BL48" s="86"/>
      <c r="BM48" s="86"/>
      <c r="BN48" s="86"/>
      <c r="BO48" s="86"/>
    </row>
    <row r="49" spans="7:67" s="227" customFormat="1" x14ac:dyDescent="0.3">
      <c r="G49" s="202"/>
      <c r="H49" s="86"/>
      <c r="I49" s="86"/>
      <c r="J49" s="86"/>
      <c r="K49" s="86"/>
      <c r="L49" s="86"/>
      <c r="M49" s="199"/>
      <c r="N49" s="86"/>
      <c r="O49" s="86"/>
      <c r="P49" s="86"/>
      <c r="Q49" s="225"/>
      <c r="R49" s="86"/>
      <c r="S49" s="86"/>
      <c r="T49" s="239"/>
      <c r="U49" s="86"/>
      <c r="V49" s="202"/>
      <c r="W49" s="86"/>
      <c r="X49" s="86"/>
      <c r="Y49" s="86"/>
      <c r="Z49" s="86"/>
      <c r="AA49" s="86"/>
      <c r="AB49" s="86"/>
      <c r="AC49" s="86"/>
      <c r="AD49" s="86"/>
      <c r="AE49" s="86"/>
      <c r="AF49" s="86"/>
      <c r="AG49" s="86"/>
      <c r="AH49" s="86"/>
      <c r="AI49" s="86"/>
      <c r="AJ49" s="202"/>
      <c r="AK49" s="202"/>
      <c r="AL49" s="202"/>
      <c r="AM49" s="86"/>
      <c r="AN49" s="86"/>
      <c r="AO49" s="86"/>
      <c r="AP49" s="86"/>
      <c r="AQ49" s="86"/>
      <c r="AR49" s="86"/>
      <c r="AS49" s="86"/>
      <c r="AT49" s="86"/>
      <c r="AU49" s="86"/>
      <c r="AV49" s="86"/>
      <c r="AW49" s="86"/>
      <c r="AX49" s="86"/>
      <c r="AY49" s="86"/>
      <c r="AZ49" s="86"/>
      <c r="BA49" s="86"/>
      <c r="BB49" s="86"/>
      <c r="BC49" s="86"/>
      <c r="BD49" s="86"/>
      <c r="BE49" s="86"/>
      <c r="BF49" s="86"/>
      <c r="BG49" s="86"/>
      <c r="BH49" s="86"/>
      <c r="BI49" s="86"/>
      <c r="BJ49" s="86"/>
      <c r="BK49" s="86"/>
      <c r="BL49" s="86"/>
      <c r="BM49" s="86"/>
      <c r="BN49" s="86"/>
      <c r="BO49" s="86"/>
    </row>
    <row r="50" spans="7:67" s="227" customFormat="1" x14ac:dyDescent="0.3">
      <c r="G50" s="202"/>
      <c r="H50" s="86"/>
      <c r="I50" s="86"/>
      <c r="J50" s="86"/>
      <c r="K50" s="86"/>
      <c r="L50" s="86"/>
      <c r="M50" s="199"/>
      <c r="N50" s="86"/>
      <c r="O50" s="86"/>
      <c r="P50" s="86"/>
      <c r="Q50" s="225"/>
      <c r="R50" s="86"/>
      <c r="S50" s="86"/>
      <c r="T50" s="239"/>
      <c r="U50" s="86"/>
      <c r="V50" s="202"/>
      <c r="W50" s="86"/>
      <c r="X50" s="86"/>
      <c r="Y50" s="86"/>
      <c r="Z50" s="86"/>
      <c r="AA50" s="86"/>
      <c r="AB50" s="86"/>
      <c r="AC50" s="86"/>
      <c r="AD50" s="86"/>
      <c r="AE50" s="86"/>
      <c r="AF50" s="86"/>
      <c r="AG50" s="86"/>
      <c r="AH50" s="86"/>
      <c r="AI50" s="86"/>
      <c r="AJ50" s="202"/>
      <c r="AK50" s="202"/>
      <c r="AL50" s="202"/>
      <c r="AM50" s="86"/>
      <c r="AN50" s="86"/>
      <c r="AO50" s="86"/>
      <c r="AP50" s="86"/>
      <c r="AQ50" s="86"/>
      <c r="AR50" s="86"/>
      <c r="AS50" s="86"/>
      <c r="AT50" s="86"/>
      <c r="AU50" s="86"/>
      <c r="AV50" s="86"/>
      <c r="AW50" s="86"/>
      <c r="AX50" s="86"/>
      <c r="AY50" s="86"/>
      <c r="AZ50" s="86"/>
      <c r="BA50" s="86"/>
      <c r="BB50" s="86"/>
      <c r="BC50" s="86"/>
      <c r="BD50" s="86"/>
      <c r="BE50" s="86"/>
      <c r="BF50" s="86"/>
      <c r="BG50" s="86"/>
      <c r="BH50" s="86"/>
      <c r="BI50" s="86"/>
      <c r="BJ50" s="86"/>
      <c r="BK50" s="86"/>
      <c r="BL50" s="86"/>
      <c r="BM50" s="86"/>
      <c r="BN50" s="86"/>
      <c r="BO50" s="86"/>
    </row>
    <row r="51" spans="7:67" s="227" customFormat="1" x14ac:dyDescent="0.3">
      <c r="G51" s="202"/>
      <c r="H51" s="86"/>
      <c r="I51" s="86"/>
      <c r="J51" s="86"/>
      <c r="K51" s="86"/>
      <c r="L51" s="86"/>
      <c r="M51" s="199"/>
      <c r="N51" s="86"/>
      <c r="O51" s="86"/>
      <c r="P51" s="86"/>
      <c r="Q51" s="225"/>
      <c r="R51" s="86"/>
      <c r="S51" s="86"/>
      <c r="T51" s="239"/>
      <c r="U51" s="86"/>
      <c r="V51" s="202"/>
      <c r="W51" s="86"/>
      <c r="X51" s="86"/>
      <c r="Y51" s="86"/>
      <c r="Z51" s="86"/>
      <c r="AA51" s="86"/>
      <c r="AB51" s="86"/>
      <c r="AC51" s="86"/>
      <c r="AD51" s="86"/>
      <c r="AE51" s="86"/>
      <c r="AF51" s="86"/>
      <c r="AG51" s="86"/>
      <c r="AH51" s="86"/>
      <c r="AI51" s="86"/>
      <c r="AJ51" s="202"/>
      <c r="AK51" s="202"/>
      <c r="AL51" s="202"/>
      <c r="AM51" s="86"/>
      <c r="AN51" s="86"/>
      <c r="AO51" s="86"/>
      <c r="AP51" s="86"/>
      <c r="AQ51" s="86"/>
      <c r="AR51" s="86"/>
      <c r="AS51" s="86"/>
      <c r="AT51" s="86"/>
      <c r="AU51" s="86"/>
      <c r="AV51" s="86"/>
      <c r="AW51" s="86"/>
      <c r="AX51" s="86"/>
      <c r="AY51" s="86"/>
      <c r="AZ51" s="86"/>
      <c r="BA51" s="86"/>
      <c r="BB51" s="86"/>
      <c r="BC51" s="86"/>
      <c r="BD51" s="86"/>
      <c r="BE51" s="86"/>
      <c r="BF51" s="86"/>
      <c r="BG51" s="86"/>
      <c r="BH51" s="86"/>
      <c r="BI51" s="86"/>
      <c r="BJ51" s="86"/>
      <c r="BK51" s="86"/>
      <c r="BL51" s="86"/>
      <c r="BM51" s="86"/>
      <c r="BN51" s="86"/>
      <c r="BO51" s="86"/>
    </row>
    <row r="52" spans="7:67" s="227" customFormat="1" x14ac:dyDescent="0.3">
      <c r="G52" s="202"/>
      <c r="H52" s="86"/>
      <c r="I52" s="86"/>
      <c r="J52" s="86"/>
      <c r="K52" s="86"/>
      <c r="L52" s="86"/>
      <c r="M52" s="199"/>
      <c r="N52" s="86"/>
      <c r="O52" s="86"/>
      <c r="P52" s="86"/>
      <c r="Q52" s="225"/>
      <c r="R52" s="86"/>
      <c r="S52" s="86"/>
      <c r="T52" s="239"/>
      <c r="U52" s="86"/>
      <c r="V52" s="202"/>
      <c r="W52" s="86"/>
      <c r="X52" s="86"/>
      <c r="Y52" s="86"/>
      <c r="Z52" s="86"/>
      <c r="AA52" s="86"/>
      <c r="AB52" s="86"/>
      <c r="AC52" s="86"/>
      <c r="AD52" s="86"/>
      <c r="AE52" s="86"/>
      <c r="AF52" s="86"/>
      <c r="AG52" s="86"/>
      <c r="AH52" s="86"/>
      <c r="AI52" s="86"/>
      <c r="AJ52" s="202"/>
      <c r="AK52" s="202"/>
      <c r="AL52" s="202"/>
      <c r="AM52" s="86"/>
      <c r="AN52" s="86"/>
      <c r="AO52" s="86"/>
      <c r="AP52" s="86"/>
      <c r="AQ52" s="86"/>
      <c r="AR52" s="86"/>
      <c r="AS52" s="86"/>
      <c r="AT52" s="86"/>
      <c r="AU52" s="86"/>
      <c r="AV52" s="86"/>
      <c r="AW52" s="86"/>
      <c r="AX52" s="86"/>
      <c r="AY52" s="86"/>
      <c r="AZ52" s="86"/>
      <c r="BA52" s="86"/>
      <c r="BB52" s="86"/>
      <c r="BC52" s="86"/>
      <c r="BD52" s="86"/>
      <c r="BE52" s="86"/>
      <c r="BF52" s="86"/>
      <c r="BG52" s="86"/>
      <c r="BH52" s="86"/>
      <c r="BI52" s="86"/>
      <c r="BJ52" s="86"/>
      <c r="BK52" s="86"/>
      <c r="BL52" s="86"/>
      <c r="BM52" s="86"/>
      <c r="BN52" s="86"/>
      <c r="BO52" s="86"/>
    </row>
    <row r="53" spans="7:67" s="227" customFormat="1" x14ac:dyDescent="0.3">
      <c r="G53" s="202"/>
      <c r="H53" s="86"/>
      <c r="I53" s="86"/>
      <c r="J53" s="86"/>
      <c r="K53" s="86"/>
      <c r="L53" s="86"/>
      <c r="M53" s="199"/>
      <c r="N53" s="86"/>
      <c r="O53" s="86"/>
      <c r="P53" s="86"/>
      <c r="Q53" s="225"/>
      <c r="R53" s="86"/>
      <c r="S53" s="86"/>
      <c r="T53" s="239"/>
      <c r="U53" s="86"/>
      <c r="V53" s="202"/>
      <c r="W53" s="86"/>
      <c r="X53" s="86"/>
      <c r="Y53" s="86"/>
      <c r="Z53" s="86"/>
      <c r="AA53" s="86"/>
      <c r="AB53" s="86"/>
      <c r="AC53" s="86"/>
      <c r="AD53" s="86"/>
      <c r="AE53" s="86"/>
      <c r="AF53" s="86"/>
      <c r="AG53" s="86"/>
      <c r="AH53" s="86"/>
      <c r="AI53" s="86"/>
      <c r="AJ53" s="202"/>
      <c r="AK53" s="202"/>
      <c r="AL53" s="202"/>
      <c r="AM53" s="86"/>
      <c r="AN53" s="86"/>
      <c r="AO53" s="86"/>
      <c r="AP53" s="86"/>
      <c r="AQ53" s="86"/>
      <c r="AR53" s="86"/>
      <c r="AS53" s="86"/>
      <c r="AT53" s="86"/>
      <c r="AU53" s="86"/>
      <c r="AV53" s="86"/>
      <c r="AW53" s="86"/>
      <c r="AX53" s="86"/>
      <c r="AY53" s="86"/>
      <c r="AZ53" s="86"/>
      <c r="BA53" s="86"/>
      <c r="BB53" s="86"/>
      <c r="BC53" s="86"/>
      <c r="BD53" s="86"/>
      <c r="BE53" s="86"/>
      <c r="BF53" s="86"/>
      <c r="BG53" s="86"/>
      <c r="BH53" s="86"/>
      <c r="BI53" s="86"/>
      <c r="BJ53" s="86"/>
      <c r="BK53" s="86"/>
      <c r="BL53" s="86"/>
      <c r="BM53" s="86"/>
      <c r="BN53" s="86"/>
      <c r="BO53" s="86"/>
    </row>
    <row r="54" spans="7:67" s="227" customFormat="1" x14ac:dyDescent="0.3">
      <c r="G54" s="202"/>
      <c r="H54" s="86"/>
      <c r="I54" s="86"/>
      <c r="J54" s="86"/>
      <c r="K54" s="86"/>
      <c r="L54" s="86"/>
      <c r="M54" s="199"/>
      <c r="N54" s="86"/>
      <c r="O54" s="86"/>
      <c r="P54" s="86"/>
      <c r="Q54" s="225"/>
      <c r="R54" s="86"/>
      <c r="S54" s="86"/>
      <c r="T54" s="239"/>
      <c r="U54" s="86"/>
      <c r="V54" s="202"/>
      <c r="W54" s="86"/>
      <c r="X54" s="86"/>
      <c r="Y54" s="86"/>
      <c r="Z54" s="86"/>
      <c r="AA54" s="86"/>
      <c r="AB54" s="86"/>
      <c r="AC54" s="86"/>
      <c r="AD54" s="86"/>
      <c r="AE54" s="86"/>
      <c r="AF54" s="86"/>
      <c r="AG54" s="86"/>
      <c r="AH54" s="86"/>
      <c r="AI54" s="86"/>
      <c r="AJ54" s="202"/>
      <c r="AK54" s="202"/>
      <c r="AL54" s="202"/>
      <c r="AM54" s="86"/>
      <c r="AN54" s="86"/>
      <c r="AO54" s="86"/>
      <c r="AP54" s="86"/>
      <c r="AQ54" s="86"/>
      <c r="AR54" s="86"/>
      <c r="AS54" s="86"/>
      <c r="AT54" s="86"/>
      <c r="AU54" s="86"/>
      <c r="AV54" s="86"/>
      <c r="AW54" s="86"/>
      <c r="AX54" s="86"/>
      <c r="AY54" s="86"/>
      <c r="AZ54" s="86"/>
      <c r="BA54" s="86"/>
      <c r="BB54" s="86"/>
      <c r="BC54" s="86"/>
      <c r="BD54" s="86"/>
      <c r="BE54" s="86"/>
      <c r="BF54" s="86"/>
      <c r="BG54" s="86"/>
      <c r="BH54" s="86"/>
      <c r="BI54" s="86"/>
      <c r="BJ54" s="86"/>
      <c r="BK54" s="86"/>
      <c r="BL54" s="86"/>
      <c r="BM54" s="86"/>
      <c r="BN54" s="86"/>
      <c r="BO54" s="86"/>
    </row>
    <row r="55" spans="7:67" s="227" customFormat="1" x14ac:dyDescent="0.3">
      <c r="G55" s="202"/>
      <c r="H55" s="86"/>
      <c r="I55" s="86"/>
      <c r="J55" s="86"/>
      <c r="K55" s="86"/>
      <c r="L55" s="86"/>
      <c r="M55" s="199"/>
      <c r="N55" s="86"/>
      <c r="O55" s="86"/>
      <c r="P55" s="86"/>
      <c r="Q55" s="225"/>
      <c r="R55" s="86"/>
      <c r="S55" s="86"/>
      <c r="T55" s="239"/>
      <c r="U55" s="86"/>
      <c r="V55" s="202"/>
      <c r="W55" s="86"/>
      <c r="X55" s="86"/>
      <c r="Y55" s="86"/>
      <c r="Z55" s="86"/>
      <c r="AA55" s="86"/>
      <c r="AB55" s="86"/>
      <c r="AC55" s="86"/>
      <c r="AD55" s="86"/>
      <c r="AE55" s="86"/>
      <c r="AF55" s="86"/>
      <c r="AG55" s="86"/>
      <c r="AH55" s="86"/>
      <c r="AI55" s="86"/>
      <c r="AJ55" s="202"/>
      <c r="AK55" s="202"/>
      <c r="AL55" s="202"/>
      <c r="AM55" s="86"/>
      <c r="AN55" s="86"/>
      <c r="AO55" s="86"/>
      <c r="AP55" s="86"/>
      <c r="AQ55" s="86"/>
      <c r="AR55" s="86"/>
      <c r="AS55" s="86"/>
      <c r="AT55" s="86"/>
      <c r="AU55" s="86"/>
      <c r="AV55" s="86"/>
      <c r="AW55" s="86"/>
      <c r="AX55" s="86"/>
      <c r="AY55" s="86"/>
      <c r="AZ55" s="86"/>
      <c r="BA55" s="86"/>
      <c r="BB55" s="86"/>
      <c r="BC55" s="86"/>
      <c r="BD55" s="86"/>
      <c r="BE55" s="86"/>
      <c r="BF55" s="86"/>
      <c r="BG55" s="86"/>
      <c r="BH55" s="86"/>
      <c r="BI55" s="86"/>
      <c r="BJ55" s="86"/>
      <c r="BK55" s="86"/>
      <c r="BL55" s="86"/>
      <c r="BM55" s="86"/>
      <c r="BN55" s="86"/>
      <c r="BO55" s="86"/>
    </row>
    <row r="56" spans="7:67" s="227" customFormat="1" x14ac:dyDescent="0.3">
      <c r="G56" s="202"/>
      <c r="H56" s="86"/>
      <c r="I56" s="86"/>
      <c r="J56" s="86"/>
      <c r="K56" s="86"/>
      <c r="L56" s="86"/>
      <c r="M56" s="199"/>
      <c r="N56" s="86"/>
      <c r="O56" s="86"/>
      <c r="P56" s="86"/>
      <c r="Q56" s="225"/>
      <c r="R56" s="86"/>
      <c r="S56" s="86"/>
      <c r="T56" s="239"/>
      <c r="U56" s="86"/>
      <c r="V56" s="202"/>
      <c r="W56" s="86"/>
      <c r="X56" s="86"/>
      <c r="Y56" s="86"/>
      <c r="Z56" s="86"/>
      <c r="AA56" s="86"/>
      <c r="AB56" s="86"/>
      <c r="AC56" s="86"/>
      <c r="AD56" s="86"/>
      <c r="AE56" s="86"/>
      <c r="AF56" s="86"/>
      <c r="AG56" s="86"/>
      <c r="AH56" s="86"/>
      <c r="AI56" s="86"/>
      <c r="AJ56" s="202"/>
      <c r="AK56" s="202"/>
      <c r="AL56" s="202"/>
      <c r="AM56" s="86"/>
      <c r="AN56" s="86"/>
      <c r="AO56" s="86"/>
      <c r="AP56" s="86"/>
      <c r="AQ56" s="86"/>
      <c r="AR56" s="86"/>
      <c r="AS56" s="86"/>
      <c r="AT56" s="86"/>
      <c r="AU56" s="86"/>
      <c r="AV56" s="86"/>
      <c r="AW56" s="86"/>
      <c r="AX56" s="86"/>
      <c r="AY56" s="86"/>
      <c r="AZ56" s="86"/>
      <c r="BA56" s="86"/>
      <c r="BB56" s="86"/>
      <c r="BC56" s="86"/>
      <c r="BD56" s="86"/>
      <c r="BE56" s="86"/>
      <c r="BF56" s="86"/>
      <c r="BG56" s="86"/>
      <c r="BH56" s="86"/>
      <c r="BI56" s="86"/>
      <c r="BJ56" s="86"/>
      <c r="BK56" s="86"/>
      <c r="BL56" s="86"/>
      <c r="BM56" s="86"/>
      <c r="BN56" s="86"/>
      <c r="BO56" s="86"/>
    </row>
    <row r="57" spans="7:67" s="227" customFormat="1" x14ac:dyDescent="0.3">
      <c r="G57" s="202"/>
      <c r="H57" s="86"/>
      <c r="I57" s="86"/>
      <c r="J57" s="86"/>
      <c r="K57" s="86"/>
      <c r="L57" s="86"/>
      <c r="M57" s="199"/>
      <c r="N57" s="86"/>
      <c r="O57" s="86"/>
      <c r="P57" s="86"/>
      <c r="Q57" s="225"/>
      <c r="R57" s="86"/>
      <c r="S57" s="86"/>
      <c r="T57" s="239"/>
      <c r="U57" s="86"/>
      <c r="V57" s="202"/>
      <c r="W57" s="86"/>
      <c r="X57" s="86"/>
      <c r="Y57" s="86"/>
      <c r="Z57" s="86"/>
      <c r="AA57" s="86"/>
      <c r="AB57" s="86"/>
      <c r="AC57" s="86"/>
      <c r="AD57" s="86"/>
      <c r="AE57" s="86"/>
      <c r="AF57" s="86"/>
      <c r="AG57" s="86"/>
      <c r="AH57" s="86"/>
      <c r="AI57" s="86"/>
      <c r="AJ57" s="202"/>
      <c r="AK57" s="202"/>
      <c r="AL57" s="202"/>
      <c r="AM57" s="86"/>
      <c r="AN57" s="86"/>
      <c r="AO57" s="86"/>
      <c r="AP57" s="86"/>
      <c r="AQ57" s="86"/>
      <c r="AR57" s="86"/>
      <c r="AS57" s="86"/>
      <c r="AT57" s="86"/>
      <c r="AU57" s="86"/>
      <c r="AV57" s="86"/>
      <c r="AW57" s="86"/>
      <c r="AX57" s="86"/>
      <c r="AY57" s="86"/>
      <c r="AZ57" s="86"/>
      <c r="BA57" s="86"/>
      <c r="BB57" s="86"/>
      <c r="BC57" s="86"/>
      <c r="BD57" s="86"/>
      <c r="BE57" s="86"/>
      <c r="BF57" s="86"/>
      <c r="BG57" s="86"/>
      <c r="BH57" s="86"/>
      <c r="BI57" s="86"/>
      <c r="BJ57" s="86"/>
      <c r="BK57" s="86"/>
      <c r="BL57" s="86"/>
      <c r="BM57" s="86"/>
      <c r="BN57" s="86"/>
      <c r="BO57" s="86"/>
    </row>
    <row r="58" spans="7:67" s="227" customFormat="1" x14ac:dyDescent="0.3">
      <c r="G58" s="202"/>
      <c r="H58" s="86"/>
      <c r="I58" s="86"/>
      <c r="J58" s="86"/>
      <c r="K58" s="86"/>
      <c r="L58" s="86"/>
      <c r="M58" s="199"/>
      <c r="N58" s="86"/>
      <c r="O58" s="86"/>
      <c r="P58" s="86"/>
      <c r="Q58" s="225"/>
      <c r="R58" s="86"/>
      <c r="S58" s="86"/>
      <c r="T58" s="239"/>
      <c r="U58" s="86"/>
      <c r="V58" s="202"/>
      <c r="W58" s="86"/>
      <c r="X58" s="86"/>
      <c r="Y58" s="86"/>
      <c r="Z58" s="86"/>
      <c r="AA58" s="86"/>
      <c r="AB58" s="86"/>
      <c r="AC58" s="86"/>
      <c r="AD58" s="86"/>
      <c r="AE58" s="86"/>
      <c r="AF58" s="86"/>
      <c r="AG58" s="86"/>
      <c r="AH58" s="86"/>
      <c r="AI58" s="86"/>
      <c r="AJ58" s="202"/>
      <c r="AK58" s="202"/>
      <c r="AL58" s="202"/>
      <c r="AM58" s="86"/>
      <c r="AN58" s="86"/>
      <c r="AO58" s="86"/>
      <c r="AP58" s="86"/>
      <c r="AQ58" s="86"/>
      <c r="AR58" s="86"/>
      <c r="AS58" s="86"/>
      <c r="AT58" s="86"/>
      <c r="AU58" s="86"/>
      <c r="AV58" s="86"/>
      <c r="AW58" s="86"/>
      <c r="AX58" s="86"/>
      <c r="AY58" s="86"/>
      <c r="AZ58" s="86"/>
      <c r="BA58" s="86"/>
      <c r="BB58" s="86"/>
      <c r="BC58" s="86"/>
      <c r="BD58" s="86"/>
      <c r="BE58" s="86"/>
      <c r="BF58" s="86"/>
      <c r="BG58" s="86"/>
      <c r="BH58" s="86"/>
      <c r="BI58" s="86"/>
      <c r="BJ58" s="86"/>
      <c r="BK58" s="86"/>
      <c r="BL58" s="86"/>
      <c r="BM58" s="86"/>
      <c r="BN58" s="86"/>
      <c r="BO58" s="86"/>
    </row>
    <row r="59" spans="7:67" s="227" customFormat="1" x14ac:dyDescent="0.3">
      <c r="G59" s="202"/>
      <c r="H59" s="86"/>
      <c r="I59" s="86"/>
      <c r="J59" s="86"/>
      <c r="K59" s="86"/>
      <c r="L59" s="86"/>
      <c r="M59" s="199"/>
      <c r="N59" s="86"/>
      <c r="O59" s="86"/>
      <c r="P59" s="86"/>
      <c r="Q59" s="225"/>
      <c r="R59" s="86"/>
      <c r="S59" s="86"/>
      <c r="T59" s="239"/>
      <c r="U59" s="86"/>
      <c r="V59" s="202"/>
      <c r="W59" s="86"/>
      <c r="X59" s="86"/>
      <c r="Y59" s="86"/>
      <c r="Z59" s="86"/>
      <c r="AA59" s="86"/>
      <c r="AB59" s="86"/>
      <c r="AC59" s="86"/>
      <c r="AD59" s="86"/>
      <c r="AE59" s="86"/>
      <c r="AF59" s="86"/>
      <c r="AG59" s="86"/>
      <c r="AH59" s="86"/>
      <c r="AI59" s="86"/>
      <c r="AJ59" s="202"/>
      <c r="AK59" s="202"/>
      <c r="AL59" s="202"/>
      <c r="AM59" s="86"/>
      <c r="AN59" s="86"/>
      <c r="AO59" s="86"/>
      <c r="AP59" s="86"/>
      <c r="AQ59" s="86"/>
      <c r="AR59" s="86"/>
      <c r="AS59" s="86"/>
      <c r="AT59" s="86"/>
      <c r="AU59" s="86"/>
      <c r="AV59" s="86"/>
      <c r="AW59" s="86"/>
      <c r="AX59" s="86"/>
      <c r="AY59" s="86"/>
      <c r="AZ59" s="86"/>
      <c r="BA59" s="86"/>
      <c r="BB59" s="86"/>
      <c r="BC59" s="86"/>
      <c r="BD59" s="86"/>
      <c r="BE59" s="86"/>
      <c r="BF59" s="86"/>
      <c r="BG59" s="86"/>
      <c r="BH59" s="86"/>
      <c r="BI59" s="86"/>
      <c r="BJ59" s="86"/>
      <c r="BK59" s="86"/>
      <c r="BL59" s="86"/>
      <c r="BM59" s="86"/>
      <c r="BN59" s="86"/>
      <c r="BO59" s="86"/>
    </row>
    <row r="60" spans="7:67" x14ac:dyDescent="0.3">
      <c r="T60" s="107"/>
    </row>
    <row r="61" spans="7:67" x14ac:dyDescent="0.3">
      <c r="T61" s="107"/>
    </row>
    <row r="62" spans="7:67" x14ac:dyDescent="0.3">
      <c r="T62" s="107"/>
    </row>
    <row r="63" spans="7:67" x14ac:dyDescent="0.3">
      <c r="T63" s="107"/>
    </row>
    <row r="64" spans="7:67" x14ac:dyDescent="0.3">
      <c r="T64" s="107"/>
    </row>
    <row r="65" spans="20:20" x14ac:dyDescent="0.3">
      <c r="T65" s="107"/>
    </row>
    <row r="66" spans="20:20" x14ac:dyDescent="0.3">
      <c r="T66" s="107"/>
    </row>
  </sheetData>
  <pageMargins left="0.7" right="0.7" top="0.75" bottom="0.75" header="0.3" footer="0.3"/>
  <pageSetup orientation="portrait" r:id="rId1"/>
  <headerFooter>
    <oddFooter>&amp;L&amp;F&amp;C&amp;A&amp;R&amp;D&amp;T</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2B1093-00FC-4DFF-AF9A-682EEBD7402C}">
  <sheetPr>
    <tabColor rgb="FFFFC000"/>
  </sheetPr>
  <dimension ref="B2:CQ66"/>
  <sheetViews>
    <sheetView zoomScale="80" zoomScaleNormal="80" workbookViewId="0"/>
  </sheetViews>
  <sheetFormatPr defaultColWidth="14.33203125" defaultRowHeight="14.4" x14ac:dyDescent="0.3"/>
  <cols>
    <col min="1" max="1" width="4.33203125" style="75" customWidth="1"/>
    <col min="2" max="6" width="14.33203125" style="75"/>
    <col min="7" max="7" width="14.33203125" style="80"/>
    <col min="8" max="12" width="14.33203125" style="79"/>
    <col min="13" max="13" width="15.109375" style="78" bestFit="1" customWidth="1"/>
    <col min="14" max="16" width="14.33203125" style="79"/>
    <col min="17" max="17" width="14.33203125" style="81"/>
    <col min="18" max="21" width="14.33203125" style="79"/>
    <col min="22" max="22" width="14.33203125" style="80"/>
    <col min="23" max="35" width="14.33203125" style="79"/>
    <col min="36" max="36" width="14.33203125" style="80"/>
    <col min="37" max="37" width="16.33203125" style="80" bestFit="1" customWidth="1"/>
    <col min="38" max="38" width="14.33203125" style="80"/>
    <col min="39" max="67" width="14.33203125" style="79"/>
    <col min="68" max="16384" width="14.33203125" style="75"/>
  </cols>
  <sheetData>
    <row r="2" spans="2:95" x14ac:dyDescent="0.3">
      <c r="Y2" s="82" t="s">
        <v>90</v>
      </c>
      <c r="Z2" s="83"/>
      <c r="AA2" s="83"/>
      <c r="AB2" s="84"/>
      <c r="AE2" s="82" t="s">
        <v>91</v>
      </c>
      <c r="AF2" s="85"/>
      <c r="AG2" s="86"/>
      <c r="AJ2" s="82" t="s">
        <v>153</v>
      </c>
      <c r="AK2" s="85"/>
      <c r="AN2" s="82" t="s">
        <v>92</v>
      </c>
      <c r="AO2" s="83"/>
      <c r="AP2" s="83"/>
      <c r="AQ2" s="84"/>
      <c r="AS2" s="82" t="s">
        <v>93</v>
      </c>
      <c r="AT2" s="84"/>
    </row>
    <row r="3" spans="2:95" s="87" customFormat="1" ht="28.8" x14ac:dyDescent="0.3">
      <c r="F3" s="88" t="s">
        <v>94</v>
      </c>
      <c r="G3" s="92"/>
      <c r="H3" s="90" t="s">
        <v>736</v>
      </c>
      <c r="I3" s="90" t="s">
        <v>750</v>
      </c>
      <c r="J3" s="90" t="s">
        <v>96</v>
      </c>
      <c r="K3" s="93"/>
      <c r="L3" s="94"/>
      <c r="M3" s="95"/>
      <c r="N3" s="94"/>
      <c r="O3" s="94"/>
      <c r="P3" s="96"/>
      <c r="Q3" s="90" t="s">
        <v>97</v>
      </c>
      <c r="R3" s="96"/>
      <c r="S3" s="91"/>
      <c r="T3" s="91"/>
      <c r="U3" s="91"/>
      <c r="V3" s="92"/>
      <c r="W3" s="91"/>
      <c r="X3" s="91"/>
      <c r="Y3" s="97" t="s">
        <v>38</v>
      </c>
      <c r="Z3" s="97" t="s">
        <v>222</v>
      </c>
      <c r="AA3" s="97" t="s">
        <v>98</v>
      </c>
      <c r="AB3" s="97" t="s">
        <v>223</v>
      </c>
      <c r="AD3" s="91"/>
      <c r="AE3" s="98" t="s">
        <v>38</v>
      </c>
      <c r="AF3" s="98" t="s">
        <v>222</v>
      </c>
      <c r="AG3" s="91"/>
      <c r="AH3" s="79"/>
      <c r="AI3" s="79"/>
      <c r="AJ3" s="97" t="s">
        <v>151</v>
      </c>
      <c r="AK3" s="97" t="s">
        <v>152</v>
      </c>
      <c r="AN3" s="97" t="s">
        <v>98</v>
      </c>
      <c r="AO3" s="97" t="s">
        <v>99</v>
      </c>
      <c r="AP3" s="97" t="s">
        <v>38</v>
      </c>
      <c r="AQ3" s="97" t="s">
        <v>222</v>
      </c>
      <c r="AR3" s="91"/>
      <c r="AS3" s="97" t="s">
        <v>38</v>
      </c>
      <c r="AT3" s="97" t="s">
        <v>222</v>
      </c>
      <c r="AU3" s="97" t="s">
        <v>100</v>
      </c>
      <c r="AV3" s="88" t="s">
        <v>101</v>
      </c>
      <c r="AW3" s="91"/>
      <c r="AX3" s="91"/>
      <c r="AY3" s="91"/>
      <c r="AZ3" s="91"/>
      <c r="BA3" s="91"/>
      <c r="BB3" s="91"/>
      <c r="BC3" s="91"/>
      <c r="BD3" s="91"/>
      <c r="BE3" s="91"/>
      <c r="BF3" s="91"/>
      <c r="BG3" s="91"/>
      <c r="BH3" s="91"/>
      <c r="BI3" s="91"/>
      <c r="BJ3" s="91"/>
      <c r="BK3" s="91"/>
      <c r="BL3" s="91"/>
      <c r="BM3" s="91"/>
      <c r="BN3" s="91"/>
      <c r="BO3" s="91"/>
    </row>
    <row r="4" spans="2:95" x14ac:dyDescent="0.3">
      <c r="F4" s="99">
        <f t="array" ref="F4">MAX(($F$12:$F$44&gt;0)*($B$12:$B$44))</f>
        <v>25</v>
      </c>
      <c r="H4" s="101">
        <f>AVERAGEIF(H12:H44,"&gt;0")</f>
        <v>191453.09590392758</v>
      </c>
      <c r="I4" s="101">
        <f>AVERAGEIF(I12:I44,"&gt;0")</f>
        <v>191453.09590392758</v>
      </c>
      <c r="J4" s="100">
        <f>AVERAGEIF(J12:J44,"&gt;0")</f>
        <v>1</v>
      </c>
      <c r="Q4" s="100">
        <f>AVERAGEIF(Q12:Q44,"&gt;0")</f>
        <v>0.58081284536624744</v>
      </c>
      <c r="Y4" s="103">
        <f>IRR(AF11:AF44)</f>
        <v>0.30955587235800763</v>
      </c>
      <c r="Z4" s="104">
        <f>NPV(Y4,AF11:AF44)</f>
        <v>1.6501250808123517E-9</v>
      </c>
      <c r="AA4" s="103">
        <f>XIRR(AG11:AG44,E11:E44,1)</f>
        <v>0.30935544520616531</v>
      </c>
      <c r="AB4" s="101">
        <f>XNPV(AA4,AG11:AG44,E11:E44)</f>
        <v>-9.1308248787811408E-3</v>
      </c>
      <c r="AE4" s="103">
        <f>IRR(AE11:AE44)</f>
        <v>0.39181952197168002</v>
      </c>
      <c r="AF4" s="105">
        <f>NPV(AE4,AE11:AE44)</f>
        <v>-1.5054023787805561E-10</v>
      </c>
      <c r="AJ4" s="106">
        <f>AVERAGEIF(AM12:AM44,"&gt;0")</f>
        <v>2.2392523938132531</v>
      </c>
      <c r="AK4" s="106">
        <f t="array" ref="AK4">MIN(IF(AM12:AM44&lt;&gt;0,AM12:AM44))</f>
        <v>2.1307208881802189</v>
      </c>
      <c r="AN4" s="103">
        <f>XIRR(AP11:AP44,D11:D44,1)</f>
        <v>0.5929754450917244</v>
      </c>
      <c r="AO4" s="106">
        <f>XNPV(AN4,AP11:AP44,D11:D44)</f>
        <v>7.3425076489175289E-4</v>
      </c>
      <c r="AP4" s="103">
        <f>IFERROR(IRR(AP11:AP44),"NEG IRR")</f>
        <v>0.59319828331326141</v>
      </c>
      <c r="AQ4" s="105">
        <f>NPV(AP4,AP11:AP44)</f>
        <v>-4.7978382911059901E-11</v>
      </c>
      <c r="AS4" s="103">
        <f>IRR(AO11:AO44)</f>
        <v>0.85127182153483139</v>
      </c>
      <c r="AT4" s="105">
        <f>NPV(AS4,AO11:AO44)</f>
        <v>2.922128922081999E-9</v>
      </c>
      <c r="AU4" s="105">
        <f>IFERROR(MATCH(1,$AU$12:$AU$44,0),"NONE")</f>
        <v>2</v>
      </c>
      <c r="AV4" s="99">
        <f t="array" ref="AV4">MAX(($AV$12:$AV$44&gt;0)*($B$12:$B$44))</f>
        <v>25</v>
      </c>
    </row>
    <row r="6" spans="2:95" x14ac:dyDescent="0.3">
      <c r="G6" s="112"/>
      <c r="H6" s="111"/>
      <c r="T6" s="113"/>
      <c r="V6" s="114"/>
    </row>
    <row r="7" spans="2:95" x14ac:dyDescent="0.3">
      <c r="G7" s="117" t="s">
        <v>103</v>
      </c>
      <c r="H7" s="761"/>
      <c r="I7" s="117" t="s">
        <v>105</v>
      </c>
      <c r="J7" s="118"/>
      <c r="K7" s="105" t="s">
        <v>106</v>
      </c>
      <c r="L7" s="105" t="s">
        <v>107</v>
      </c>
      <c r="M7" s="119" t="s">
        <v>108</v>
      </c>
      <c r="N7" s="105" t="s">
        <v>109</v>
      </c>
      <c r="O7" s="120" t="s">
        <v>110</v>
      </c>
      <c r="P7" s="121" t="s">
        <v>111</v>
      </c>
      <c r="Q7" s="123"/>
      <c r="T7" s="425" t="s">
        <v>112</v>
      </c>
      <c r="U7" s="427"/>
      <c r="V7" s="430" t="s">
        <v>13</v>
      </c>
      <c r="W7" s="431"/>
      <c r="X7" s="432"/>
      <c r="Y7" s="124" t="s">
        <v>113</v>
      </c>
      <c r="Z7" s="83"/>
      <c r="AA7" s="83"/>
      <c r="AB7" s="83"/>
      <c r="AC7" s="125" t="s">
        <v>114</v>
      </c>
      <c r="AD7" s="127" t="s">
        <v>110</v>
      </c>
      <c r="AE7" s="128" t="s">
        <v>115</v>
      </c>
      <c r="AF7" s="126"/>
      <c r="AG7" s="105" t="s">
        <v>116</v>
      </c>
      <c r="AH7" s="129" t="s">
        <v>117</v>
      </c>
      <c r="AI7" s="130"/>
      <c r="AJ7" s="131"/>
      <c r="AK7" s="131"/>
      <c r="AL7" s="131"/>
      <c r="AM7" s="132"/>
      <c r="AN7" s="133" t="s">
        <v>118</v>
      </c>
      <c r="AO7" s="133"/>
      <c r="AP7" s="134"/>
      <c r="AQ7" s="126"/>
      <c r="AR7" s="126"/>
      <c r="AS7" s="126"/>
      <c r="AT7" s="126"/>
      <c r="AU7" s="126"/>
      <c r="AV7" s="127"/>
      <c r="BI7" s="135"/>
      <c r="BS7" s="136"/>
      <c r="CD7" s="136"/>
      <c r="CJ7" s="136"/>
      <c r="CQ7" s="136"/>
    </row>
    <row r="8" spans="2:95" s="163" customFormat="1" ht="43.2" x14ac:dyDescent="0.3">
      <c r="B8" s="34" t="s">
        <v>51</v>
      </c>
      <c r="C8" s="137" t="s">
        <v>52</v>
      </c>
      <c r="D8" s="36" t="s">
        <v>56</v>
      </c>
      <c r="E8" s="138" t="s">
        <v>57</v>
      </c>
      <c r="F8" s="449" t="s">
        <v>119</v>
      </c>
      <c r="G8" s="593" t="s">
        <v>120</v>
      </c>
      <c r="H8" s="147" t="s">
        <v>121</v>
      </c>
      <c r="I8" s="142" t="s">
        <v>105</v>
      </c>
      <c r="J8" s="144" t="s">
        <v>123</v>
      </c>
      <c r="K8" s="139" t="s">
        <v>124</v>
      </c>
      <c r="L8" s="139" t="s">
        <v>107</v>
      </c>
      <c r="M8" s="146" t="s">
        <v>125</v>
      </c>
      <c r="N8" s="147" t="s">
        <v>126</v>
      </c>
      <c r="O8" s="147" t="s">
        <v>110</v>
      </c>
      <c r="P8" s="148" t="s">
        <v>111</v>
      </c>
      <c r="Q8" s="149" t="s">
        <v>127</v>
      </c>
      <c r="R8" s="150"/>
      <c r="S8" s="150"/>
      <c r="T8" s="428" t="s">
        <v>128</v>
      </c>
      <c r="U8" s="156" t="s">
        <v>130</v>
      </c>
      <c r="V8" s="433" t="s">
        <v>215</v>
      </c>
      <c r="W8" s="429" t="s">
        <v>131</v>
      </c>
      <c r="X8" s="156" t="s">
        <v>132</v>
      </c>
      <c r="Y8" s="152" t="s">
        <v>133</v>
      </c>
      <c r="Z8" s="152" t="s">
        <v>134</v>
      </c>
      <c r="AA8" s="152" t="s">
        <v>131</v>
      </c>
      <c r="AB8" s="151" t="s">
        <v>135</v>
      </c>
      <c r="AC8" s="153" t="s">
        <v>136</v>
      </c>
      <c r="AD8" s="155" t="s">
        <v>137</v>
      </c>
      <c r="AE8" s="156" t="s">
        <v>138</v>
      </c>
      <c r="AF8" s="154" t="s">
        <v>139</v>
      </c>
      <c r="AG8" s="42" t="s">
        <v>116</v>
      </c>
      <c r="AH8" s="157" t="s">
        <v>140</v>
      </c>
      <c r="AI8" s="158" t="s">
        <v>141</v>
      </c>
      <c r="AJ8" s="159" t="s">
        <v>142</v>
      </c>
      <c r="AK8" s="159" t="s">
        <v>63</v>
      </c>
      <c r="AL8" s="159" t="s">
        <v>131</v>
      </c>
      <c r="AM8" s="160" t="s">
        <v>143</v>
      </c>
      <c r="AN8" s="152" t="s">
        <v>144</v>
      </c>
      <c r="AO8" s="152" t="s">
        <v>145</v>
      </c>
      <c r="AP8" s="41" t="s">
        <v>146</v>
      </c>
      <c r="AQ8" s="161" t="s">
        <v>147</v>
      </c>
      <c r="AR8" s="161" t="s">
        <v>64</v>
      </c>
      <c r="AS8" s="161" t="s">
        <v>65</v>
      </c>
      <c r="AT8" s="161" t="s">
        <v>148</v>
      </c>
      <c r="AU8" s="161" t="s">
        <v>100</v>
      </c>
      <c r="AV8" s="144" t="s">
        <v>149</v>
      </c>
      <c r="AW8" s="162"/>
      <c r="AX8" s="162"/>
      <c r="AY8" s="162"/>
      <c r="AZ8" s="162"/>
      <c r="BA8" s="162"/>
      <c r="BB8" s="162"/>
      <c r="BC8" s="162"/>
      <c r="BD8" s="162"/>
      <c r="BE8" s="162"/>
      <c r="BF8" s="162"/>
      <c r="BG8" s="162"/>
      <c r="BH8" s="162"/>
      <c r="BI8" s="102"/>
      <c r="BJ8" s="162"/>
      <c r="BK8" s="162"/>
      <c r="BL8" s="162"/>
      <c r="BM8" s="162"/>
      <c r="BN8" s="162"/>
      <c r="BO8" s="162"/>
      <c r="BS8" s="164"/>
      <c r="CD8" s="75"/>
      <c r="CJ8" s="75"/>
      <c r="CQ8" s="75"/>
    </row>
    <row r="9" spans="2:95" s="163" customFormat="1" x14ac:dyDescent="0.3">
      <c r="B9" s="165"/>
      <c r="C9" s="166"/>
      <c r="D9" s="167"/>
      <c r="E9" s="170"/>
      <c r="F9" s="171"/>
      <c r="G9" s="177">
        <f t="shared" ref="G9:I9" si="0">SUM(G12:G44)</f>
        <v>0</v>
      </c>
      <c r="H9" s="178">
        <f t="shared" si="0"/>
        <v>4786327.3975981893</v>
      </c>
      <c r="I9" s="176">
        <f t="shared" si="0"/>
        <v>4786327.3975981893</v>
      </c>
      <c r="J9" s="175"/>
      <c r="K9" s="178">
        <f t="shared" ref="K9:P9" si="1">SUM(K12:K44)</f>
        <v>488500</v>
      </c>
      <c r="L9" s="178">
        <f t="shared" si="1"/>
        <v>4297827.3975981893</v>
      </c>
      <c r="M9" s="178">
        <f t="shared" si="1"/>
        <v>326455.34809329017</v>
      </c>
      <c r="N9" s="178">
        <f t="shared" si="1"/>
        <v>3971372.0495049004</v>
      </c>
      <c r="O9" s="178">
        <f t="shared" si="1"/>
        <v>1191411.6148514708</v>
      </c>
      <c r="P9" s="176">
        <f t="shared" si="1"/>
        <v>2779960.4346534312</v>
      </c>
      <c r="Q9" s="179"/>
      <c r="R9" s="162"/>
      <c r="S9" s="162"/>
      <c r="T9" s="180">
        <f>SUM(T12:T44)</f>
        <v>4786327.3975981893</v>
      </c>
      <c r="U9" s="183">
        <f>SUM(U12:U44)</f>
        <v>4786327.3975981893</v>
      </c>
      <c r="V9" s="180">
        <f t="shared" ref="V9:AA9" si="2">SUM(V10:V44)</f>
        <v>488500</v>
      </c>
      <c r="W9" s="181">
        <f t="shared" si="2"/>
        <v>488500</v>
      </c>
      <c r="X9" s="183">
        <f t="shared" si="2"/>
        <v>4297827.3975981902</v>
      </c>
      <c r="Y9" s="102">
        <f t="shared" si="2"/>
        <v>146550</v>
      </c>
      <c r="Z9" s="102">
        <f t="shared" si="2"/>
        <v>341950</v>
      </c>
      <c r="AA9" s="102">
        <f t="shared" si="2"/>
        <v>488500</v>
      </c>
      <c r="AB9" s="176">
        <f t="shared" ref="AB9:AL9" si="3">SUM(AB12:AB44)</f>
        <v>4786327.3975981893</v>
      </c>
      <c r="AC9" s="180">
        <f>SUM(AC10:AC44)</f>
        <v>0</v>
      </c>
      <c r="AD9" s="182">
        <f>SUM(AD10:AD44)</f>
        <v>1191411.6148514708</v>
      </c>
      <c r="AE9" s="183">
        <f>SUM(AE12:AE44)</f>
        <v>4786327.3975981893</v>
      </c>
      <c r="AF9" s="183">
        <f>SUM(AF12:AF44)</f>
        <v>3594915.7827467206</v>
      </c>
      <c r="AG9" s="182">
        <f>SUM(AG12:AG44)</f>
        <v>3594915.7827467206</v>
      </c>
      <c r="AH9" s="180">
        <f t="shared" si="3"/>
        <v>2251416.1937468289</v>
      </c>
      <c r="AI9" s="181">
        <f t="shared" si="3"/>
        <v>1909466.1937468292</v>
      </c>
      <c r="AJ9" s="181">
        <f t="shared" si="3"/>
        <v>326455.34809329017</v>
      </c>
      <c r="AK9" s="181">
        <f t="shared" si="3"/>
        <v>341950</v>
      </c>
      <c r="AL9" s="181">
        <f t="shared" si="3"/>
        <v>668405.34809329011</v>
      </c>
      <c r="AM9" s="182"/>
      <c r="AN9" s="180">
        <f t="shared" ref="AN9:AS9" si="4">SUM(AN10:AN44)</f>
        <v>2926510.4346534312</v>
      </c>
      <c r="AO9" s="181">
        <f t="shared" si="4"/>
        <v>3971372.0495049004</v>
      </c>
      <c r="AP9" s="181">
        <f t="shared" si="4"/>
        <v>2779960.4346534316</v>
      </c>
      <c r="AQ9" s="181">
        <f t="shared" si="4"/>
        <v>0</v>
      </c>
      <c r="AR9" s="181">
        <f t="shared" si="4"/>
        <v>0</v>
      </c>
      <c r="AS9" s="181">
        <f t="shared" si="4"/>
        <v>0</v>
      </c>
      <c r="AT9" s="181"/>
      <c r="AU9" s="181"/>
      <c r="AV9" s="182">
        <f>SUM(AV11:AV44)</f>
        <v>-7.5713657565756876E-11</v>
      </c>
      <c r="AW9" s="162"/>
      <c r="AX9" s="162"/>
      <c r="AY9" s="162"/>
      <c r="AZ9" s="162"/>
      <c r="BA9" s="162"/>
      <c r="BB9" s="162"/>
      <c r="BC9" s="162"/>
      <c r="BD9" s="162"/>
      <c r="BE9" s="162"/>
      <c r="BF9" s="162"/>
      <c r="BG9" s="162"/>
      <c r="BH9" s="162"/>
      <c r="BI9" s="102"/>
      <c r="BJ9" s="162"/>
      <c r="BK9" s="162"/>
      <c r="BL9" s="162"/>
      <c r="BM9" s="162"/>
      <c r="BN9" s="162"/>
      <c r="BO9" s="162"/>
      <c r="BS9" s="164"/>
      <c r="CD9" s="75"/>
      <c r="CJ9" s="75"/>
      <c r="CQ9" s="75"/>
    </row>
    <row r="10" spans="2:95" s="163" customFormat="1" x14ac:dyDescent="0.3">
      <c r="B10" s="186"/>
      <c r="C10" s="187"/>
      <c r="D10" s="186"/>
      <c r="E10" s="169"/>
      <c r="F10" s="190"/>
      <c r="G10" s="194"/>
      <c r="H10" s="195"/>
      <c r="I10" s="192"/>
      <c r="J10" s="194"/>
      <c r="K10" s="195"/>
      <c r="L10" s="195"/>
      <c r="M10" s="195"/>
      <c r="N10" s="195"/>
      <c r="O10" s="195"/>
      <c r="P10" s="192"/>
      <c r="Q10" s="179"/>
      <c r="R10" s="162"/>
      <c r="S10" s="162"/>
      <c r="T10" s="196"/>
      <c r="U10" s="197"/>
      <c r="V10" s="196"/>
      <c r="W10" s="198"/>
      <c r="X10" s="197"/>
      <c r="Y10" s="162"/>
      <c r="Z10" s="162"/>
      <c r="AA10" s="79"/>
      <c r="AB10" s="196"/>
      <c r="AC10" s="196"/>
      <c r="AD10" s="200"/>
      <c r="AE10" s="197"/>
      <c r="AF10" s="200"/>
      <c r="AG10" s="200"/>
      <c r="AH10" s="196"/>
      <c r="AI10" s="86"/>
      <c r="AJ10" s="201"/>
      <c r="AK10" s="201"/>
      <c r="AL10" s="202"/>
      <c r="AM10" s="203"/>
      <c r="AN10" s="196"/>
      <c r="AO10" s="86"/>
      <c r="AP10" s="193"/>
      <c r="AQ10" s="86"/>
      <c r="AR10" s="86"/>
      <c r="AS10" s="86"/>
      <c r="AT10" s="86"/>
      <c r="AU10" s="86"/>
      <c r="AV10" s="175"/>
      <c r="AW10" s="162"/>
      <c r="AX10" s="162"/>
      <c r="AY10" s="162"/>
      <c r="AZ10" s="162"/>
      <c r="BA10" s="162"/>
      <c r="BB10" s="162"/>
      <c r="BC10" s="162"/>
      <c r="BD10" s="162"/>
      <c r="BE10" s="162"/>
      <c r="BF10" s="162"/>
      <c r="BG10" s="162"/>
      <c r="BH10" s="162"/>
      <c r="BI10" s="102"/>
      <c r="BJ10" s="162"/>
      <c r="BK10" s="162"/>
      <c r="BL10" s="162"/>
      <c r="BM10" s="162"/>
      <c r="BN10" s="162"/>
      <c r="BO10" s="162"/>
      <c r="BS10" s="164"/>
      <c r="CD10" s="75"/>
      <c r="CJ10" s="75"/>
      <c r="CQ10" s="75"/>
    </row>
    <row r="11" spans="2:95" s="163" customFormat="1" x14ac:dyDescent="0.3">
      <c r="B11" s="73">
        <v>0</v>
      </c>
      <c r="C11" s="74">
        <f>YEAR(D11)</f>
        <v>2021</v>
      </c>
      <c r="D11" s="205">
        <f>Fish_Inputs!G6</f>
        <v>44197</v>
      </c>
      <c r="E11" s="206">
        <f>EDATE(D11,12)-1</f>
        <v>44561</v>
      </c>
      <c r="F11" s="443">
        <v>0</v>
      </c>
      <c r="G11" s="207"/>
      <c r="H11" s="454"/>
      <c r="I11" s="176"/>
      <c r="J11" s="175"/>
      <c r="K11" s="190"/>
      <c r="L11" s="190"/>
      <c r="M11" s="208"/>
      <c r="N11" s="178"/>
      <c r="O11" s="178"/>
      <c r="P11" s="209"/>
      <c r="Q11" s="179"/>
      <c r="R11" s="162"/>
      <c r="S11" s="162"/>
      <c r="T11" s="196"/>
      <c r="U11" s="197"/>
      <c r="V11" s="680">
        <f>IF(B11=0,Tobacco_Retrofit!$C$29,0)</f>
        <v>488500</v>
      </c>
      <c r="W11" s="198">
        <f t="shared" ref="W11:W44" si="5">SUM(V11:V11)</f>
        <v>488500</v>
      </c>
      <c r="X11" s="197">
        <f t="shared" ref="X11:X44" si="6">U11-W11</f>
        <v>-488500</v>
      </c>
      <c r="Y11" s="681">
        <f>IF(B11=0,Tobacco_Retrofit!$G$15+Tobacco_Retrofit!$G$16,0)</f>
        <v>146550</v>
      </c>
      <c r="Z11" s="681">
        <f>IF(B11=0,Tobacco_Retrofit!$G$14,0)</f>
        <v>341950</v>
      </c>
      <c r="AA11" s="79">
        <f t="shared" ref="AA11:AA12" si="7">SUM(Y11:Z11)</f>
        <v>488500</v>
      </c>
      <c r="AB11" s="196">
        <f t="shared" ref="AB11:AB12" si="8">X11+AA11</f>
        <v>0</v>
      </c>
      <c r="AC11" s="682">
        <f>Tobacco_Retrofit!$G$20*AVERAGE(AR11,AS11)</f>
        <v>0</v>
      </c>
      <c r="AD11" s="231">
        <f>O11</f>
        <v>0</v>
      </c>
      <c r="AE11" s="210">
        <f>X11</f>
        <v>-488500</v>
      </c>
      <c r="AF11" s="211">
        <f>X11</f>
        <v>-488500</v>
      </c>
      <c r="AG11" s="211">
        <f>X11</f>
        <v>-488500</v>
      </c>
      <c r="AH11" s="212"/>
      <c r="AI11" s="290">
        <f>Tobacco_Retrofit!$G$14</f>
        <v>341950</v>
      </c>
      <c r="AJ11" s="201"/>
      <c r="AK11" s="201"/>
      <c r="AL11" s="202"/>
      <c r="AM11" s="203"/>
      <c r="AN11" s="196"/>
      <c r="AO11" s="683">
        <f>-Tobacco_Retrofit!G15</f>
        <v>-146550</v>
      </c>
      <c r="AP11" s="683">
        <f>-Tobacco_Retrofit!G15</f>
        <v>-146550</v>
      </c>
      <c r="AQ11" s="683">
        <f>AB11</f>
        <v>0</v>
      </c>
      <c r="AR11" s="86"/>
      <c r="AS11" s="683">
        <f t="shared" ref="AS11:AS12" si="9">AQ11+AR11</f>
        <v>0</v>
      </c>
      <c r="AT11" s="683">
        <f>-Tobacco_Retrofit!G15</f>
        <v>-146550</v>
      </c>
      <c r="AU11" s="86"/>
      <c r="AV11" s="214">
        <f>AP11/((1+$AP$4)^B11)</f>
        <v>-146550</v>
      </c>
      <c r="AW11" s="162"/>
      <c r="AX11" s="162"/>
      <c r="AY11" s="162"/>
      <c r="AZ11" s="162"/>
      <c r="BA11" s="162"/>
      <c r="BB11" s="162"/>
      <c r="BC11" s="162"/>
      <c r="BD11" s="162"/>
      <c r="BE11" s="162"/>
      <c r="BF11" s="162"/>
      <c r="BG11" s="162"/>
      <c r="BH11" s="162"/>
      <c r="BI11" s="102"/>
      <c r="BJ11" s="162"/>
      <c r="BK11" s="162"/>
      <c r="BL11" s="162"/>
      <c r="BM11" s="162"/>
      <c r="BN11" s="162"/>
      <c r="BO11" s="162"/>
      <c r="BS11" s="164"/>
      <c r="CD11" s="75"/>
      <c r="CJ11" s="75"/>
      <c r="CQ11" s="75"/>
    </row>
    <row r="12" spans="2:95" s="162" customFormat="1" x14ac:dyDescent="0.3">
      <c r="B12" s="184">
        <f>B11+1</f>
        <v>1</v>
      </c>
      <c r="C12" s="346">
        <f t="shared" ref="C12:C44" si="10">YEAR(D12)</f>
        <v>2022</v>
      </c>
      <c r="D12" s="347">
        <f>EDATE(D11,12)</f>
        <v>44562</v>
      </c>
      <c r="E12" s="440">
        <f>EDATE(E11,12)</f>
        <v>44926</v>
      </c>
      <c r="F12" s="732">
        <f>IF(AND(B12&gt;0,B12&lt;=Tobacco_Retrofit!$J$10),1,0)</f>
        <v>1</v>
      </c>
      <c r="G12" s="217">
        <f>AC11</f>
        <v>0</v>
      </c>
      <c r="H12" s="438">
        <f>(Tobacco_Retrofit!$M$22*F12)+IF(B12=Tobacco_Retrofit!$J$10,Tobacco_Retrofit!$J$12,0)</f>
        <v>191453.09590392769</v>
      </c>
      <c r="I12" s="122">
        <f>H12</f>
        <v>191453.09590392769</v>
      </c>
      <c r="J12" s="219">
        <f>IFERROR(I12/H12,0)</f>
        <v>1</v>
      </c>
      <c r="K12" s="220">
        <f>Deprec!U11</f>
        <v>19540</v>
      </c>
      <c r="L12" s="122">
        <f>I12-K12</f>
        <v>171913.09590392769</v>
      </c>
      <c r="M12" s="221">
        <f>AJ12</f>
        <v>49582.75</v>
      </c>
      <c r="N12" s="122">
        <f>L12-M12</f>
        <v>122330.34590392769</v>
      </c>
      <c r="O12" s="438">
        <f>IF(N12&lt;0,0,(N12*Tobacco_Retrofit!$J$7))</f>
        <v>36699.103771178306</v>
      </c>
      <c r="P12" s="122">
        <f>N12-O12</f>
        <v>85631.242132749379</v>
      </c>
      <c r="Q12" s="123">
        <f>IFERROR(P12/H12,0)</f>
        <v>0.44727008319426526</v>
      </c>
      <c r="R12" s="185"/>
      <c r="S12" s="185"/>
      <c r="T12" s="218">
        <f t="shared" ref="T12:T44" si="11">H12</f>
        <v>191453.09590392769</v>
      </c>
      <c r="U12" s="438">
        <f>T12</f>
        <v>191453.09590392769</v>
      </c>
      <c r="V12" s="218">
        <f>IF(B12=0,Tobacco_Retrofit!$C$29,0)</f>
        <v>0</v>
      </c>
      <c r="W12" s="435">
        <f t="shared" si="5"/>
        <v>0</v>
      </c>
      <c r="X12" s="438">
        <f t="shared" si="6"/>
        <v>191453.09590392769</v>
      </c>
      <c r="Y12" s="184">
        <f>IF(B12=0,Tobacco_Retrofit!$G$15+Tobacco_Retrofit!$G$16,0)</f>
        <v>0</v>
      </c>
      <c r="Z12" s="185">
        <f>IF(B12=0,Tobacco_Retrofit!$G$14,0)</f>
        <v>0</v>
      </c>
      <c r="AA12" s="132">
        <f t="shared" si="7"/>
        <v>0</v>
      </c>
      <c r="AB12" s="218">
        <f t="shared" si="8"/>
        <v>191453.09590392769</v>
      </c>
      <c r="AC12" s="218">
        <f>Tobacco_Retrofit!$G$20*AVERAGE(AR12,AS12)</f>
        <v>0</v>
      </c>
      <c r="AD12" s="132">
        <f>O12</f>
        <v>36699.103771178306</v>
      </c>
      <c r="AE12" s="132">
        <f>AG12+AD12-G12</f>
        <v>191453.09590392769</v>
      </c>
      <c r="AF12" s="122">
        <f>AG12-G12</f>
        <v>154753.99213274938</v>
      </c>
      <c r="AG12" s="438">
        <f t="shared" ref="AG12" si="12">AB12-AD12</f>
        <v>154753.99213274938</v>
      </c>
      <c r="AH12" s="122">
        <f>AI11</f>
        <v>341950</v>
      </c>
      <c r="AI12" s="122">
        <f>AH12-AK12</f>
        <v>324692.21519067098</v>
      </c>
      <c r="AJ12" s="122">
        <f>-Debt_Calc!BU10</f>
        <v>49582.75</v>
      </c>
      <c r="AK12" s="122">
        <f>Debt_Calc!BV10</f>
        <v>17257.784809329009</v>
      </c>
      <c r="AL12" s="122">
        <f t="shared" ref="AL12" si="13">SUM(AJ12:AK12)</f>
        <v>66840.534809329009</v>
      </c>
      <c r="AM12" s="217">
        <f>IFERROR(AG12/AL12,0)</f>
        <v>2.3152716023922388</v>
      </c>
      <c r="AN12" s="122">
        <f>AG12-AL12</f>
        <v>87913.457323420371</v>
      </c>
      <c r="AO12" s="122">
        <f t="shared" ref="AO12" si="14">AN12+AD12</f>
        <v>124612.56109459867</v>
      </c>
      <c r="AP12" s="122">
        <f>AN12+AR12</f>
        <v>87913.457323420371</v>
      </c>
      <c r="AQ12" s="122">
        <f t="shared" ref="AQ12" si="15">AN12-AP12</f>
        <v>0</v>
      </c>
      <c r="AR12" s="122">
        <f t="shared" ref="AR12" si="16">AS11</f>
        <v>0</v>
      </c>
      <c r="AS12" s="122">
        <f t="shared" si="9"/>
        <v>0</v>
      </c>
      <c r="AT12" s="122">
        <f t="shared" ref="AT12" si="17">AP12+AT11</f>
        <v>-58636.542676579629</v>
      </c>
      <c r="AU12" s="122">
        <f>IF(AU11&gt;=1,2,IF(AT12&gt;0,1,0))</f>
        <v>0</v>
      </c>
      <c r="AV12" s="222">
        <f>AP12/((1+$AP$4)^B12)</f>
        <v>55180.487102078085</v>
      </c>
      <c r="AW12" s="102"/>
      <c r="AX12" s="102"/>
      <c r="AY12" s="102"/>
      <c r="AZ12" s="102"/>
      <c r="BA12" s="102"/>
      <c r="BI12" s="102"/>
      <c r="BS12" s="349"/>
      <c r="BT12" s="102"/>
      <c r="BU12" s="102"/>
      <c r="BV12" s="102"/>
      <c r="BW12" s="102"/>
      <c r="BX12" s="102"/>
      <c r="BY12" s="102"/>
      <c r="BZ12" s="102"/>
      <c r="CA12" s="102"/>
      <c r="CB12" s="102"/>
      <c r="CC12" s="102"/>
      <c r="CD12" s="79"/>
      <c r="CJ12" s="79"/>
      <c r="CQ12" s="79"/>
    </row>
    <row r="13" spans="2:95" s="193" customFormat="1" x14ac:dyDescent="0.3">
      <c r="B13" s="184">
        <f t="shared" ref="B13:B44" si="18">B12+1</f>
        <v>2</v>
      </c>
      <c r="C13" s="346">
        <f t="shared" si="10"/>
        <v>2023</v>
      </c>
      <c r="D13" s="347">
        <f t="shared" ref="D13:D44" si="19">EDATE(D12,12)</f>
        <v>44927</v>
      </c>
      <c r="E13" s="440">
        <f t="shared" ref="E13:E44" si="20">EDATE(E12,12)</f>
        <v>45291</v>
      </c>
      <c r="F13" s="732">
        <f>IF(AND(B13&gt;0,B13&lt;=Tobacco_Retrofit!$J$10),1,0)</f>
        <v>1</v>
      </c>
      <c r="G13" s="217">
        <f t="shared" ref="G13:G44" si="21">AC12</f>
        <v>0</v>
      </c>
      <c r="H13" s="438">
        <f>(Tobacco_Retrofit!$M$22*F13)+IF(B13=Tobacco_Retrofit!$J$10,Tobacco_Retrofit!$J$12,0)</f>
        <v>191453.09590392769</v>
      </c>
      <c r="I13" s="122">
        <f t="shared" ref="I13:I44" si="22">H13</f>
        <v>191453.09590392769</v>
      </c>
      <c r="J13" s="219">
        <f t="shared" ref="J13:J44" si="23">IFERROR(I13/H13,0)</f>
        <v>1</v>
      </c>
      <c r="K13" s="220">
        <f>Deprec!U12</f>
        <v>19540</v>
      </c>
      <c r="L13" s="122">
        <f t="shared" ref="L13:L44" si="24">I13-K13</f>
        <v>171913.09590392769</v>
      </c>
      <c r="M13" s="221">
        <f t="shared" ref="M13:M44" si="25">AJ13</f>
        <v>47080.371202647286</v>
      </c>
      <c r="N13" s="122">
        <f t="shared" ref="N13:N44" si="26">L13-M13</f>
        <v>124832.72470128041</v>
      </c>
      <c r="O13" s="438">
        <f>IF(N13&lt;0,0,(N13*Tobacco_Retrofit!$J$7))</f>
        <v>37449.817410384123</v>
      </c>
      <c r="P13" s="122">
        <f t="shared" ref="P13:P44" si="27">N13-O13</f>
        <v>87382.907290896284</v>
      </c>
      <c r="Q13" s="123">
        <f t="shared" ref="Q13:Q44" si="28">IFERROR(P13/H13,0)</f>
        <v>0.45641940068049641</v>
      </c>
      <c r="T13" s="218">
        <f t="shared" si="11"/>
        <v>191453.09590392769</v>
      </c>
      <c r="U13" s="438">
        <f t="shared" ref="U13:U44" si="29">T13</f>
        <v>191453.09590392769</v>
      </c>
      <c r="V13" s="218">
        <f>IF(B13=0,Tobacco_Retrofit!$C$29,0)</f>
        <v>0</v>
      </c>
      <c r="W13" s="435">
        <f t="shared" si="5"/>
        <v>0</v>
      </c>
      <c r="X13" s="438">
        <f t="shared" si="6"/>
        <v>191453.09590392769</v>
      </c>
      <c r="Y13" s="184">
        <f>IF(B13=0,Tobacco_Retrofit!$G$15+Tobacco_Retrofit!$G$16,0)</f>
        <v>0</v>
      </c>
      <c r="Z13" s="185">
        <f>IF(B13=0,Tobacco_Retrofit!$G$14,0)</f>
        <v>0</v>
      </c>
      <c r="AA13" s="132">
        <f t="shared" ref="AA13:AA44" si="30">SUM(Y13:Z13)</f>
        <v>0</v>
      </c>
      <c r="AB13" s="218">
        <f t="shared" ref="AB13:AB44" si="31">X13+AA13</f>
        <v>191453.09590392769</v>
      </c>
      <c r="AC13" s="218">
        <f>Tobacco_Retrofit!$G$20*AVERAGE(AR13,AS13)</f>
        <v>0</v>
      </c>
      <c r="AD13" s="132">
        <f t="shared" ref="AD13:AD44" si="32">O13</f>
        <v>37449.817410384123</v>
      </c>
      <c r="AE13" s="132">
        <f t="shared" ref="AE13:AE44" si="33">AG13+AD13-G13</f>
        <v>191453.09590392769</v>
      </c>
      <c r="AF13" s="122">
        <f t="shared" ref="AF13:AF44" si="34">AG13-G13</f>
        <v>154003.27849354356</v>
      </c>
      <c r="AG13" s="438">
        <f t="shared" ref="AG13:AG44" si="35">AB13-AD13</f>
        <v>154003.27849354356</v>
      </c>
      <c r="AH13" s="122">
        <f t="shared" ref="AH13:AH44" si="36">AI12</f>
        <v>324692.21519067098</v>
      </c>
      <c r="AI13" s="122">
        <f t="shared" ref="AI13:AI44" si="37">AH13-AK13</f>
        <v>304932.05158398923</v>
      </c>
      <c r="AJ13" s="122">
        <f>-Debt_Calc!BU11</f>
        <v>47080.371202647286</v>
      </c>
      <c r="AK13" s="122">
        <f>Debt_Calc!BV11</f>
        <v>19760.163606681723</v>
      </c>
      <c r="AL13" s="122">
        <f t="shared" ref="AL13:AL44" si="38">SUM(AJ13:AK13)</f>
        <v>66840.534809329009</v>
      </c>
      <c r="AM13" s="217">
        <f t="shared" ref="AM13:AM44" si="39">IFERROR(AG13/AL13,0)</f>
        <v>2.3040401895774352</v>
      </c>
      <c r="AN13" s="122">
        <f t="shared" ref="AN13:AN44" si="40">AG13-AL13</f>
        <v>87162.743684214554</v>
      </c>
      <c r="AO13" s="122">
        <f t="shared" ref="AO13:AO44" si="41">AN13+AD13</f>
        <v>124612.56109459867</v>
      </c>
      <c r="AP13" s="122">
        <f t="shared" ref="AP13:AP44" si="42">AN13+AR13</f>
        <v>87162.743684214554</v>
      </c>
      <c r="AQ13" s="122">
        <f t="shared" ref="AQ13:AQ44" si="43">AN13-AP13</f>
        <v>0</v>
      </c>
      <c r="AR13" s="122">
        <f t="shared" ref="AR13:AR44" si="44">AS12</f>
        <v>0</v>
      </c>
      <c r="AS13" s="122">
        <f t="shared" ref="AS13:AS44" si="45">AQ13+AR13</f>
        <v>0</v>
      </c>
      <c r="AT13" s="122">
        <f t="shared" ref="AT13:AT44" si="46">AP13+AT12</f>
        <v>28526.201007634925</v>
      </c>
      <c r="AU13" s="122">
        <f t="shared" ref="AU13:AU44" si="47">IF(AU12&gt;=1,2,IF(AT13&gt;0,1,0))</f>
        <v>1</v>
      </c>
      <c r="AV13" s="222">
        <f t="shared" ref="AV13:AV44" si="48">AP13/((1+$AP$4)^B13)</f>
        <v>34339.283784532527</v>
      </c>
      <c r="AW13" s="102"/>
      <c r="AX13" s="102"/>
      <c r="AY13" s="102"/>
      <c r="AZ13" s="102"/>
      <c r="BA13" s="102"/>
      <c r="BI13" s="102"/>
      <c r="BS13" s="102"/>
      <c r="BT13" s="102"/>
      <c r="BU13" s="102"/>
      <c r="BV13" s="102"/>
      <c r="BW13" s="102"/>
      <c r="BX13" s="102"/>
      <c r="BY13" s="102"/>
      <c r="BZ13" s="102"/>
      <c r="CA13" s="102"/>
      <c r="CB13" s="102"/>
      <c r="CC13" s="102"/>
      <c r="CD13" s="86"/>
      <c r="CJ13" s="86"/>
      <c r="CQ13" s="86"/>
    </row>
    <row r="14" spans="2:95" s="193" customFormat="1" x14ac:dyDescent="0.3">
      <c r="B14" s="184">
        <f t="shared" si="18"/>
        <v>3</v>
      </c>
      <c r="C14" s="346">
        <f t="shared" si="10"/>
        <v>2024</v>
      </c>
      <c r="D14" s="347">
        <f t="shared" si="19"/>
        <v>45292</v>
      </c>
      <c r="E14" s="440">
        <f t="shared" si="20"/>
        <v>45657</v>
      </c>
      <c r="F14" s="732">
        <f>IF(AND(B14&gt;0,B14&lt;=Tobacco_Retrofit!$J$10),1,0)</f>
        <v>1</v>
      </c>
      <c r="G14" s="217">
        <f t="shared" si="21"/>
        <v>0</v>
      </c>
      <c r="H14" s="438">
        <f>(Tobacco_Retrofit!$M$22*F14)+IF(B14=Tobacco_Retrofit!$J$10,Tobacco_Retrofit!$J$12,0)</f>
        <v>191453.09590392769</v>
      </c>
      <c r="I14" s="122">
        <f t="shared" si="22"/>
        <v>191453.09590392769</v>
      </c>
      <c r="J14" s="219">
        <f t="shared" si="23"/>
        <v>1</v>
      </c>
      <c r="K14" s="220">
        <f>Deprec!U13</f>
        <v>19540</v>
      </c>
      <c r="L14" s="122">
        <f t="shared" si="24"/>
        <v>171913.09590392769</v>
      </c>
      <c r="M14" s="221">
        <f t="shared" si="25"/>
        <v>44215.147479678439</v>
      </c>
      <c r="N14" s="122">
        <f t="shared" si="26"/>
        <v>127697.94842424925</v>
      </c>
      <c r="O14" s="438">
        <f>IF(N14&lt;0,0,(N14*Tobacco_Retrofit!$J$7))</f>
        <v>38309.384527274771</v>
      </c>
      <c r="P14" s="122">
        <f t="shared" si="27"/>
        <v>89388.563896974476</v>
      </c>
      <c r="Q14" s="123">
        <f t="shared" si="28"/>
        <v>0.46689536920223107</v>
      </c>
      <c r="T14" s="218">
        <f t="shared" si="11"/>
        <v>191453.09590392769</v>
      </c>
      <c r="U14" s="438">
        <f t="shared" si="29"/>
        <v>191453.09590392769</v>
      </c>
      <c r="V14" s="218">
        <f>IF(B14=0,Tobacco_Retrofit!$C$29,0)</f>
        <v>0</v>
      </c>
      <c r="W14" s="435">
        <f t="shared" si="5"/>
        <v>0</v>
      </c>
      <c r="X14" s="438">
        <f t="shared" si="6"/>
        <v>191453.09590392769</v>
      </c>
      <c r="Y14" s="184">
        <f>IF(B14=0,Tobacco_Retrofit!$G$15+Tobacco_Retrofit!$G$16,0)</f>
        <v>0</v>
      </c>
      <c r="Z14" s="185">
        <f>IF(B14=0,Tobacco_Retrofit!$G$14,0)</f>
        <v>0</v>
      </c>
      <c r="AA14" s="132">
        <f t="shared" si="30"/>
        <v>0</v>
      </c>
      <c r="AB14" s="218">
        <f t="shared" si="31"/>
        <v>191453.09590392769</v>
      </c>
      <c r="AC14" s="218">
        <f>Tobacco_Retrofit!$G$20*AVERAGE(AR14,AS14)</f>
        <v>0</v>
      </c>
      <c r="AD14" s="132">
        <f t="shared" si="32"/>
        <v>38309.384527274771</v>
      </c>
      <c r="AE14" s="132">
        <f t="shared" si="33"/>
        <v>191453.09590392769</v>
      </c>
      <c r="AF14" s="122">
        <f t="shared" si="34"/>
        <v>153143.71137665294</v>
      </c>
      <c r="AG14" s="438">
        <f t="shared" si="35"/>
        <v>153143.71137665294</v>
      </c>
      <c r="AH14" s="122">
        <f t="shared" si="36"/>
        <v>304932.05158398923</v>
      </c>
      <c r="AI14" s="122">
        <f t="shared" si="37"/>
        <v>282306.66425433866</v>
      </c>
      <c r="AJ14" s="122">
        <f>-Debt_Calc!BU12</f>
        <v>44215.147479678439</v>
      </c>
      <c r="AK14" s="122">
        <f>Debt_Calc!BV12</f>
        <v>22625.38732965057</v>
      </c>
      <c r="AL14" s="122">
        <f t="shared" si="38"/>
        <v>66840.534809329009</v>
      </c>
      <c r="AM14" s="217">
        <f t="shared" si="39"/>
        <v>2.2911802219044857</v>
      </c>
      <c r="AN14" s="122">
        <f t="shared" si="40"/>
        <v>86303.176567323928</v>
      </c>
      <c r="AO14" s="122">
        <f t="shared" si="41"/>
        <v>124612.5610945987</v>
      </c>
      <c r="AP14" s="122">
        <f t="shared" si="42"/>
        <v>86303.176567323928</v>
      </c>
      <c r="AQ14" s="122">
        <f t="shared" si="43"/>
        <v>0</v>
      </c>
      <c r="AR14" s="122">
        <f t="shared" si="44"/>
        <v>0</v>
      </c>
      <c r="AS14" s="122">
        <f t="shared" si="45"/>
        <v>0</v>
      </c>
      <c r="AT14" s="122">
        <f t="shared" si="46"/>
        <v>114829.37757495885</v>
      </c>
      <c r="AU14" s="122">
        <f t="shared" si="47"/>
        <v>2</v>
      </c>
      <c r="AV14" s="222">
        <f t="shared" si="48"/>
        <v>21341.12412515593</v>
      </c>
      <c r="AW14" s="102"/>
      <c r="AX14" s="102"/>
      <c r="AY14" s="102"/>
      <c r="AZ14" s="102"/>
      <c r="BA14" s="102"/>
      <c r="BI14" s="102"/>
      <c r="BS14" s="102"/>
      <c r="BT14" s="102"/>
      <c r="BU14" s="102"/>
      <c r="BV14" s="102"/>
      <c r="BW14" s="102"/>
      <c r="BX14" s="102"/>
      <c r="BY14" s="102"/>
      <c r="BZ14" s="102"/>
      <c r="CA14" s="102"/>
      <c r="CB14" s="102"/>
      <c r="CC14" s="102"/>
      <c r="CD14" s="86"/>
      <c r="CJ14" s="86"/>
      <c r="CQ14" s="86"/>
    </row>
    <row r="15" spans="2:95" s="86" customFormat="1" x14ac:dyDescent="0.3">
      <c r="B15" s="184">
        <f t="shared" si="18"/>
        <v>4</v>
      </c>
      <c r="C15" s="346">
        <f t="shared" si="10"/>
        <v>2025</v>
      </c>
      <c r="D15" s="347">
        <f t="shared" si="19"/>
        <v>45658</v>
      </c>
      <c r="E15" s="440">
        <f t="shared" si="20"/>
        <v>46022</v>
      </c>
      <c r="F15" s="732">
        <f>IF(AND(B15&gt;0,B15&lt;=Tobacco_Retrofit!$J$10),1,0)</f>
        <v>1</v>
      </c>
      <c r="G15" s="217">
        <f t="shared" si="21"/>
        <v>0</v>
      </c>
      <c r="H15" s="438">
        <f>(Tobacco_Retrofit!$M$22*F15)+IF(B15=Tobacco_Retrofit!$J$10,Tobacco_Retrofit!$J$12,0)</f>
        <v>191453.09590392769</v>
      </c>
      <c r="I15" s="122">
        <f t="shared" si="22"/>
        <v>191453.09590392769</v>
      </c>
      <c r="J15" s="219">
        <f t="shared" si="23"/>
        <v>1</v>
      </c>
      <c r="K15" s="220">
        <f>Deprec!U14</f>
        <v>19540</v>
      </c>
      <c r="L15" s="122">
        <f t="shared" si="24"/>
        <v>171913.09590392769</v>
      </c>
      <c r="M15" s="221">
        <f t="shared" si="25"/>
        <v>40934.466316879101</v>
      </c>
      <c r="N15" s="122">
        <f t="shared" si="26"/>
        <v>130978.62958704859</v>
      </c>
      <c r="O15" s="438">
        <f>IF(N15&lt;0,0,(N15*Tobacco_Retrofit!$J$7))</f>
        <v>39293.588876114576</v>
      </c>
      <c r="P15" s="122">
        <f t="shared" si="27"/>
        <v>91685.040710934016</v>
      </c>
      <c r="Q15" s="123">
        <f t="shared" si="28"/>
        <v>0.47889035315961731</v>
      </c>
      <c r="T15" s="218">
        <f t="shared" si="11"/>
        <v>191453.09590392769</v>
      </c>
      <c r="U15" s="438">
        <f t="shared" si="29"/>
        <v>191453.09590392769</v>
      </c>
      <c r="V15" s="218">
        <f>IF(B15=0,Tobacco_Retrofit!$C$29,0)</f>
        <v>0</v>
      </c>
      <c r="W15" s="435">
        <f t="shared" si="5"/>
        <v>0</v>
      </c>
      <c r="X15" s="438">
        <f t="shared" si="6"/>
        <v>191453.09590392769</v>
      </c>
      <c r="Y15" s="184">
        <f>IF(B15=0,Tobacco_Retrofit!$G$15+Tobacco_Retrofit!$G$16,0)</f>
        <v>0</v>
      </c>
      <c r="Z15" s="185">
        <f>IF(B15=0,Tobacco_Retrofit!$G$14,0)</f>
        <v>0</v>
      </c>
      <c r="AA15" s="132">
        <f t="shared" si="30"/>
        <v>0</v>
      </c>
      <c r="AB15" s="218">
        <f t="shared" si="31"/>
        <v>191453.09590392769</v>
      </c>
      <c r="AC15" s="218">
        <f>Tobacco_Retrofit!$G$20*AVERAGE(AR15,AS15)</f>
        <v>0</v>
      </c>
      <c r="AD15" s="132">
        <f t="shared" si="32"/>
        <v>39293.588876114576</v>
      </c>
      <c r="AE15" s="132">
        <f t="shared" si="33"/>
        <v>191453.09590392769</v>
      </c>
      <c r="AF15" s="122">
        <f t="shared" si="34"/>
        <v>152159.50702781312</v>
      </c>
      <c r="AG15" s="438">
        <f t="shared" si="35"/>
        <v>152159.50702781312</v>
      </c>
      <c r="AH15" s="122">
        <f t="shared" si="36"/>
        <v>282306.66425433866</v>
      </c>
      <c r="AI15" s="122">
        <f t="shared" si="37"/>
        <v>256400.59576188875</v>
      </c>
      <c r="AJ15" s="122">
        <f>-Debt_Calc!BU13</f>
        <v>40934.466316879101</v>
      </c>
      <c r="AK15" s="122">
        <f>Debt_Calc!BV13</f>
        <v>25906.068492449907</v>
      </c>
      <c r="AL15" s="122">
        <f t="shared" si="38"/>
        <v>66840.534809329009</v>
      </c>
      <c r="AM15" s="217">
        <f t="shared" si="39"/>
        <v>2.2764555589189577</v>
      </c>
      <c r="AN15" s="122">
        <f t="shared" si="40"/>
        <v>85318.972218484108</v>
      </c>
      <c r="AO15" s="122">
        <f t="shared" si="41"/>
        <v>124612.56109459868</v>
      </c>
      <c r="AP15" s="122">
        <f t="shared" si="42"/>
        <v>85318.972218484108</v>
      </c>
      <c r="AQ15" s="122">
        <f t="shared" si="43"/>
        <v>0</v>
      </c>
      <c r="AR15" s="122">
        <f t="shared" si="44"/>
        <v>0</v>
      </c>
      <c r="AS15" s="122">
        <f t="shared" si="45"/>
        <v>0</v>
      </c>
      <c r="AT15" s="122">
        <f t="shared" si="46"/>
        <v>200148.34979344296</v>
      </c>
      <c r="AU15" s="122">
        <f t="shared" si="47"/>
        <v>2</v>
      </c>
      <c r="AV15" s="222">
        <f t="shared" si="48"/>
        <v>13242.387619756533</v>
      </c>
    </row>
    <row r="16" spans="2:95" s="86" customFormat="1" x14ac:dyDescent="0.3">
      <c r="B16" s="184">
        <f t="shared" si="18"/>
        <v>5</v>
      </c>
      <c r="C16" s="346">
        <f t="shared" si="10"/>
        <v>2026</v>
      </c>
      <c r="D16" s="347">
        <f t="shared" si="19"/>
        <v>46023</v>
      </c>
      <c r="E16" s="440">
        <f t="shared" si="20"/>
        <v>46387</v>
      </c>
      <c r="F16" s="732">
        <f>IF(AND(B16&gt;0,B16&lt;=Tobacco_Retrofit!$J$10),1,0)</f>
        <v>1</v>
      </c>
      <c r="G16" s="217">
        <f t="shared" si="21"/>
        <v>0</v>
      </c>
      <c r="H16" s="438">
        <f>(Tobacco_Retrofit!$M$22*F16)+IF(B16=Tobacco_Retrofit!$J$10,Tobacco_Retrofit!$J$12,0)</f>
        <v>191453.09590392769</v>
      </c>
      <c r="I16" s="122">
        <f t="shared" si="22"/>
        <v>191453.09590392769</v>
      </c>
      <c r="J16" s="219">
        <f t="shared" si="23"/>
        <v>1</v>
      </c>
      <c r="K16" s="220">
        <f>Deprec!U15</f>
        <v>19540</v>
      </c>
      <c r="L16" s="122">
        <f t="shared" si="24"/>
        <v>171913.09590392769</v>
      </c>
      <c r="M16" s="221">
        <f t="shared" si="25"/>
        <v>37178.086385473864</v>
      </c>
      <c r="N16" s="122">
        <f t="shared" si="26"/>
        <v>134735.00951845382</v>
      </c>
      <c r="O16" s="438">
        <f>IF(N16&lt;0,0,(N16*Tobacco_Retrofit!$J$7))</f>
        <v>40420.502855536142</v>
      </c>
      <c r="P16" s="122">
        <f t="shared" si="27"/>
        <v>94314.506662917673</v>
      </c>
      <c r="Q16" s="123">
        <f t="shared" si="28"/>
        <v>0.49262460979082445</v>
      </c>
      <c r="T16" s="218">
        <f t="shared" si="11"/>
        <v>191453.09590392769</v>
      </c>
      <c r="U16" s="438">
        <f t="shared" si="29"/>
        <v>191453.09590392769</v>
      </c>
      <c r="V16" s="218">
        <f>IF(B16=0,Tobacco_Retrofit!$C$29,0)</f>
        <v>0</v>
      </c>
      <c r="W16" s="435">
        <f t="shared" si="5"/>
        <v>0</v>
      </c>
      <c r="X16" s="438">
        <f t="shared" si="6"/>
        <v>191453.09590392769</v>
      </c>
      <c r="Y16" s="184">
        <f>IF(B16=0,Tobacco_Retrofit!$G$15+Tobacco_Retrofit!$G$16,0)</f>
        <v>0</v>
      </c>
      <c r="Z16" s="185">
        <f>IF(B16=0,Tobacco_Retrofit!$G$14,0)</f>
        <v>0</v>
      </c>
      <c r="AA16" s="132">
        <f t="shared" si="30"/>
        <v>0</v>
      </c>
      <c r="AB16" s="218">
        <f t="shared" si="31"/>
        <v>191453.09590392769</v>
      </c>
      <c r="AC16" s="218">
        <f>Tobacco_Retrofit!$G$20*AVERAGE(AR16,AS16)</f>
        <v>0</v>
      </c>
      <c r="AD16" s="132">
        <f t="shared" si="32"/>
        <v>40420.502855536142</v>
      </c>
      <c r="AE16" s="132">
        <f t="shared" si="33"/>
        <v>191453.09590392769</v>
      </c>
      <c r="AF16" s="122">
        <f t="shared" si="34"/>
        <v>151032.59304839154</v>
      </c>
      <c r="AG16" s="438">
        <f t="shared" si="35"/>
        <v>151032.59304839154</v>
      </c>
      <c r="AH16" s="122">
        <f t="shared" si="36"/>
        <v>256400.59576188875</v>
      </c>
      <c r="AI16" s="122">
        <f t="shared" si="37"/>
        <v>226738.14733803362</v>
      </c>
      <c r="AJ16" s="122">
        <f>-Debt_Calc!BU14</f>
        <v>37178.086385473864</v>
      </c>
      <c r="AK16" s="122">
        <f>Debt_Calc!BV14</f>
        <v>29662.44842385513</v>
      </c>
      <c r="AL16" s="122">
        <f t="shared" si="38"/>
        <v>66840.534809328994</v>
      </c>
      <c r="AM16" s="217">
        <f t="shared" si="39"/>
        <v>2.2595958198005288</v>
      </c>
      <c r="AN16" s="122">
        <f t="shared" si="40"/>
        <v>84192.05823906255</v>
      </c>
      <c r="AO16" s="122">
        <f t="shared" si="41"/>
        <v>124612.5610945987</v>
      </c>
      <c r="AP16" s="122">
        <f t="shared" si="42"/>
        <v>84192.05823906255</v>
      </c>
      <c r="AQ16" s="122">
        <f t="shared" si="43"/>
        <v>0</v>
      </c>
      <c r="AR16" s="122">
        <f t="shared" si="44"/>
        <v>0</v>
      </c>
      <c r="AS16" s="122">
        <f t="shared" si="45"/>
        <v>0</v>
      </c>
      <c r="AT16" s="122">
        <f t="shared" si="46"/>
        <v>284340.40803250554</v>
      </c>
      <c r="AU16" s="122">
        <f t="shared" si="47"/>
        <v>2</v>
      </c>
      <c r="AV16" s="222">
        <f t="shared" si="48"/>
        <v>8202.0417937918701</v>
      </c>
    </row>
    <row r="17" spans="2:48" s="86" customFormat="1" x14ac:dyDescent="0.3">
      <c r="B17" s="184">
        <f t="shared" si="18"/>
        <v>6</v>
      </c>
      <c r="C17" s="346">
        <f t="shared" si="10"/>
        <v>2027</v>
      </c>
      <c r="D17" s="347">
        <f t="shared" si="19"/>
        <v>46388</v>
      </c>
      <c r="E17" s="440">
        <f t="shared" si="20"/>
        <v>46752</v>
      </c>
      <c r="F17" s="732">
        <f>IF(AND(B17&gt;0,B17&lt;=Tobacco_Retrofit!$J$10),1,0)</f>
        <v>1</v>
      </c>
      <c r="G17" s="217">
        <f t="shared" si="21"/>
        <v>0</v>
      </c>
      <c r="H17" s="438">
        <f>(Tobacco_Retrofit!$M$22*F17)+IF(B17=Tobacco_Retrofit!$J$10,Tobacco_Retrofit!$J$12,0)</f>
        <v>191453.09590392769</v>
      </c>
      <c r="I17" s="122">
        <f t="shared" si="22"/>
        <v>191453.09590392769</v>
      </c>
      <c r="J17" s="219">
        <f t="shared" si="23"/>
        <v>1</v>
      </c>
      <c r="K17" s="220">
        <f>Deprec!U16</f>
        <v>19540</v>
      </c>
      <c r="L17" s="122">
        <f t="shared" si="24"/>
        <v>171913.09590392769</v>
      </c>
      <c r="M17" s="221">
        <f t="shared" si="25"/>
        <v>32877.031364014874</v>
      </c>
      <c r="N17" s="122">
        <f t="shared" si="26"/>
        <v>139036.06453991283</v>
      </c>
      <c r="O17" s="438">
        <f>IF(N17&lt;0,0,(N17*Tobacco_Retrofit!$J$7))</f>
        <v>41710.819361973845</v>
      </c>
      <c r="P17" s="122">
        <f t="shared" si="27"/>
        <v>97325.245177938981</v>
      </c>
      <c r="Q17" s="123">
        <f t="shared" si="28"/>
        <v>0.50835033363355675</v>
      </c>
      <c r="T17" s="218">
        <f t="shared" si="11"/>
        <v>191453.09590392769</v>
      </c>
      <c r="U17" s="438">
        <f t="shared" si="29"/>
        <v>191453.09590392769</v>
      </c>
      <c r="V17" s="218">
        <f>IF(B17=0,Tobacco_Retrofit!$C$29,0)</f>
        <v>0</v>
      </c>
      <c r="W17" s="435">
        <f t="shared" si="5"/>
        <v>0</v>
      </c>
      <c r="X17" s="438">
        <f t="shared" si="6"/>
        <v>191453.09590392769</v>
      </c>
      <c r="Y17" s="184">
        <f>IF(B17=0,Tobacco_Retrofit!$G$15+Tobacco_Retrofit!$G$16,0)</f>
        <v>0</v>
      </c>
      <c r="Z17" s="185">
        <f>IF(B17=0,Tobacco_Retrofit!$G$14,0)</f>
        <v>0</v>
      </c>
      <c r="AA17" s="132">
        <f t="shared" si="30"/>
        <v>0</v>
      </c>
      <c r="AB17" s="218">
        <f t="shared" si="31"/>
        <v>191453.09590392769</v>
      </c>
      <c r="AC17" s="218">
        <f>Tobacco_Retrofit!$G$20*AVERAGE(AR17,AS17)</f>
        <v>0</v>
      </c>
      <c r="AD17" s="132">
        <f t="shared" si="32"/>
        <v>41710.819361973845</v>
      </c>
      <c r="AE17" s="132">
        <f t="shared" si="33"/>
        <v>191453.09590392769</v>
      </c>
      <c r="AF17" s="122">
        <f t="shared" si="34"/>
        <v>149742.27654195385</v>
      </c>
      <c r="AG17" s="438">
        <f t="shared" si="35"/>
        <v>149742.27654195385</v>
      </c>
      <c r="AH17" s="122">
        <f t="shared" si="36"/>
        <v>226738.14733803362</v>
      </c>
      <c r="AI17" s="122">
        <f t="shared" si="37"/>
        <v>192774.64389271947</v>
      </c>
      <c r="AJ17" s="122">
        <f>-Debt_Calc!BU15</f>
        <v>32877.031364014874</v>
      </c>
      <c r="AK17" s="122">
        <f>Debt_Calc!BV15</f>
        <v>33963.503445314149</v>
      </c>
      <c r="AL17" s="122">
        <f t="shared" si="38"/>
        <v>66840.534809329023</v>
      </c>
      <c r="AM17" s="217">
        <f t="shared" si="39"/>
        <v>2.2402914185099267</v>
      </c>
      <c r="AN17" s="122">
        <f t="shared" si="40"/>
        <v>82901.741732624825</v>
      </c>
      <c r="AO17" s="122">
        <f t="shared" si="41"/>
        <v>124612.56109459867</v>
      </c>
      <c r="AP17" s="122">
        <f t="shared" si="42"/>
        <v>82901.741732624825</v>
      </c>
      <c r="AQ17" s="122">
        <f t="shared" si="43"/>
        <v>0</v>
      </c>
      <c r="AR17" s="122">
        <f t="shared" si="44"/>
        <v>0</v>
      </c>
      <c r="AS17" s="122">
        <f t="shared" si="45"/>
        <v>0</v>
      </c>
      <c r="AT17" s="122">
        <f t="shared" si="46"/>
        <v>367242.14976513037</v>
      </c>
      <c r="AU17" s="122">
        <f t="shared" si="47"/>
        <v>2</v>
      </c>
      <c r="AV17" s="222">
        <f t="shared" si="48"/>
        <v>5069.2612811262707</v>
      </c>
    </row>
    <row r="18" spans="2:48" s="86" customFormat="1" x14ac:dyDescent="0.3">
      <c r="B18" s="184">
        <f t="shared" si="18"/>
        <v>7</v>
      </c>
      <c r="C18" s="346">
        <f t="shared" si="10"/>
        <v>2028</v>
      </c>
      <c r="D18" s="347">
        <f t="shared" si="19"/>
        <v>46753</v>
      </c>
      <c r="E18" s="440">
        <f t="shared" si="20"/>
        <v>47118</v>
      </c>
      <c r="F18" s="732">
        <f>IF(AND(B18&gt;0,B18&lt;=Tobacco_Retrofit!$J$10),1,0)</f>
        <v>1</v>
      </c>
      <c r="G18" s="217">
        <f t="shared" si="21"/>
        <v>0</v>
      </c>
      <c r="H18" s="438">
        <f>(Tobacco_Retrofit!$M$22*F18)+IF(B18=Tobacco_Retrofit!$J$10,Tobacco_Retrofit!$J$12,0)</f>
        <v>191453.09590392769</v>
      </c>
      <c r="I18" s="122">
        <f t="shared" si="22"/>
        <v>191453.09590392769</v>
      </c>
      <c r="J18" s="219">
        <f t="shared" si="23"/>
        <v>1</v>
      </c>
      <c r="K18" s="220">
        <f>Deprec!U17</f>
        <v>19540</v>
      </c>
      <c r="L18" s="122">
        <f t="shared" si="24"/>
        <v>171913.09590392769</v>
      </c>
      <c r="M18" s="221">
        <f t="shared" si="25"/>
        <v>27952.323364444321</v>
      </c>
      <c r="N18" s="122">
        <f t="shared" si="26"/>
        <v>143960.77253948338</v>
      </c>
      <c r="O18" s="438">
        <f>IF(N18&lt;0,0,(N18*Tobacco_Retrofit!$J$7))</f>
        <v>43188.231761845011</v>
      </c>
      <c r="P18" s="122">
        <f t="shared" si="27"/>
        <v>100772.54077763838</v>
      </c>
      <c r="Q18" s="123">
        <f t="shared" si="28"/>
        <v>0.52635628743348528</v>
      </c>
      <c r="T18" s="218">
        <f t="shared" si="11"/>
        <v>191453.09590392769</v>
      </c>
      <c r="U18" s="438">
        <f t="shared" si="29"/>
        <v>191453.09590392769</v>
      </c>
      <c r="V18" s="218">
        <f>IF(B18=0,Tobacco_Retrofit!$C$29,0)</f>
        <v>0</v>
      </c>
      <c r="W18" s="435">
        <f t="shared" si="5"/>
        <v>0</v>
      </c>
      <c r="X18" s="438">
        <f t="shared" si="6"/>
        <v>191453.09590392769</v>
      </c>
      <c r="Y18" s="184">
        <f>IF(B18=0,Tobacco_Retrofit!$G$15+Tobacco_Retrofit!$G$16,0)</f>
        <v>0</v>
      </c>
      <c r="Z18" s="185">
        <f>IF(B18=0,Tobacco_Retrofit!$G$14,0)</f>
        <v>0</v>
      </c>
      <c r="AA18" s="132">
        <f t="shared" si="30"/>
        <v>0</v>
      </c>
      <c r="AB18" s="218">
        <f t="shared" si="31"/>
        <v>191453.09590392769</v>
      </c>
      <c r="AC18" s="218">
        <f>Tobacco_Retrofit!$G$20*AVERAGE(AR18,AS18)</f>
        <v>0</v>
      </c>
      <c r="AD18" s="132">
        <f t="shared" si="32"/>
        <v>43188.231761845011</v>
      </c>
      <c r="AE18" s="132">
        <f t="shared" si="33"/>
        <v>191453.09590392769</v>
      </c>
      <c r="AF18" s="122">
        <f t="shared" si="34"/>
        <v>148264.86414208269</v>
      </c>
      <c r="AG18" s="438">
        <f t="shared" si="35"/>
        <v>148264.86414208269</v>
      </c>
      <c r="AH18" s="122">
        <f t="shared" si="36"/>
        <v>192774.64389271947</v>
      </c>
      <c r="AI18" s="122">
        <f t="shared" si="37"/>
        <v>153886.43244783478</v>
      </c>
      <c r="AJ18" s="122">
        <f>-Debt_Calc!BU16</f>
        <v>27952.323364444321</v>
      </c>
      <c r="AK18" s="122">
        <f>Debt_Calc!BV16</f>
        <v>38888.211444884684</v>
      </c>
      <c r="AL18" s="122">
        <f t="shared" si="38"/>
        <v>66840.534809329009</v>
      </c>
      <c r="AM18" s="217">
        <f t="shared" si="39"/>
        <v>2.2181878790321887</v>
      </c>
      <c r="AN18" s="122">
        <f t="shared" si="40"/>
        <v>81424.329332753681</v>
      </c>
      <c r="AO18" s="122">
        <f t="shared" si="41"/>
        <v>124612.5610945987</v>
      </c>
      <c r="AP18" s="122">
        <f t="shared" si="42"/>
        <v>81424.329332753681</v>
      </c>
      <c r="AQ18" s="122">
        <f t="shared" si="43"/>
        <v>0</v>
      </c>
      <c r="AR18" s="122">
        <f t="shared" si="44"/>
        <v>0</v>
      </c>
      <c r="AS18" s="122">
        <f t="shared" si="45"/>
        <v>0</v>
      </c>
      <c r="AT18" s="122">
        <f t="shared" si="46"/>
        <v>448666.47909788403</v>
      </c>
      <c r="AU18" s="122">
        <f t="shared" si="47"/>
        <v>2</v>
      </c>
      <c r="AV18" s="222">
        <f t="shared" si="48"/>
        <v>3125.110525708531</v>
      </c>
    </row>
    <row r="19" spans="2:48" s="86" customFormat="1" x14ac:dyDescent="0.3">
      <c r="B19" s="184">
        <f t="shared" si="18"/>
        <v>8</v>
      </c>
      <c r="C19" s="346">
        <f t="shared" si="10"/>
        <v>2029</v>
      </c>
      <c r="D19" s="347">
        <f t="shared" si="19"/>
        <v>47119</v>
      </c>
      <c r="E19" s="440">
        <f t="shared" si="20"/>
        <v>47483</v>
      </c>
      <c r="F19" s="732">
        <f>IF(AND(B19&gt;0,B19&lt;=Tobacco_Retrofit!$J$10),1,0)</f>
        <v>1</v>
      </c>
      <c r="G19" s="217">
        <f t="shared" si="21"/>
        <v>0</v>
      </c>
      <c r="H19" s="438">
        <f>(Tobacco_Retrofit!$M$22*F19)+IF(B19=Tobacco_Retrofit!$J$10,Tobacco_Retrofit!$J$12,0)</f>
        <v>191453.09590392769</v>
      </c>
      <c r="I19" s="122">
        <f t="shared" si="22"/>
        <v>191453.09590392769</v>
      </c>
      <c r="J19" s="219">
        <f t="shared" si="23"/>
        <v>1</v>
      </c>
      <c r="K19" s="220">
        <f>Deprec!U18</f>
        <v>19540</v>
      </c>
      <c r="L19" s="122">
        <f t="shared" si="24"/>
        <v>171913.09590392769</v>
      </c>
      <c r="M19" s="221">
        <f t="shared" si="25"/>
        <v>22313.532704936042</v>
      </c>
      <c r="N19" s="122">
        <f t="shared" si="26"/>
        <v>149599.56319899164</v>
      </c>
      <c r="O19" s="438">
        <f>IF(N19&lt;0,0,(N19*Tobacco_Retrofit!$J$7))</f>
        <v>44879.868959697495</v>
      </c>
      <c r="P19" s="122">
        <f t="shared" si="27"/>
        <v>104719.69423929416</v>
      </c>
      <c r="Q19" s="123">
        <f t="shared" si="28"/>
        <v>0.54697310453440318</v>
      </c>
      <c r="T19" s="218">
        <f t="shared" si="11"/>
        <v>191453.09590392769</v>
      </c>
      <c r="U19" s="438">
        <f t="shared" si="29"/>
        <v>191453.09590392769</v>
      </c>
      <c r="V19" s="218">
        <f>IF(B19=0,Tobacco_Retrofit!$C$29,0)</f>
        <v>0</v>
      </c>
      <c r="W19" s="435">
        <f t="shared" si="5"/>
        <v>0</v>
      </c>
      <c r="X19" s="438">
        <f t="shared" si="6"/>
        <v>191453.09590392769</v>
      </c>
      <c r="Y19" s="184">
        <f>IF(B19=0,Tobacco_Retrofit!$G$15+Tobacco_Retrofit!$G$16,0)</f>
        <v>0</v>
      </c>
      <c r="Z19" s="185">
        <f>IF(B19=0,Tobacco_Retrofit!$G$14,0)</f>
        <v>0</v>
      </c>
      <c r="AA19" s="132">
        <f t="shared" si="30"/>
        <v>0</v>
      </c>
      <c r="AB19" s="218">
        <f t="shared" si="31"/>
        <v>191453.09590392769</v>
      </c>
      <c r="AC19" s="218">
        <f>Tobacco_Retrofit!$G$20*AVERAGE(AR19,AS19)</f>
        <v>0</v>
      </c>
      <c r="AD19" s="132">
        <f t="shared" si="32"/>
        <v>44879.868959697495</v>
      </c>
      <c r="AE19" s="132">
        <f t="shared" si="33"/>
        <v>191453.09590392769</v>
      </c>
      <c r="AF19" s="122">
        <f t="shared" si="34"/>
        <v>146573.22694423021</v>
      </c>
      <c r="AG19" s="438">
        <f t="shared" si="35"/>
        <v>146573.22694423021</v>
      </c>
      <c r="AH19" s="122">
        <f t="shared" si="36"/>
        <v>153886.43244783478</v>
      </c>
      <c r="AI19" s="122">
        <f t="shared" si="37"/>
        <v>109359.43034344181</v>
      </c>
      <c r="AJ19" s="122">
        <f>-Debt_Calc!BU17</f>
        <v>22313.532704936042</v>
      </c>
      <c r="AK19" s="122">
        <f>Debt_Calc!BV17</f>
        <v>44527.002104392966</v>
      </c>
      <c r="AL19" s="122">
        <f t="shared" si="38"/>
        <v>66840.534809329009</v>
      </c>
      <c r="AM19" s="217">
        <f t="shared" si="39"/>
        <v>2.192879326330178</v>
      </c>
      <c r="AN19" s="122">
        <f t="shared" si="40"/>
        <v>79732.692134901197</v>
      </c>
      <c r="AO19" s="122">
        <f t="shared" si="41"/>
        <v>124612.5610945987</v>
      </c>
      <c r="AP19" s="122">
        <f t="shared" si="42"/>
        <v>79732.692134901197</v>
      </c>
      <c r="AQ19" s="122">
        <f t="shared" si="43"/>
        <v>0</v>
      </c>
      <c r="AR19" s="122">
        <f t="shared" si="44"/>
        <v>0</v>
      </c>
      <c r="AS19" s="122">
        <f t="shared" si="45"/>
        <v>0</v>
      </c>
      <c r="AT19" s="122">
        <f t="shared" si="46"/>
        <v>528399.17123278521</v>
      </c>
      <c r="AU19" s="122">
        <f t="shared" si="47"/>
        <v>2</v>
      </c>
      <c r="AV19" s="222">
        <f t="shared" si="48"/>
        <v>1920.7807289706989</v>
      </c>
    </row>
    <row r="20" spans="2:48" s="86" customFormat="1" x14ac:dyDescent="0.3">
      <c r="B20" s="184">
        <f t="shared" si="18"/>
        <v>9</v>
      </c>
      <c r="C20" s="346">
        <f t="shared" si="10"/>
        <v>2030</v>
      </c>
      <c r="D20" s="347">
        <f t="shared" si="19"/>
        <v>47484</v>
      </c>
      <c r="E20" s="440">
        <f t="shared" si="20"/>
        <v>47848</v>
      </c>
      <c r="F20" s="732">
        <f>IF(AND(B20&gt;0,B20&lt;=Tobacco_Retrofit!$J$10),1,0)</f>
        <v>1</v>
      </c>
      <c r="G20" s="217">
        <f t="shared" si="21"/>
        <v>0</v>
      </c>
      <c r="H20" s="438">
        <f>(Tobacco_Retrofit!$M$22*F20)+IF(B20=Tobacco_Retrofit!$J$10,Tobacco_Retrofit!$J$12,0)</f>
        <v>191453.09590392769</v>
      </c>
      <c r="I20" s="122">
        <f t="shared" si="22"/>
        <v>191453.09590392769</v>
      </c>
      <c r="J20" s="219">
        <f t="shared" si="23"/>
        <v>1</v>
      </c>
      <c r="K20" s="220">
        <f>Deprec!U19</f>
        <v>19540</v>
      </c>
      <c r="L20" s="122">
        <f t="shared" si="24"/>
        <v>171913.09590392769</v>
      </c>
      <c r="M20" s="221">
        <f t="shared" si="25"/>
        <v>15857.117399799061</v>
      </c>
      <c r="N20" s="122">
        <f t="shared" si="26"/>
        <v>156055.97850412864</v>
      </c>
      <c r="O20" s="438">
        <f>IF(N20&lt;0,0,(N20*Tobacco_Retrofit!$J$7))</f>
        <v>46816.793551238588</v>
      </c>
      <c r="P20" s="122">
        <f t="shared" si="27"/>
        <v>109239.18495289005</v>
      </c>
      <c r="Q20" s="123">
        <f t="shared" si="28"/>
        <v>0.57057936011495436</v>
      </c>
      <c r="T20" s="218">
        <f t="shared" si="11"/>
        <v>191453.09590392769</v>
      </c>
      <c r="U20" s="438">
        <f t="shared" si="29"/>
        <v>191453.09590392769</v>
      </c>
      <c r="V20" s="218">
        <f>IF(B20=0,Tobacco_Retrofit!$C$29,0)</f>
        <v>0</v>
      </c>
      <c r="W20" s="435">
        <f t="shared" si="5"/>
        <v>0</v>
      </c>
      <c r="X20" s="438">
        <f t="shared" si="6"/>
        <v>191453.09590392769</v>
      </c>
      <c r="Y20" s="184">
        <f>IF(B20=0,Tobacco_Retrofit!$G$15+Tobacco_Retrofit!$G$16,0)</f>
        <v>0</v>
      </c>
      <c r="Z20" s="185">
        <f>IF(B20=0,Tobacco_Retrofit!$G$14,0)</f>
        <v>0</v>
      </c>
      <c r="AA20" s="132">
        <f t="shared" si="30"/>
        <v>0</v>
      </c>
      <c r="AB20" s="218">
        <f t="shared" si="31"/>
        <v>191453.09590392769</v>
      </c>
      <c r="AC20" s="218">
        <f>Tobacco_Retrofit!$G$20*AVERAGE(AR20,AS20)</f>
        <v>0</v>
      </c>
      <c r="AD20" s="132">
        <f t="shared" si="32"/>
        <v>46816.793551238588</v>
      </c>
      <c r="AE20" s="132">
        <f t="shared" si="33"/>
        <v>191453.09590392769</v>
      </c>
      <c r="AF20" s="122">
        <f t="shared" si="34"/>
        <v>144636.30235268909</v>
      </c>
      <c r="AG20" s="438">
        <f t="shared" si="35"/>
        <v>144636.30235268909</v>
      </c>
      <c r="AH20" s="122">
        <f t="shared" si="36"/>
        <v>109359.43034344181</v>
      </c>
      <c r="AI20" s="122">
        <f t="shared" si="37"/>
        <v>58376.012933911865</v>
      </c>
      <c r="AJ20" s="122">
        <f>-Debt_Calc!BU18</f>
        <v>15857.117399799061</v>
      </c>
      <c r="AK20" s="122">
        <f>Debt_Calc!BV18</f>
        <v>50983.417409529946</v>
      </c>
      <c r="AL20" s="122">
        <f t="shared" si="38"/>
        <v>66840.534809329009</v>
      </c>
      <c r="AM20" s="217">
        <f t="shared" si="39"/>
        <v>2.1639010334863755</v>
      </c>
      <c r="AN20" s="122">
        <f t="shared" si="40"/>
        <v>77795.767543360082</v>
      </c>
      <c r="AO20" s="122">
        <f t="shared" si="41"/>
        <v>124612.56109459867</v>
      </c>
      <c r="AP20" s="122">
        <f t="shared" si="42"/>
        <v>77795.767543360082</v>
      </c>
      <c r="AQ20" s="122">
        <f t="shared" si="43"/>
        <v>0</v>
      </c>
      <c r="AR20" s="122">
        <f t="shared" si="44"/>
        <v>0</v>
      </c>
      <c r="AS20" s="122">
        <f t="shared" si="45"/>
        <v>0</v>
      </c>
      <c r="AT20" s="122">
        <f t="shared" si="46"/>
        <v>606194.93877614534</v>
      </c>
      <c r="AU20" s="122">
        <f t="shared" si="47"/>
        <v>2</v>
      </c>
      <c r="AV20" s="222">
        <f t="shared" si="48"/>
        <v>1176.3254737800141</v>
      </c>
    </row>
    <row r="21" spans="2:48" s="86" customFormat="1" x14ac:dyDescent="0.3">
      <c r="B21" s="184">
        <f t="shared" si="18"/>
        <v>10</v>
      </c>
      <c r="C21" s="346">
        <f t="shared" si="10"/>
        <v>2031</v>
      </c>
      <c r="D21" s="347">
        <f t="shared" si="19"/>
        <v>47849</v>
      </c>
      <c r="E21" s="440">
        <f t="shared" si="20"/>
        <v>48213</v>
      </c>
      <c r="F21" s="732">
        <f>IF(AND(B21&gt;0,B21&lt;=Tobacco_Retrofit!$J$10),1,0)</f>
        <v>1</v>
      </c>
      <c r="G21" s="217">
        <f t="shared" si="21"/>
        <v>0</v>
      </c>
      <c r="H21" s="438">
        <f>(Tobacco_Retrofit!$M$22*F21)+IF(B21=Tobacco_Retrofit!$J$10,Tobacco_Retrofit!$J$12,0)</f>
        <v>191453.09590392769</v>
      </c>
      <c r="I21" s="122">
        <f t="shared" si="22"/>
        <v>191453.09590392769</v>
      </c>
      <c r="J21" s="219">
        <f t="shared" si="23"/>
        <v>1</v>
      </c>
      <c r="K21" s="220">
        <f>Deprec!U20</f>
        <v>19540</v>
      </c>
      <c r="L21" s="122">
        <f t="shared" si="24"/>
        <v>171913.09590392769</v>
      </c>
      <c r="M21" s="221">
        <f t="shared" si="25"/>
        <v>8464.5218754172201</v>
      </c>
      <c r="N21" s="122">
        <f t="shared" si="26"/>
        <v>163448.57402851048</v>
      </c>
      <c r="O21" s="438">
        <f>IF(N21&lt;0,0,(N21*Tobacco_Retrofit!$J$7))</f>
        <v>49034.572208553145</v>
      </c>
      <c r="P21" s="122">
        <f t="shared" si="27"/>
        <v>114414.00181995734</v>
      </c>
      <c r="Q21" s="123">
        <f t="shared" si="28"/>
        <v>0.59760852275468535</v>
      </c>
      <c r="T21" s="218">
        <f t="shared" si="11"/>
        <v>191453.09590392769</v>
      </c>
      <c r="U21" s="438">
        <f t="shared" si="29"/>
        <v>191453.09590392769</v>
      </c>
      <c r="V21" s="218">
        <f>IF(B21=0,Tobacco_Retrofit!$C$29,0)</f>
        <v>0</v>
      </c>
      <c r="W21" s="435">
        <f t="shared" si="5"/>
        <v>0</v>
      </c>
      <c r="X21" s="438">
        <f t="shared" si="6"/>
        <v>191453.09590392769</v>
      </c>
      <c r="Y21" s="184">
        <f>IF(B21=0,Tobacco_Retrofit!$G$15+Tobacco_Retrofit!$G$16,0)</f>
        <v>0</v>
      </c>
      <c r="Z21" s="185">
        <f>IF(B21=0,Tobacco_Retrofit!$G$14,0)</f>
        <v>0</v>
      </c>
      <c r="AA21" s="132">
        <f t="shared" si="30"/>
        <v>0</v>
      </c>
      <c r="AB21" s="218">
        <f t="shared" si="31"/>
        <v>191453.09590392769</v>
      </c>
      <c r="AC21" s="218">
        <f>Tobacco_Retrofit!$G$20*AVERAGE(AR21,AS21)</f>
        <v>0</v>
      </c>
      <c r="AD21" s="132">
        <f t="shared" si="32"/>
        <v>49034.572208553145</v>
      </c>
      <c r="AE21" s="132">
        <f t="shared" si="33"/>
        <v>191453.09590392769</v>
      </c>
      <c r="AF21" s="122">
        <f t="shared" si="34"/>
        <v>142418.52369537455</v>
      </c>
      <c r="AG21" s="438">
        <f t="shared" si="35"/>
        <v>142418.52369537455</v>
      </c>
      <c r="AH21" s="122">
        <f t="shared" si="36"/>
        <v>58376.012933911865</v>
      </c>
      <c r="AI21" s="122">
        <f t="shared" si="37"/>
        <v>0</v>
      </c>
      <c r="AJ21" s="122">
        <f>-Debt_Calc!BU19</f>
        <v>8464.5218754172201</v>
      </c>
      <c r="AK21" s="122">
        <f>Debt_Calc!BV19</f>
        <v>58376.012933911887</v>
      </c>
      <c r="AL21" s="122">
        <f t="shared" si="38"/>
        <v>66840.53480932911</v>
      </c>
      <c r="AM21" s="217">
        <f t="shared" si="39"/>
        <v>2.1307208881802189</v>
      </c>
      <c r="AN21" s="122">
        <f t="shared" si="40"/>
        <v>75577.988886045438</v>
      </c>
      <c r="AO21" s="122">
        <f t="shared" si="41"/>
        <v>124612.56109459858</v>
      </c>
      <c r="AP21" s="122">
        <f t="shared" si="42"/>
        <v>75577.988886045438</v>
      </c>
      <c r="AQ21" s="122">
        <f t="shared" si="43"/>
        <v>0</v>
      </c>
      <c r="AR21" s="122">
        <f t="shared" si="44"/>
        <v>0</v>
      </c>
      <c r="AS21" s="122">
        <f t="shared" si="45"/>
        <v>0</v>
      </c>
      <c r="AT21" s="122">
        <f t="shared" si="46"/>
        <v>681772.92766219075</v>
      </c>
      <c r="AU21" s="122">
        <f t="shared" si="47"/>
        <v>2</v>
      </c>
      <c r="AV21" s="222">
        <f t="shared" si="48"/>
        <v>717.29372808512358</v>
      </c>
    </row>
    <row r="22" spans="2:48" s="86" customFormat="1" x14ac:dyDescent="0.3">
      <c r="B22" s="184">
        <f t="shared" si="18"/>
        <v>11</v>
      </c>
      <c r="C22" s="346">
        <f t="shared" si="10"/>
        <v>2032</v>
      </c>
      <c r="D22" s="347">
        <f t="shared" si="19"/>
        <v>48214</v>
      </c>
      <c r="E22" s="440">
        <f t="shared" si="20"/>
        <v>48579</v>
      </c>
      <c r="F22" s="732">
        <f>IF(AND(B22&gt;0,B22&lt;=Tobacco_Retrofit!$J$10),1,0)</f>
        <v>1</v>
      </c>
      <c r="G22" s="217">
        <f t="shared" si="21"/>
        <v>0</v>
      </c>
      <c r="H22" s="438">
        <f>(Tobacco_Retrofit!$M$22*F22)+IF(B22=Tobacco_Retrofit!$J$10,Tobacco_Retrofit!$J$12,0)</f>
        <v>191453.09590392769</v>
      </c>
      <c r="I22" s="122">
        <f t="shared" si="22"/>
        <v>191453.09590392769</v>
      </c>
      <c r="J22" s="219">
        <f t="shared" si="23"/>
        <v>1</v>
      </c>
      <c r="K22" s="220">
        <f>Deprec!U21</f>
        <v>19540</v>
      </c>
      <c r="L22" s="122">
        <f t="shared" si="24"/>
        <v>171913.09590392769</v>
      </c>
      <c r="M22" s="221">
        <f t="shared" si="25"/>
        <v>0</v>
      </c>
      <c r="N22" s="122">
        <f t="shared" si="26"/>
        <v>171913.09590392769</v>
      </c>
      <c r="O22" s="438">
        <f>IF(N22&lt;0,0,(N22*Tobacco_Retrofit!$J$7))</f>
        <v>51573.928771178304</v>
      </c>
      <c r="P22" s="122">
        <f t="shared" si="27"/>
        <v>120339.1671327494</v>
      </c>
      <c r="Q22" s="123">
        <f t="shared" si="28"/>
        <v>0.6285569139771775</v>
      </c>
      <c r="T22" s="218">
        <f t="shared" si="11"/>
        <v>191453.09590392769</v>
      </c>
      <c r="U22" s="438">
        <f t="shared" si="29"/>
        <v>191453.09590392769</v>
      </c>
      <c r="V22" s="218">
        <f>IF(B22=0,Tobacco_Retrofit!$C$29,0)</f>
        <v>0</v>
      </c>
      <c r="W22" s="435">
        <f t="shared" si="5"/>
        <v>0</v>
      </c>
      <c r="X22" s="438">
        <f t="shared" si="6"/>
        <v>191453.09590392769</v>
      </c>
      <c r="Y22" s="184">
        <f>IF(B22=0,Tobacco_Retrofit!$G$15+Tobacco_Retrofit!$G$16,0)</f>
        <v>0</v>
      </c>
      <c r="Z22" s="185">
        <f>IF(B22=0,Tobacco_Retrofit!$G$14,0)</f>
        <v>0</v>
      </c>
      <c r="AA22" s="132">
        <f t="shared" si="30"/>
        <v>0</v>
      </c>
      <c r="AB22" s="218">
        <f t="shared" si="31"/>
        <v>191453.09590392769</v>
      </c>
      <c r="AC22" s="218">
        <f>Tobacco_Retrofit!$G$20*AVERAGE(AR22,AS22)</f>
        <v>0</v>
      </c>
      <c r="AD22" s="132">
        <f t="shared" si="32"/>
        <v>51573.928771178304</v>
      </c>
      <c r="AE22" s="132">
        <f t="shared" si="33"/>
        <v>191453.09590392769</v>
      </c>
      <c r="AF22" s="122">
        <f t="shared" si="34"/>
        <v>139879.1671327494</v>
      </c>
      <c r="AG22" s="438">
        <f t="shared" si="35"/>
        <v>139879.1671327494</v>
      </c>
      <c r="AH22" s="122">
        <f t="shared" si="36"/>
        <v>0</v>
      </c>
      <c r="AI22" s="122">
        <f t="shared" si="37"/>
        <v>0</v>
      </c>
      <c r="AJ22" s="122">
        <f>-Debt_Calc!BU20</f>
        <v>0</v>
      </c>
      <c r="AK22" s="122">
        <f>Debt_Calc!BV20</f>
        <v>0</v>
      </c>
      <c r="AL22" s="122">
        <f t="shared" si="38"/>
        <v>0</v>
      </c>
      <c r="AM22" s="217">
        <f t="shared" si="39"/>
        <v>0</v>
      </c>
      <c r="AN22" s="122">
        <f t="shared" si="40"/>
        <v>139879.1671327494</v>
      </c>
      <c r="AO22" s="122">
        <f t="shared" si="41"/>
        <v>191453.09590392769</v>
      </c>
      <c r="AP22" s="122">
        <f t="shared" si="42"/>
        <v>139879.1671327494</v>
      </c>
      <c r="AQ22" s="122">
        <f t="shared" si="43"/>
        <v>0</v>
      </c>
      <c r="AR22" s="122">
        <f t="shared" si="44"/>
        <v>0</v>
      </c>
      <c r="AS22" s="122">
        <f t="shared" si="45"/>
        <v>0</v>
      </c>
      <c r="AT22" s="122">
        <f t="shared" si="46"/>
        <v>821652.0947949402</v>
      </c>
      <c r="AU22" s="122">
        <f t="shared" si="47"/>
        <v>2</v>
      </c>
      <c r="AV22" s="222">
        <f t="shared" si="48"/>
        <v>833.26839572895051</v>
      </c>
    </row>
    <row r="23" spans="2:48" s="86" customFormat="1" x14ac:dyDescent="0.3">
      <c r="B23" s="184">
        <f t="shared" si="18"/>
        <v>12</v>
      </c>
      <c r="C23" s="346">
        <f t="shared" si="10"/>
        <v>2033</v>
      </c>
      <c r="D23" s="347">
        <f t="shared" si="19"/>
        <v>48580</v>
      </c>
      <c r="E23" s="440">
        <f t="shared" si="20"/>
        <v>48944</v>
      </c>
      <c r="F23" s="732">
        <f>IF(AND(B23&gt;0,B23&lt;=Tobacco_Retrofit!$J$10),1,0)</f>
        <v>1</v>
      </c>
      <c r="G23" s="217">
        <f t="shared" si="21"/>
        <v>0</v>
      </c>
      <c r="H23" s="438">
        <f>(Tobacco_Retrofit!$M$22*F23)+IF(B23=Tobacco_Retrofit!$J$10,Tobacco_Retrofit!$J$12,0)</f>
        <v>191453.09590392769</v>
      </c>
      <c r="I23" s="122">
        <f t="shared" si="22"/>
        <v>191453.09590392769</v>
      </c>
      <c r="J23" s="219">
        <f t="shared" si="23"/>
        <v>1</v>
      </c>
      <c r="K23" s="220">
        <f>Deprec!U22</f>
        <v>19540</v>
      </c>
      <c r="L23" s="122">
        <f t="shared" si="24"/>
        <v>171913.09590392769</v>
      </c>
      <c r="M23" s="221">
        <f t="shared" si="25"/>
        <v>0</v>
      </c>
      <c r="N23" s="122">
        <f t="shared" si="26"/>
        <v>171913.09590392769</v>
      </c>
      <c r="O23" s="438">
        <f>IF(N23&lt;0,0,(N23*Tobacco_Retrofit!$J$7))</f>
        <v>51573.928771178304</v>
      </c>
      <c r="P23" s="122">
        <f t="shared" si="27"/>
        <v>120339.1671327494</v>
      </c>
      <c r="Q23" s="123">
        <f t="shared" si="28"/>
        <v>0.6285569139771775</v>
      </c>
      <c r="T23" s="218">
        <f t="shared" si="11"/>
        <v>191453.09590392769</v>
      </c>
      <c r="U23" s="438">
        <f t="shared" si="29"/>
        <v>191453.09590392769</v>
      </c>
      <c r="V23" s="218">
        <f>IF(B23=0,Tobacco_Retrofit!$C$29,0)</f>
        <v>0</v>
      </c>
      <c r="W23" s="435">
        <f t="shared" si="5"/>
        <v>0</v>
      </c>
      <c r="X23" s="438">
        <f t="shared" si="6"/>
        <v>191453.09590392769</v>
      </c>
      <c r="Y23" s="184">
        <f>IF(B23=0,Tobacco_Retrofit!$G$15+Tobacco_Retrofit!$G$16,0)</f>
        <v>0</v>
      </c>
      <c r="Z23" s="185">
        <f>IF(B23=0,Tobacco_Retrofit!$G$14,0)</f>
        <v>0</v>
      </c>
      <c r="AA23" s="132">
        <f t="shared" si="30"/>
        <v>0</v>
      </c>
      <c r="AB23" s="218">
        <f t="shared" si="31"/>
        <v>191453.09590392769</v>
      </c>
      <c r="AC23" s="218">
        <f>Tobacco_Retrofit!$G$20*AVERAGE(AR23,AS23)</f>
        <v>0</v>
      </c>
      <c r="AD23" s="132">
        <f t="shared" si="32"/>
        <v>51573.928771178304</v>
      </c>
      <c r="AE23" s="132">
        <f t="shared" si="33"/>
        <v>191453.09590392769</v>
      </c>
      <c r="AF23" s="122">
        <f t="shared" si="34"/>
        <v>139879.1671327494</v>
      </c>
      <c r="AG23" s="438">
        <f t="shared" si="35"/>
        <v>139879.1671327494</v>
      </c>
      <c r="AH23" s="122">
        <f t="shared" si="36"/>
        <v>0</v>
      </c>
      <c r="AI23" s="122">
        <f t="shared" si="37"/>
        <v>0</v>
      </c>
      <c r="AJ23" s="122">
        <f>-Debt_Calc!BU21</f>
        <v>0</v>
      </c>
      <c r="AK23" s="122">
        <f>Debt_Calc!BV21</f>
        <v>0</v>
      </c>
      <c r="AL23" s="122">
        <f t="shared" si="38"/>
        <v>0</v>
      </c>
      <c r="AM23" s="217">
        <f t="shared" si="39"/>
        <v>0</v>
      </c>
      <c r="AN23" s="122">
        <f t="shared" si="40"/>
        <v>139879.1671327494</v>
      </c>
      <c r="AO23" s="122">
        <f t="shared" si="41"/>
        <v>191453.09590392769</v>
      </c>
      <c r="AP23" s="122">
        <f t="shared" si="42"/>
        <v>139879.1671327494</v>
      </c>
      <c r="AQ23" s="122">
        <f t="shared" si="43"/>
        <v>0</v>
      </c>
      <c r="AR23" s="122">
        <f t="shared" si="44"/>
        <v>0</v>
      </c>
      <c r="AS23" s="122">
        <f t="shared" si="45"/>
        <v>0</v>
      </c>
      <c r="AT23" s="122">
        <f t="shared" si="46"/>
        <v>961531.26192768966</v>
      </c>
      <c r="AU23" s="122">
        <f t="shared" si="47"/>
        <v>2</v>
      </c>
      <c r="AV23" s="222">
        <f t="shared" si="48"/>
        <v>523.01612702975149</v>
      </c>
    </row>
    <row r="24" spans="2:48" s="86" customFormat="1" x14ac:dyDescent="0.3">
      <c r="B24" s="184">
        <f t="shared" si="18"/>
        <v>13</v>
      </c>
      <c r="C24" s="346">
        <f t="shared" si="10"/>
        <v>2034</v>
      </c>
      <c r="D24" s="347">
        <f t="shared" si="19"/>
        <v>48945</v>
      </c>
      <c r="E24" s="440">
        <f t="shared" si="20"/>
        <v>49309</v>
      </c>
      <c r="F24" s="732">
        <f>IF(AND(B24&gt;0,B24&lt;=Tobacco_Retrofit!$J$10),1,0)</f>
        <v>1</v>
      </c>
      <c r="G24" s="217">
        <f t="shared" si="21"/>
        <v>0</v>
      </c>
      <c r="H24" s="438">
        <f>(Tobacco_Retrofit!$M$22*F24)+IF(B24=Tobacco_Retrofit!$J$10,Tobacco_Retrofit!$J$12,0)</f>
        <v>191453.09590392769</v>
      </c>
      <c r="I24" s="122">
        <f t="shared" si="22"/>
        <v>191453.09590392769</v>
      </c>
      <c r="J24" s="219">
        <f t="shared" si="23"/>
        <v>1</v>
      </c>
      <c r="K24" s="220">
        <f>Deprec!U23</f>
        <v>19540</v>
      </c>
      <c r="L24" s="122">
        <f t="shared" si="24"/>
        <v>171913.09590392769</v>
      </c>
      <c r="M24" s="221">
        <f t="shared" si="25"/>
        <v>0</v>
      </c>
      <c r="N24" s="122">
        <f t="shared" si="26"/>
        <v>171913.09590392769</v>
      </c>
      <c r="O24" s="438">
        <f>IF(N24&lt;0,0,(N24*Tobacco_Retrofit!$J$7))</f>
        <v>51573.928771178304</v>
      </c>
      <c r="P24" s="122">
        <f t="shared" si="27"/>
        <v>120339.1671327494</v>
      </c>
      <c r="Q24" s="123">
        <f t="shared" si="28"/>
        <v>0.6285569139771775</v>
      </c>
      <c r="T24" s="218">
        <f t="shared" si="11"/>
        <v>191453.09590392769</v>
      </c>
      <c r="U24" s="438">
        <f t="shared" si="29"/>
        <v>191453.09590392769</v>
      </c>
      <c r="V24" s="218">
        <f>IF(B24=0,Tobacco_Retrofit!$C$29,0)</f>
        <v>0</v>
      </c>
      <c r="W24" s="435">
        <f t="shared" si="5"/>
        <v>0</v>
      </c>
      <c r="X24" s="438">
        <f t="shared" si="6"/>
        <v>191453.09590392769</v>
      </c>
      <c r="Y24" s="184">
        <f>IF(B24=0,Tobacco_Retrofit!$G$15+Tobacco_Retrofit!$G$16,0)</f>
        <v>0</v>
      </c>
      <c r="Z24" s="185">
        <f>IF(B24=0,Tobacco_Retrofit!$G$14,0)</f>
        <v>0</v>
      </c>
      <c r="AA24" s="132">
        <f t="shared" si="30"/>
        <v>0</v>
      </c>
      <c r="AB24" s="218">
        <f t="shared" si="31"/>
        <v>191453.09590392769</v>
      </c>
      <c r="AC24" s="218">
        <f>Tobacco_Retrofit!$G$20*AVERAGE(AR24,AS24)</f>
        <v>0</v>
      </c>
      <c r="AD24" s="132">
        <f t="shared" si="32"/>
        <v>51573.928771178304</v>
      </c>
      <c r="AE24" s="132">
        <f t="shared" si="33"/>
        <v>191453.09590392769</v>
      </c>
      <c r="AF24" s="122">
        <f t="shared" si="34"/>
        <v>139879.1671327494</v>
      </c>
      <c r="AG24" s="438">
        <f t="shared" si="35"/>
        <v>139879.1671327494</v>
      </c>
      <c r="AH24" s="122">
        <f t="shared" si="36"/>
        <v>0</v>
      </c>
      <c r="AI24" s="122">
        <f t="shared" si="37"/>
        <v>0</v>
      </c>
      <c r="AJ24" s="122">
        <f>-Debt_Calc!BU22</f>
        <v>0</v>
      </c>
      <c r="AK24" s="122">
        <f>Debt_Calc!BV22</f>
        <v>0</v>
      </c>
      <c r="AL24" s="122">
        <f t="shared" si="38"/>
        <v>0</v>
      </c>
      <c r="AM24" s="217">
        <f t="shared" si="39"/>
        <v>0</v>
      </c>
      <c r="AN24" s="122">
        <f t="shared" si="40"/>
        <v>139879.1671327494</v>
      </c>
      <c r="AO24" s="122">
        <f t="shared" si="41"/>
        <v>191453.09590392769</v>
      </c>
      <c r="AP24" s="122">
        <f t="shared" si="42"/>
        <v>139879.1671327494</v>
      </c>
      <c r="AQ24" s="122">
        <f t="shared" si="43"/>
        <v>0</v>
      </c>
      <c r="AR24" s="122">
        <f t="shared" si="44"/>
        <v>0</v>
      </c>
      <c r="AS24" s="122">
        <f t="shared" si="45"/>
        <v>0</v>
      </c>
      <c r="AT24" s="122">
        <f t="shared" si="46"/>
        <v>1101410.4290604391</v>
      </c>
      <c r="AU24" s="122">
        <f t="shared" si="47"/>
        <v>2</v>
      </c>
      <c r="AV24" s="222">
        <f t="shared" si="48"/>
        <v>328.28062426860754</v>
      </c>
    </row>
    <row r="25" spans="2:48" s="86" customFormat="1" x14ac:dyDescent="0.3">
      <c r="B25" s="184">
        <f t="shared" si="18"/>
        <v>14</v>
      </c>
      <c r="C25" s="346">
        <f t="shared" si="10"/>
        <v>2035</v>
      </c>
      <c r="D25" s="347">
        <f t="shared" si="19"/>
        <v>49310</v>
      </c>
      <c r="E25" s="440">
        <f t="shared" si="20"/>
        <v>49674</v>
      </c>
      <c r="F25" s="732">
        <f>IF(AND(B25&gt;0,B25&lt;=Tobacco_Retrofit!$J$10),1,0)</f>
        <v>1</v>
      </c>
      <c r="G25" s="217">
        <f t="shared" si="21"/>
        <v>0</v>
      </c>
      <c r="H25" s="438">
        <f>(Tobacco_Retrofit!$M$22*F25)+IF(B25=Tobacco_Retrofit!$J$10,Tobacco_Retrofit!$J$12,0)</f>
        <v>191453.09590392769</v>
      </c>
      <c r="I25" s="122">
        <f t="shared" si="22"/>
        <v>191453.09590392769</v>
      </c>
      <c r="J25" s="219">
        <f t="shared" si="23"/>
        <v>1</v>
      </c>
      <c r="K25" s="220">
        <f>Deprec!U24</f>
        <v>19540</v>
      </c>
      <c r="L25" s="122">
        <f t="shared" si="24"/>
        <v>171913.09590392769</v>
      </c>
      <c r="M25" s="221">
        <f t="shared" si="25"/>
        <v>0</v>
      </c>
      <c r="N25" s="122">
        <f t="shared" si="26"/>
        <v>171913.09590392769</v>
      </c>
      <c r="O25" s="438">
        <f>IF(N25&lt;0,0,(N25*Tobacco_Retrofit!$J$7))</f>
        <v>51573.928771178304</v>
      </c>
      <c r="P25" s="122">
        <f t="shared" si="27"/>
        <v>120339.1671327494</v>
      </c>
      <c r="Q25" s="123">
        <f t="shared" si="28"/>
        <v>0.6285569139771775</v>
      </c>
      <c r="T25" s="218">
        <f t="shared" si="11"/>
        <v>191453.09590392769</v>
      </c>
      <c r="U25" s="438">
        <f t="shared" si="29"/>
        <v>191453.09590392769</v>
      </c>
      <c r="V25" s="218">
        <f>IF(B25=0,Tobacco_Retrofit!$C$29,0)</f>
        <v>0</v>
      </c>
      <c r="W25" s="435">
        <f t="shared" si="5"/>
        <v>0</v>
      </c>
      <c r="X25" s="438">
        <f t="shared" si="6"/>
        <v>191453.09590392769</v>
      </c>
      <c r="Y25" s="184">
        <f>IF(B25=0,Tobacco_Retrofit!$G$15+Tobacco_Retrofit!$G$16,0)</f>
        <v>0</v>
      </c>
      <c r="Z25" s="185">
        <f>IF(B25=0,Tobacco_Retrofit!$G$14,0)</f>
        <v>0</v>
      </c>
      <c r="AA25" s="132">
        <f t="shared" si="30"/>
        <v>0</v>
      </c>
      <c r="AB25" s="218">
        <f t="shared" si="31"/>
        <v>191453.09590392769</v>
      </c>
      <c r="AC25" s="218">
        <f>Tobacco_Retrofit!$G$20*AVERAGE(AR25,AS25)</f>
        <v>0</v>
      </c>
      <c r="AD25" s="132">
        <f t="shared" si="32"/>
        <v>51573.928771178304</v>
      </c>
      <c r="AE25" s="132">
        <f t="shared" si="33"/>
        <v>191453.09590392769</v>
      </c>
      <c r="AF25" s="122">
        <f t="shared" si="34"/>
        <v>139879.1671327494</v>
      </c>
      <c r="AG25" s="438">
        <f t="shared" si="35"/>
        <v>139879.1671327494</v>
      </c>
      <c r="AH25" s="122">
        <f t="shared" si="36"/>
        <v>0</v>
      </c>
      <c r="AI25" s="122">
        <f t="shared" si="37"/>
        <v>0</v>
      </c>
      <c r="AJ25" s="122">
        <f>-Debt_Calc!BU23</f>
        <v>0</v>
      </c>
      <c r="AK25" s="122">
        <f>Debt_Calc!BV23</f>
        <v>0</v>
      </c>
      <c r="AL25" s="122">
        <f t="shared" si="38"/>
        <v>0</v>
      </c>
      <c r="AM25" s="217">
        <f t="shared" si="39"/>
        <v>0</v>
      </c>
      <c r="AN25" s="122">
        <f t="shared" si="40"/>
        <v>139879.1671327494</v>
      </c>
      <c r="AO25" s="122">
        <f t="shared" si="41"/>
        <v>191453.09590392769</v>
      </c>
      <c r="AP25" s="122">
        <f t="shared" si="42"/>
        <v>139879.1671327494</v>
      </c>
      <c r="AQ25" s="122">
        <f t="shared" si="43"/>
        <v>0</v>
      </c>
      <c r="AR25" s="122">
        <f t="shared" si="44"/>
        <v>0</v>
      </c>
      <c r="AS25" s="122">
        <f t="shared" si="45"/>
        <v>0</v>
      </c>
      <c r="AT25" s="122">
        <f t="shared" si="46"/>
        <v>1241289.5961931886</v>
      </c>
      <c r="AU25" s="122">
        <f t="shared" si="47"/>
        <v>2</v>
      </c>
      <c r="AV25" s="222">
        <f t="shared" si="48"/>
        <v>206.05132939630445</v>
      </c>
    </row>
    <row r="26" spans="2:48" s="86" customFormat="1" x14ac:dyDescent="0.3">
      <c r="B26" s="184">
        <f t="shared" si="18"/>
        <v>15</v>
      </c>
      <c r="C26" s="346">
        <f t="shared" si="10"/>
        <v>2036</v>
      </c>
      <c r="D26" s="347">
        <f t="shared" si="19"/>
        <v>49675</v>
      </c>
      <c r="E26" s="440">
        <f t="shared" si="20"/>
        <v>50040</v>
      </c>
      <c r="F26" s="732">
        <f>IF(AND(B26&gt;0,B26&lt;=Tobacco_Retrofit!$J$10),1,0)</f>
        <v>1</v>
      </c>
      <c r="G26" s="217">
        <f t="shared" si="21"/>
        <v>0</v>
      </c>
      <c r="H26" s="438">
        <f>(Tobacco_Retrofit!$M$22*F26)+IF(B26=Tobacco_Retrofit!$J$10,Tobacco_Retrofit!$J$12,0)</f>
        <v>191453.09590392769</v>
      </c>
      <c r="I26" s="122">
        <f t="shared" si="22"/>
        <v>191453.09590392769</v>
      </c>
      <c r="J26" s="219">
        <f t="shared" si="23"/>
        <v>1</v>
      </c>
      <c r="K26" s="220">
        <f>Deprec!U25</f>
        <v>19540</v>
      </c>
      <c r="L26" s="122">
        <f t="shared" si="24"/>
        <v>171913.09590392769</v>
      </c>
      <c r="M26" s="221">
        <f t="shared" si="25"/>
        <v>0</v>
      </c>
      <c r="N26" s="122">
        <f t="shared" si="26"/>
        <v>171913.09590392769</v>
      </c>
      <c r="O26" s="438">
        <f>IF(N26&lt;0,0,(N26*Tobacco_Retrofit!$J$7))</f>
        <v>51573.928771178304</v>
      </c>
      <c r="P26" s="122">
        <f t="shared" si="27"/>
        <v>120339.1671327494</v>
      </c>
      <c r="Q26" s="123">
        <f t="shared" si="28"/>
        <v>0.6285569139771775</v>
      </c>
      <c r="T26" s="218">
        <f t="shared" si="11"/>
        <v>191453.09590392769</v>
      </c>
      <c r="U26" s="438">
        <f t="shared" si="29"/>
        <v>191453.09590392769</v>
      </c>
      <c r="V26" s="218">
        <f>IF(B26=0,Tobacco_Retrofit!$C$29,0)</f>
        <v>0</v>
      </c>
      <c r="W26" s="435">
        <f t="shared" si="5"/>
        <v>0</v>
      </c>
      <c r="X26" s="438">
        <f t="shared" si="6"/>
        <v>191453.09590392769</v>
      </c>
      <c r="Y26" s="184">
        <f>IF(B26=0,Tobacco_Retrofit!$G$15+Tobacco_Retrofit!$G$16,0)</f>
        <v>0</v>
      </c>
      <c r="Z26" s="185">
        <f>IF(B26=0,Tobacco_Retrofit!$G$14,0)</f>
        <v>0</v>
      </c>
      <c r="AA26" s="132">
        <f t="shared" si="30"/>
        <v>0</v>
      </c>
      <c r="AB26" s="218">
        <f t="shared" si="31"/>
        <v>191453.09590392769</v>
      </c>
      <c r="AC26" s="218">
        <f>Tobacco_Retrofit!$G$20*AVERAGE(AR26,AS26)</f>
        <v>0</v>
      </c>
      <c r="AD26" s="132">
        <f t="shared" si="32"/>
        <v>51573.928771178304</v>
      </c>
      <c r="AE26" s="132">
        <f t="shared" si="33"/>
        <v>191453.09590392769</v>
      </c>
      <c r="AF26" s="122">
        <f t="shared" si="34"/>
        <v>139879.1671327494</v>
      </c>
      <c r="AG26" s="438">
        <f t="shared" si="35"/>
        <v>139879.1671327494</v>
      </c>
      <c r="AH26" s="122">
        <f t="shared" si="36"/>
        <v>0</v>
      </c>
      <c r="AI26" s="122">
        <f t="shared" si="37"/>
        <v>0</v>
      </c>
      <c r="AJ26" s="122">
        <f>-Debt_Calc!BU24</f>
        <v>0</v>
      </c>
      <c r="AK26" s="122">
        <f>Debt_Calc!BV24</f>
        <v>0</v>
      </c>
      <c r="AL26" s="122">
        <f t="shared" si="38"/>
        <v>0</v>
      </c>
      <c r="AM26" s="217">
        <f t="shared" si="39"/>
        <v>0</v>
      </c>
      <c r="AN26" s="122">
        <f t="shared" si="40"/>
        <v>139879.1671327494</v>
      </c>
      <c r="AO26" s="122">
        <f t="shared" si="41"/>
        <v>191453.09590392769</v>
      </c>
      <c r="AP26" s="122">
        <f t="shared" si="42"/>
        <v>139879.1671327494</v>
      </c>
      <c r="AQ26" s="122">
        <f t="shared" si="43"/>
        <v>0</v>
      </c>
      <c r="AR26" s="122">
        <f t="shared" si="44"/>
        <v>0</v>
      </c>
      <c r="AS26" s="122">
        <f t="shared" si="45"/>
        <v>0</v>
      </c>
      <c r="AT26" s="122">
        <f t="shared" si="46"/>
        <v>1381168.763325938</v>
      </c>
      <c r="AU26" s="122">
        <f t="shared" si="47"/>
        <v>2</v>
      </c>
      <c r="AV26" s="222">
        <f t="shared" si="48"/>
        <v>129.33188012718298</v>
      </c>
    </row>
    <row r="27" spans="2:48" s="86" customFormat="1" x14ac:dyDescent="0.3">
      <c r="B27" s="184">
        <f t="shared" si="18"/>
        <v>16</v>
      </c>
      <c r="C27" s="346">
        <f t="shared" si="10"/>
        <v>2037</v>
      </c>
      <c r="D27" s="347">
        <f t="shared" si="19"/>
        <v>50041</v>
      </c>
      <c r="E27" s="440">
        <f t="shared" si="20"/>
        <v>50405</v>
      </c>
      <c r="F27" s="732">
        <f>IF(AND(B27&gt;0,B27&lt;=Tobacco_Retrofit!$J$10),1,0)</f>
        <v>1</v>
      </c>
      <c r="G27" s="217">
        <f t="shared" si="21"/>
        <v>0</v>
      </c>
      <c r="H27" s="438">
        <f>(Tobacco_Retrofit!$M$22*F27)+IF(B27=Tobacco_Retrofit!$J$10,Tobacco_Retrofit!$J$12,0)</f>
        <v>191453.09590392769</v>
      </c>
      <c r="I27" s="122">
        <f t="shared" si="22"/>
        <v>191453.09590392769</v>
      </c>
      <c r="J27" s="219">
        <f t="shared" si="23"/>
        <v>1</v>
      </c>
      <c r="K27" s="220">
        <f>Deprec!U26</f>
        <v>19540</v>
      </c>
      <c r="L27" s="122">
        <f t="shared" si="24"/>
        <v>171913.09590392769</v>
      </c>
      <c r="M27" s="221">
        <f t="shared" si="25"/>
        <v>0</v>
      </c>
      <c r="N27" s="122">
        <f t="shared" si="26"/>
        <v>171913.09590392769</v>
      </c>
      <c r="O27" s="438">
        <f>IF(N27&lt;0,0,(N27*Tobacco_Retrofit!$J$7))</f>
        <v>51573.928771178304</v>
      </c>
      <c r="P27" s="122">
        <f t="shared" si="27"/>
        <v>120339.1671327494</v>
      </c>
      <c r="Q27" s="123">
        <f t="shared" si="28"/>
        <v>0.6285569139771775</v>
      </c>
      <c r="T27" s="218">
        <f t="shared" si="11"/>
        <v>191453.09590392769</v>
      </c>
      <c r="U27" s="438">
        <f t="shared" si="29"/>
        <v>191453.09590392769</v>
      </c>
      <c r="V27" s="218">
        <f>IF(B27=0,Tobacco_Retrofit!$C$29,0)</f>
        <v>0</v>
      </c>
      <c r="W27" s="435">
        <f t="shared" si="5"/>
        <v>0</v>
      </c>
      <c r="X27" s="438">
        <f t="shared" si="6"/>
        <v>191453.09590392769</v>
      </c>
      <c r="Y27" s="184">
        <f>IF(B27=0,Tobacco_Retrofit!$G$15+Tobacco_Retrofit!$G$16,0)</f>
        <v>0</v>
      </c>
      <c r="Z27" s="185">
        <f>IF(B27=0,Tobacco_Retrofit!$G$14,0)</f>
        <v>0</v>
      </c>
      <c r="AA27" s="132">
        <f t="shared" si="30"/>
        <v>0</v>
      </c>
      <c r="AB27" s="218">
        <f t="shared" si="31"/>
        <v>191453.09590392769</v>
      </c>
      <c r="AC27" s="218">
        <f>Tobacco_Retrofit!$G$20*AVERAGE(AR27,AS27)</f>
        <v>0</v>
      </c>
      <c r="AD27" s="132">
        <f t="shared" si="32"/>
        <v>51573.928771178304</v>
      </c>
      <c r="AE27" s="132">
        <f t="shared" si="33"/>
        <v>191453.09590392769</v>
      </c>
      <c r="AF27" s="122">
        <f t="shared" si="34"/>
        <v>139879.1671327494</v>
      </c>
      <c r="AG27" s="438">
        <f t="shared" si="35"/>
        <v>139879.1671327494</v>
      </c>
      <c r="AH27" s="122">
        <f t="shared" si="36"/>
        <v>0</v>
      </c>
      <c r="AI27" s="122">
        <f t="shared" si="37"/>
        <v>0</v>
      </c>
      <c r="AJ27" s="122">
        <f>-Debt_Calc!BU25</f>
        <v>0</v>
      </c>
      <c r="AK27" s="122">
        <f>Debt_Calc!BV25</f>
        <v>0</v>
      </c>
      <c r="AL27" s="122">
        <f t="shared" si="38"/>
        <v>0</v>
      </c>
      <c r="AM27" s="217">
        <f t="shared" si="39"/>
        <v>0</v>
      </c>
      <c r="AN27" s="122">
        <f t="shared" si="40"/>
        <v>139879.1671327494</v>
      </c>
      <c r="AO27" s="122">
        <f t="shared" si="41"/>
        <v>191453.09590392769</v>
      </c>
      <c r="AP27" s="122">
        <f t="shared" si="42"/>
        <v>139879.1671327494</v>
      </c>
      <c r="AQ27" s="122">
        <f t="shared" si="43"/>
        <v>0</v>
      </c>
      <c r="AR27" s="122">
        <f t="shared" si="44"/>
        <v>0</v>
      </c>
      <c r="AS27" s="122">
        <f t="shared" si="45"/>
        <v>0</v>
      </c>
      <c r="AT27" s="122">
        <f t="shared" si="46"/>
        <v>1521047.9304586875</v>
      </c>
      <c r="AU27" s="122">
        <f t="shared" si="47"/>
        <v>2</v>
      </c>
      <c r="AV27" s="222">
        <f t="shared" si="48"/>
        <v>81.177516622865468</v>
      </c>
    </row>
    <row r="28" spans="2:48" s="86" customFormat="1" x14ac:dyDescent="0.3">
      <c r="B28" s="184">
        <f t="shared" si="18"/>
        <v>17</v>
      </c>
      <c r="C28" s="346">
        <f t="shared" si="10"/>
        <v>2038</v>
      </c>
      <c r="D28" s="347">
        <f t="shared" si="19"/>
        <v>50406</v>
      </c>
      <c r="E28" s="440">
        <f t="shared" si="20"/>
        <v>50770</v>
      </c>
      <c r="F28" s="732">
        <f>IF(AND(B28&gt;0,B28&lt;=Tobacco_Retrofit!$J$10),1,0)</f>
        <v>1</v>
      </c>
      <c r="G28" s="217">
        <f t="shared" si="21"/>
        <v>0</v>
      </c>
      <c r="H28" s="438">
        <f>(Tobacco_Retrofit!$M$22*F28)+IF(B28=Tobacco_Retrofit!$J$10,Tobacco_Retrofit!$J$12,0)</f>
        <v>191453.09590392769</v>
      </c>
      <c r="I28" s="122">
        <f t="shared" si="22"/>
        <v>191453.09590392769</v>
      </c>
      <c r="J28" s="219">
        <f t="shared" si="23"/>
        <v>1</v>
      </c>
      <c r="K28" s="220">
        <f>Deprec!U27</f>
        <v>19540</v>
      </c>
      <c r="L28" s="122">
        <f t="shared" si="24"/>
        <v>171913.09590392769</v>
      </c>
      <c r="M28" s="221">
        <f t="shared" si="25"/>
        <v>0</v>
      </c>
      <c r="N28" s="122">
        <f t="shared" si="26"/>
        <v>171913.09590392769</v>
      </c>
      <c r="O28" s="438">
        <f>IF(N28&lt;0,0,(N28*Tobacco_Retrofit!$J$7))</f>
        <v>51573.928771178304</v>
      </c>
      <c r="P28" s="122">
        <f t="shared" si="27"/>
        <v>120339.1671327494</v>
      </c>
      <c r="Q28" s="123">
        <f t="shared" si="28"/>
        <v>0.6285569139771775</v>
      </c>
      <c r="T28" s="218">
        <f t="shared" si="11"/>
        <v>191453.09590392769</v>
      </c>
      <c r="U28" s="438">
        <f t="shared" si="29"/>
        <v>191453.09590392769</v>
      </c>
      <c r="V28" s="218">
        <f>IF(B28=0,Tobacco_Retrofit!$C$29,0)</f>
        <v>0</v>
      </c>
      <c r="W28" s="435">
        <f t="shared" si="5"/>
        <v>0</v>
      </c>
      <c r="X28" s="438">
        <f t="shared" si="6"/>
        <v>191453.09590392769</v>
      </c>
      <c r="Y28" s="184">
        <f>IF(B28=0,Tobacco_Retrofit!$G$15+Tobacco_Retrofit!$G$16,0)</f>
        <v>0</v>
      </c>
      <c r="Z28" s="185">
        <f>IF(B28=0,Tobacco_Retrofit!$G$14,0)</f>
        <v>0</v>
      </c>
      <c r="AA28" s="132">
        <f t="shared" si="30"/>
        <v>0</v>
      </c>
      <c r="AB28" s="218">
        <f t="shared" si="31"/>
        <v>191453.09590392769</v>
      </c>
      <c r="AC28" s="218">
        <f>Tobacco_Retrofit!$G$20*AVERAGE(AR28,AS28)</f>
        <v>0</v>
      </c>
      <c r="AD28" s="132">
        <f t="shared" si="32"/>
        <v>51573.928771178304</v>
      </c>
      <c r="AE28" s="132">
        <f t="shared" si="33"/>
        <v>191453.09590392769</v>
      </c>
      <c r="AF28" s="122">
        <f t="shared" si="34"/>
        <v>139879.1671327494</v>
      </c>
      <c r="AG28" s="438">
        <f t="shared" si="35"/>
        <v>139879.1671327494</v>
      </c>
      <c r="AH28" s="122">
        <f t="shared" si="36"/>
        <v>0</v>
      </c>
      <c r="AI28" s="122">
        <f t="shared" si="37"/>
        <v>0</v>
      </c>
      <c r="AJ28" s="122">
        <f>-Debt_Calc!BU26</f>
        <v>0</v>
      </c>
      <c r="AK28" s="122">
        <f>Debt_Calc!BV26</f>
        <v>0</v>
      </c>
      <c r="AL28" s="122">
        <f t="shared" si="38"/>
        <v>0</v>
      </c>
      <c r="AM28" s="217">
        <f t="shared" si="39"/>
        <v>0</v>
      </c>
      <c r="AN28" s="122">
        <f t="shared" si="40"/>
        <v>139879.1671327494</v>
      </c>
      <c r="AO28" s="122">
        <f t="shared" si="41"/>
        <v>191453.09590392769</v>
      </c>
      <c r="AP28" s="122">
        <f t="shared" si="42"/>
        <v>139879.1671327494</v>
      </c>
      <c r="AQ28" s="122">
        <f t="shared" si="43"/>
        <v>0</v>
      </c>
      <c r="AR28" s="122">
        <f t="shared" si="44"/>
        <v>0</v>
      </c>
      <c r="AS28" s="122">
        <f t="shared" si="45"/>
        <v>0</v>
      </c>
      <c r="AT28" s="122">
        <f t="shared" si="46"/>
        <v>1660927.0975914369</v>
      </c>
      <c r="AU28" s="122">
        <f t="shared" si="47"/>
        <v>2</v>
      </c>
      <c r="AV28" s="222">
        <f t="shared" si="48"/>
        <v>50.952550899092323</v>
      </c>
    </row>
    <row r="29" spans="2:48" s="86" customFormat="1" x14ac:dyDescent="0.3">
      <c r="B29" s="184">
        <f t="shared" si="18"/>
        <v>18</v>
      </c>
      <c r="C29" s="346">
        <f t="shared" si="10"/>
        <v>2039</v>
      </c>
      <c r="D29" s="347">
        <f t="shared" si="19"/>
        <v>50771</v>
      </c>
      <c r="E29" s="440">
        <f t="shared" si="20"/>
        <v>51135</v>
      </c>
      <c r="F29" s="732">
        <f>IF(AND(B29&gt;0,B29&lt;=Tobacco_Retrofit!$J$10),1,0)</f>
        <v>1</v>
      </c>
      <c r="G29" s="217">
        <f t="shared" si="21"/>
        <v>0</v>
      </c>
      <c r="H29" s="438">
        <f>(Tobacco_Retrofit!$M$22*F29)+IF(B29=Tobacco_Retrofit!$J$10,Tobacco_Retrofit!$J$12,0)</f>
        <v>191453.09590392769</v>
      </c>
      <c r="I29" s="122">
        <f t="shared" si="22"/>
        <v>191453.09590392769</v>
      </c>
      <c r="J29" s="219">
        <f t="shared" si="23"/>
        <v>1</v>
      </c>
      <c r="K29" s="220">
        <f>Deprec!U28</f>
        <v>19540</v>
      </c>
      <c r="L29" s="122">
        <f t="shared" si="24"/>
        <v>171913.09590392769</v>
      </c>
      <c r="M29" s="221">
        <f t="shared" si="25"/>
        <v>0</v>
      </c>
      <c r="N29" s="122">
        <f t="shared" si="26"/>
        <v>171913.09590392769</v>
      </c>
      <c r="O29" s="438">
        <f>IF(N29&lt;0,0,(N29*Tobacco_Retrofit!$J$7))</f>
        <v>51573.928771178304</v>
      </c>
      <c r="P29" s="122">
        <f t="shared" si="27"/>
        <v>120339.1671327494</v>
      </c>
      <c r="Q29" s="123">
        <f t="shared" si="28"/>
        <v>0.6285569139771775</v>
      </c>
      <c r="T29" s="218">
        <f t="shared" si="11"/>
        <v>191453.09590392769</v>
      </c>
      <c r="U29" s="438">
        <f t="shared" si="29"/>
        <v>191453.09590392769</v>
      </c>
      <c r="V29" s="218">
        <f>IF(B29=0,Tobacco_Retrofit!$C$29,0)</f>
        <v>0</v>
      </c>
      <c r="W29" s="435">
        <f t="shared" si="5"/>
        <v>0</v>
      </c>
      <c r="X29" s="438">
        <f t="shared" si="6"/>
        <v>191453.09590392769</v>
      </c>
      <c r="Y29" s="184">
        <f>IF(B29=0,Tobacco_Retrofit!$G$15+Tobacco_Retrofit!$G$16,0)</f>
        <v>0</v>
      </c>
      <c r="Z29" s="185">
        <f>IF(B29=0,Tobacco_Retrofit!$G$14,0)</f>
        <v>0</v>
      </c>
      <c r="AA29" s="132">
        <f t="shared" si="30"/>
        <v>0</v>
      </c>
      <c r="AB29" s="218">
        <f t="shared" si="31"/>
        <v>191453.09590392769</v>
      </c>
      <c r="AC29" s="218">
        <f>Tobacco_Retrofit!$G$20*AVERAGE(AR29,AS29)</f>
        <v>0</v>
      </c>
      <c r="AD29" s="132">
        <f t="shared" si="32"/>
        <v>51573.928771178304</v>
      </c>
      <c r="AE29" s="132">
        <f t="shared" si="33"/>
        <v>191453.09590392769</v>
      </c>
      <c r="AF29" s="122">
        <f t="shared" si="34"/>
        <v>139879.1671327494</v>
      </c>
      <c r="AG29" s="438">
        <f t="shared" si="35"/>
        <v>139879.1671327494</v>
      </c>
      <c r="AH29" s="122">
        <f t="shared" si="36"/>
        <v>0</v>
      </c>
      <c r="AI29" s="122">
        <f t="shared" si="37"/>
        <v>0</v>
      </c>
      <c r="AJ29" s="122">
        <f>-Debt_Calc!BU27</f>
        <v>0</v>
      </c>
      <c r="AK29" s="122">
        <f>Debt_Calc!BV27</f>
        <v>0</v>
      </c>
      <c r="AL29" s="122">
        <f t="shared" si="38"/>
        <v>0</v>
      </c>
      <c r="AM29" s="217">
        <f t="shared" si="39"/>
        <v>0</v>
      </c>
      <c r="AN29" s="122">
        <f t="shared" si="40"/>
        <v>139879.1671327494</v>
      </c>
      <c r="AO29" s="122">
        <f t="shared" si="41"/>
        <v>191453.09590392769</v>
      </c>
      <c r="AP29" s="122">
        <f t="shared" si="42"/>
        <v>139879.1671327494</v>
      </c>
      <c r="AQ29" s="122">
        <f t="shared" si="43"/>
        <v>0</v>
      </c>
      <c r="AR29" s="122">
        <f t="shared" si="44"/>
        <v>0</v>
      </c>
      <c r="AS29" s="122">
        <f t="shared" si="45"/>
        <v>0</v>
      </c>
      <c r="AT29" s="122">
        <f t="shared" si="46"/>
        <v>1800806.2647241864</v>
      </c>
      <c r="AU29" s="122">
        <f t="shared" si="47"/>
        <v>2</v>
      </c>
      <c r="AV29" s="222">
        <f t="shared" si="48"/>
        <v>31.981299146977435</v>
      </c>
    </row>
    <row r="30" spans="2:48" s="86" customFormat="1" x14ac:dyDescent="0.3">
      <c r="B30" s="184">
        <f t="shared" si="18"/>
        <v>19</v>
      </c>
      <c r="C30" s="346">
        <f t="shared" si="10"/>
        <v>2040</v>
      </c>
      <c r="D30" s="347">
        <f t="shared" si="19"/>
        <v>51136</v>
      </c>
      <c r="E30" s="440">
        <f t="shared" si="20"/>
        <v>51501</v>
      </c>
      <c r="F30" s="732">
        <f>IF(AND(B30&gt;0,B30&lt;=Tobacco_Retrofit!$J$10),1,0)</f>
        <v>1</v>
      </c>
      <c r="G30" s="217">
        <f t="shared" si="21"/>
        <v>0</v>
      </c>
      <c r="H30" s="438">
        <f>(Tobacco_Retrofit!$M$22*F30)+IF(B30=Tobacco_Retrofit!$J$10,Tobacco_Retrofit!$J$12,0)</f>
        <v>191453.09590392769</v>
      </c>
      <c r="I30" s="122">
        <f t="shared" si="22"/>
        <v>191453.09590392769</v>
      </c>
      <c r="J30" s="219">
        <f t="shared" si="23"/>
        <v>1</v>
      </c>
      <c r="K30" s="220">
        <f>Deprec!U29</f>
        <v>19540</v>
      </c>
      <c r="L30" s="122">
        <f t="shared" si="24"/>
        <v>171913.09590392769</v>
      </c>
      <c r="M30" s="221">
        <f t="shared" si="25"/>
        <v>0</v>
      </c>
      <c r="N30" s="122">
        <f t="shared" si="26"/>
        <v>171913.09590392769</v>
      </c>
      <c r="O30" s="438">
        <f>IF(N30&lt;0,0,(N30*Tobacco_Retrofit!$J$7))</f>
        <v>51573.928771178304</v>
      </c>
      <c r="P30" s="122">
        <f t="shared" si="27"/>
        <v>120339.1671327494</v>
      </c>
      <c r="Q30" s="123">
        <f t="shared" si="28"/>
        <v>0.6285569139771775</v>
      </c>
      <c r="T30" s="218">
        <f t="shared" si="11"/>
        <v>191453.09590392769</v>
      </c>
      <c r="U30" s="438">
        <f t="shared" si="29"/>
        <v>191453.09590392769</v>
      </c>
      <c r="V30" s="218">
        <f>IF(B30=0,Tobacco_Retrofit!$C$29,0)</f>
        <v>0</v>
      </c>
      <c r="W30" s="435">
        <f t="shared" si="5"/>
        <v>0</v>
      </c>
      <c r="X30" s="438">
        <f t="shared" si="6"/>
        <v>191453.09590392769</v>
      </c>
      <c r="Y30" s="184">
        <f>IF(B30=0,Tobacco_Retrofit!$G$15+Tobacco_Retrofit!$G$16,0)</f>
        <v>0</v>
      </c>
      <c r="Z30" s="185">
        <f>IF(B30=0,Tobacco_Retrofit!$G$14,0)</f>
        <v>0</v>
      </c>
      <c r="AA30" s="132">
        <f t="shared" si="30"/>
        <v>0</v>
      </c>
      <c r="AB30" s="218">
        <f t="shared" si="31"/>
        <v>191453.09590392769</v>
      </c>
      <c r="AC30" s="218">
        <f>Tobacco_Retrofit!$G$20*AVERAGE(AR30,AS30)</f>
        <v>0</v>
      </c>
      <c r="AD30" s="132">
        <f t="shared" si="32"/>
        <v>51573.928771178304</v>
      </c>
      <c r="AE30" s="132">
        <f t="shared" si="33"/>
        <v>191453.09590392769</v>
      </c>
      <c r="AF30" s="122">
        <f t="shared" si="34"/>
        <v>139879.1671327494</v>
      </c>
      <c r="AG30" s="438">
        <f t="shared" si="35"/>
        <v>139879.1671327494</v>
      </c>
      <c r="AH30" s="122">
        <f t="shared" si="36"/>
        <v>0</v>
      </c>
      <c r="AI30" s="122">
        <f t="shared" si="37"/>
        <v>0</v>
      </c>
      <c r="AJ30" s="122">
        <f>-Debt_Calc!BU28</f>
        <v>0</v>
      </c>
      <c r="AK30" s="122">
        <f>Debt_Calc!BV28</f>
        <v>0</v>
      </c>
      <c r="AL30" s="122">
        <f t="shared" si="38"/>
        <v>0</v>
      </c>
      <c r="AM30" s="217">
        <f t="shared" si="39"/>
        <v>0</v>
      </c>
      <c r="AN30" s="122">
        <f t="shared" si="40"/>
        <v>139879.1671327494</v>
      </c>
      <c r="AO30" s="122">
        <f t="shared" si="41"/>
        <v>191453.09590392769</v>
      </c>
      <c r="AP30" s="122">
        <f t="shared" si="42"/>
        <v>139879.1671327494</v>
      </c>
      <c r="AQ30" s="122">
        <f t="shared" si="43"/>
        <v>0</v>
      </c>
      <c r="AR30" s="122">
        <f t="shared" si="44"/>
        <v>0</v>
      </c>
      <c r="AS30" s="122">
        <f t="shared" si="45"/>
        <v>0</v>
      </c>
      <c r="AT30" s="122">
        <f t="shared" si="46"/>
        <v>1940685.4318569358</v>
      </c>
      <c r="AU30" s="122">
        <f t="shared" si="47"/>
        <v>2</v>
      </c>
      <c r="AV30" s="222">
        <f t="shared" si="48"/>
        <v>20.073646502096523</v>
      </c>
    </row>
    <row r="31" spans="2:48" s="86" customFormat="1" x14ac:dyDescent="0.3">
      <c r="B31" s="184">
        <f t="shared" si="18"/>
        <v>20</v>
      </c>
      <c r="C31" s="346">
        <f t="shared" si="10"/>
        <v>2041</v>
      </c>
      <c r="D31" s="347">
        <f t="shared" si="19"/>
        <v>51502</v>
      </c>
      <c r="E31" s="440">
        <f t="shared" si="20"/>
        <v>51866</v>
      </c>
      <c r="F31" s="732">
        <f>IF(AND(B31&gt;0,B31&lt;=Tobacco_Retrofit!$J$10),1,0)</f>
        <v>1</v>
      </c>
      <c r="G31" s="217">
        <f t="shared" si="21"/>
        <v>0</v>
      </c>
      <c r="H31" s="438">
        <f>(Tobacco_Retrofit!$M$22*F31)+IF(B31=Tobacco_Retrofit!$J$10,Tobacco_Retrofit!$J$12,0)</f>
        <v>191453.09590392769</v>
      </c>
      <c r="I31" s="122">
        <f t="shared" si="22"/>
        <v>191453.09590392769</v>
      </c>
      <c r="J31" s="219">
        <f t="shared" si="23"/>
        <v>1</v>
      </c>
      <c r="K31" s="220">
        <f>Deprec!U30</f>
        <v>19540</v>
      </c>
      <c r="L31" s="122">
        <f t="shared" si="24"/>
        <v>171913.09590392769</v>
      </c>
      <c r="M31" s="221">
        <f t="shared" si="25"/>
        <v>0</v>
      </c>
      <c r="N31" s="122">
        <f t="shared" si="26"/>
        <v>171913.09590392769</v>
      </c>
      <c r="O31" s="438">
        <f>IF(N31&lt;0,0,(N31*Tobacco_Retrofit!$J$7))</f>
        <v>51573.928771178304</v>
      </c>
      <c r="P31" s="122">
        <f t="shared" si="27"/>
        <v>120339.1671327494</v>
      </c>
      <c r="Q31" s="123">
        <f t="shared" si="28"/>
        <v>0.6285569139771775</v>
      </c>
      <c r="T31" s="218">
        <f t="shared" si="11"/>
        <v>191453.09590392769</v>
      </c>
      <c r="U31" s="438">
        <f t="shared" si="29"/>
        <v>191453.09590392769</v>
      </c>
      <c r="V31" s="218">
        <f>IF(B31=0,Tobacco_Retrofit!$C$29,0)</f>
        <v>0</v>
      </c>
      <c r="W31" s="435">
        <f t="shared" si="5"/>
        <v>0</v>
      </c>
      <c r="X31" s="438">
        <f t="shared" si="6"/>
        <v>191453.09590392769</v>
      </c>
      <c r="Y31" s="184">
        <f>IF(B31=0,Tobacco_Retrofit!$G$15+Tobacco_Retrofit!$G$16,0)</f>
        <v>0</v>
      </c>
      <c r="Z31" s="185">
        <f>IF(B31=0,Tobacco_Retrofit!$G$14,0)</f>
        <v>0</v>
      </c>
      <c r="AA31" s="132">
        <f t="shared" si="30"/>
        <v>0</v>
      </c>
      <c r="AB31" s="218">
        <f t="shared" si="31"/>
        <v>191453.09590392769</v>
      </c>
      <c r="AC31" s="218">
        <f>Tobacco_Retrofit!$G$20*AVERAGE(AR31,AS31)</f>
        <v>0</v>
      </c>
      <c r="AD31" s="132">
        <f t="shared" si="32"/>
        <v>51573.928771178304</v>
      </c>
      <c r="AE31" s="132">
        <f t="shared" si="33"/>
        <v>191453.09590392769</v>
      </c>
      <c r="AF31" s="122">
        <f t="shared" si="34"/>
        <v>139879.1671327494</v>
      </c>
      <c r="AG31" s="438">
        <f t="shared" si="35"/>
        <v>139879.1671327494</v>
      </c>
      <c r="AH31" s="122">
        <f t="shared" si="36"/>
        <v>0</v>
      </c>
      <c r="AI31" s="122">
        <f t="shared" si="37"/>
        <v>0</v>
      </c>
      <c r="AJ31" s="122">
        <f>-Debt_Calc!BU29</f>
        <v>0</v>
      </c>
      <c r="AK31" s="122">
        <f>Debt_Calc!BV29</f>
        <v>0</v>
      </c>
      <c r="AL31" s="122">
        <f t="shared" si="38"/>
        <v>0</v>
      </c>
      <c r="AM31" s="217">
        <f t="shared" si="39"/>
        <v>0</v>
      </c>
      <c r="AN31" s="122">
        <f t="shared" si="40"/>
        <v>139879.1671327494</v>
      </c>
      <c r="AO31" s="122">
        <f t="shared" si="41"/>
        <v>191453.09590392769</v>
      </c>
      <c r="AP31" s="122">
        <f t="shared" si="42"/>
        <v>139879.1671327494</v>
      </c>
      <c r="AQ31" s="122">
        <f t="shared" si="43"/>
        <v>0</v>
      </c>
      <c r="AR31" s="122">
        <f t="shared" si="44"/>
        <v>0</v>
      </c>
      <c r="AS31" s="122">
        <f t="shared" si="45"/>
        <v>0</v>
      </c>
      <c r="AT31" s="122">
        <f t="shared" si="46"/>
        <v>2080564.5989896853</v>
      </c>
      <c r="AU31" s="122">
        <f t="shared" si="47"/>
        <v>2</v>
      </c>
      <c r="AV31" s="222">
        <f t="shared" si="48"/>
        <v>12.599590843363695</v>
      </c>
    </row>
    <row r="32" spans="2:48" s="86" customFormat="1" x14ac:dyDescent="0.3">
      <c r="B32" s="184">
        <f t="shared" si="18"/>
        <v>21</v>
      </c>
      <c r="C32" s="346">
        <f t="shared" si="10"/>
        <v>2042</v>
      </c>
      <c r="D32" s="347">
        <f t="shared" si="19"/>
        <v>51867</v>
      </c>
      <c r="E32" s="440">
        <f t="shared" si="20"/>
        <v>52231</v>
      </c>
      <c r="F32" s="732">
        <f>IF(AND(B32&gt;0,B32&lt;=Tobacco_Retrofit!$J$10),1,0)</f>
        <v>1</v>
      </c>
      <c r="G32" s="217">
        <f t="shared" si="21"/>
        <v>0</v>
      </c>
      <c r="H32" s="438">
        <f>(Tobacco_Retrofit!$M$22*F32)+IF(B32=Tobacco_Retrofit!$J$10,Tobacco_Retrofit!$J$12,0)</f>
        <v>191453.09590392769</v>
      </c>
      <c r="I32" s="122">
        <f t="shared" si="22"/>
        <v>191453.09590392769</v>
      </c>
      <c r="J32" s="219">
        <f t="shared" si="23"/>
        <v>1</v>
      </c>
      <c r="K32" s="220">
        <f>Deprec!U31</f>
        <v>19540</v>
      </c>
      <c r="L32" s="122">
        <f t="shared" si="24"/>
        <v>171913.09590392769</v>
      </c>
      <c r="M32" s="221">
        <f t="shared" si="25"/>
        <v>0</v>
      </c>
      <c r="N32" s="122">
        <f t="shared" si="26"/>
        <v>171913.09590392769</v>
      </c>
      <c r="O32" s="438">
        <f>IF(N32&lt;0,0,(N32*Tobacco_Retrofit!$J$7))</f>
        <v>51573.928771178304</v>
      </c>
      <c r="P32" s="122">
        <f t="shared" si="27"/>
        <v>120339.1671327494</v>
      </c>
      <c r="Q32" s="123">
        <f t="shared" si="28"/>
        <v>0.6285569139771775</v>
      </c>
      <c r="T32" s="218">
        <f t="shared" si="11"/>
        <v>191453.09590392769</v>
      </c>
      <c r="U32" s="438">
        <f t="shared" si="29"/>
        <v>191453.09590392769</v>
      </c>
      <c r="V32" s="218">
        <f>IF(B32=0,Tobacco_Retrofit!$C$29,0)</f>
        <v>0</v>
      </c>
      <c r="W32" s="435">
        <f t="shared" si="5"/>
        <v>0</v>
      </c>
      <c r="X32" s="438">
        <f t="shared" si="6"/>
        <v>191453.09590392769</v>
      </c>
      <c r="Y32" s="184">
        <f>IF(B32=0,Tobacco_Retrofit!$G$15+Tobacco_Retrofit!$G$16,0)</f>
        <v>0</v>
      </c>
      <c r="Z32" s="185">
        <f>IF(B32=0,Tobacco_Retrofit!$G$14,0)</f>
        <v>0</v>
      </c>
      <c r="AA32" s="132">
        <f t="shared" si="30"/>
        <v>0</v>
      </c>
      <c r="AB32" s="218">
        <f t="shared" si="31"/>
        <v>191453.09590392769</v>
      </c>
      <c r="AC32" s="218">
        <f>Tobacco_Retrofit!$G$20*AVERAGE(AR32,AS32)</f>
        <v>0</v>
      </c>
      <c r="AD32" s="132">
        <f t="shared" si="32"/>
        <v>51573.928771178304</v>
      </c>
      <c r="AE32" s="132">
        <f t="shared" si="33"/>
        <v>191453.09590392769</v>
      </c>
      <c r="AF32" s="122">
        <f t="shared" si="34"/>
        <v>139879.1671327494</v>
      </c>
      <c r="AG32" s="438">
        <f t="shared" si="35"/>
        <v>139879.1671327494</v>
      </c>
      <c r="AH32" s="122">
        <f t="shared" si="36"/>
        <v>0</v>
      </c>
      <c r="AI32" s="122">
        <f t="shared" si="37"/>
        <v>0</v>
      </c>
      <c r="AJ32" s="122">
        <f>-Debt_Calc!BU30</f>
        <v>0</v>
      </c>
      <c r="AK32" s="122">
        <f>Debt_Calc!BV30</f>
        <v>0</v>
      </c>
      <c r="AL32" s="122">
        <f t="shared" si="38"/>
        <v>0</v>
      </c>
      <c r="AM32" s="217">
        <f t="shared" si="39"/>
        <v>0</v>
      </c>
      <c r="AN32" s="122">
        <f t="shared" si="40"/>
        <v>139879.1671327494</v>
      </c>
      <c r="AO32" s="122">
        <f t="shared" si="41"/>
        <v>191453.09590392769</v>
      </c>
      <c r="AP32" s="122">
        <f t="shared" si="42"/>
        <v>139879.1671327494</v>
      </c>
      <c r="AQ32" s="122">
        <f t="shared" si="43"/>
        <v>0</v>
      </c>
      <c r="AR32" s="122">
        <f t="shared" si="44"/>
        <v>0</v>
      </c>
      <c r="AS32" s="122">
        <f t="shared" si="45"/>
        <v>0</v>
      </c>
      <c r="AT32" s="122">
        <f t="shared" si="46"/>
        <v>2220443.7661224348</v>
      </c>
      <c r="AU32" s="122">
        <f t="shared" si="47"/>
        <v>2</v>
      </c>
      <c r="AV32" s="222">
        <f t="shared" si="48"/>
        <v>7.9083633062679537</v>
      </c>
    </row>
    <row r="33" spans="2:67" s="86" customFormat="1" x14ac:dyDescent="0.3">
      <c r="B33" s="184">
        <f t="shared" si="18"/>
        <v>22</v>
      </c>
      <c r="C33" s="346">
        <f t="shared" si="10"/>
        <v>2043</v>
      </c>
      <c r="D33" s="347">
        <f t="shared" si="19"/>
        <v>52232</v>
      </c>
      <c r="E33" s="440">
        <f t="shared" si="20"/>
        <v>52596</v>
      </c>
      <c r="F33" s="732">
        <f>IF(AND(B33&gt;0,B33&lt;=Tobacco_Retrofit!$J$10),1,0)</f>
        <v>1</v>
      </c>
      <c r="G33" s="217">
        <f t="shared" si="21"/>
        <v>0</v>
      </c>
      <c r="H33" s="438">
        <f>(Tobacco_Retrofit!$M$22*F33)+IF(B33=Tobacco_Retrofit!$J$10,Tobacco_Retrofit!$J$12,0)</f>
        <v>191453.09590392769</v>
      </c>
      <c r="I33" s="122">
        <f t="shared" si="22"/>
        <v>191453.09590392769</v>
      </c>
      <c r="J33" s="219">
        <f t="shared" si="23"/>
        <v>1</v>
      </c>
      <c r="K33" s="220">
        <f>Deprec!U32</f>
        <v>19540</v>
      </c>
      <c r="L33" s="122">
        <f t="shared" si="24"/>
        <v>171913.09590392769</v>
      </c>
      <c r="M33" s="221">
        <f t="shared" si="25"/>
        <v>0</v>
      </c>
      <c r="N33" s="122">
        <f t="shared" si="26"/>
        <v>171913.09590392769</v>
      </c>
      <c r="O33" s="438">
        <f>IF(N33&lt;0,0,(N33*Tobacco_Retrofit!$J$7))</f>
        <v>51573.928771178304</v>
      </c>
      <c r="P33" s="122">
        <f t="shared" si="27"/>
        <v>120339.1671327494</v>
      </c>
      <c r="Q33" s="123">
        <f t="shared" si="28"/>
        <v>0.6285569139771775</v>
      </c>
      <c r="T33" s="218">
        <f t="shared" si="11"/>
        <v>191453.09590392769</v>
      </c>
      <c r="U33" s="438">
        <f t="shared" si="29"/>
        <v>191453.09590392769</v>
      </c>
      <c r="V33" s="218">
        <f>IF(B33=0,Tobacco_Retrofit!$C$29,0)</f>
        <v>0</v>
      </c>
      <c r="W33" s="435">
        <f t="shared" si="5"/>
        <v>0</v>
      </c>
      <c r="X33" s="438">
        <f t="shared" si="6"/>
        <v>191453.09590392769</v>
      </c>
      <c r="Y33" s="184">
        <f>IF(B33=0,Tobacco_Retrofit!$G$15+Tobacco_Retrofit!$G$16,0)</f>
        <v>0</v>
      </c>
      <c r="Z33" s="185">
        <f>IF(B33=0,Tobacco_Retrofit!$G$14,0)</f>
        <v>0</v>
      </c>
      <c r="AA33" s="132">
        <f t="shared" si="30"/>
        <v>0</v>
      </c>
      <c r="AB33" s="218">
        <f t="shared" si="31"/>
        <v>191453.09590392769</v>
      </c>
      <c r="AC33" s="218">
        <f>Tobacco_Retrofit!$G$20*AVERAGE(AR33,AS33)</f>
        <v>0</v>
      </c>
      <c r="AD33" s="132">
        <f t="shared" si="32"/>
        <v>51573.928771178304</v>
      </c>
      <c r="AE33" s="132">
        <f t="shared" si="33"/>
        <v>191453.09590392769</v>
      </c>
      <c r="AF33" s="122">
        <f t="shared" si="34"/>
        <v>139879.1671327494</v>
      </c>
      <c r="AG33" s="438">
        <f t="shared" si="35"/>
        <v>139879.1671327494</v>
      </c>
      <c r="AH33" s="122">
        <f t="shared" si="36"/>
        <v>0</v>
      </c>
      <c r="AI33" s="122">
        <f t="shared" si="37"/>
        <v>0</v>
      </c>
      <c r="AJ33" s="122">
        <f>-Debt_Calc!BU31</f>
        <v>0</v>
      </c>
      <c r="AK33" s="122">
        <f>Debt_Calc!BV31</f>
        <v>0</v>
      </c>
      <c r="AL33" s="122">
        <f t="shared" si="38"/>
        <v>0</v>
      </c>
      <c r="AM33" s="217">
        <f t="shared" si="39"/>
        <v>0</v>
      </c>
      <c r="AN33" s="122">
        <f t="shared" si="40"/>
        <v>139879.1671327494</v>
      </c>
      <c r="AO33" s="122">
        <f t="shared" si="41"/>
        <v>191453.09590392769</v>
      </c>
      <c r="AP33" s="122">
        <f t="shared" si="42"/>
        <v>139879.1671327494</v>
      </c>
      <c r="AQ33" s="122">
        <f t="shared" si="43"/>
        <v>0</v>
      </c>
      <c r="AR33" s="122">
        <f t="shared" si="44"/>
        <v>0</v>
      </c>
      <c r="AS33" s="122">
        <f t="shared" si="45"/>
        <v>0</v>
      </c>
      <c r="AT33" s="122">
        <f t="shared" si="46"/>
        <v>2360322.933255184</v>
      </c>
      <c r="AU33" s="122">
        <f t="shared" si="47"/>
        <v>2</v>
      </c>
      <c r="AV33" s="222">
        <f t="shared" si="48"/>
        <v>4.9638286640765719</v>
      </c>
    </row>
    <row r="34" spans="2:67" s="86" customFormat="1" x14ac:dyDescent="0.3">
      <c r="B34" s="184">
        <f t="shared" si="18"/>
        <v>23</v>
      </c>
      <c r="C34" s="346">
        <f t="shared" si="10"/>
        <v>2044</v>
      </c>
      <c r="D34" s="347">
        <f t="shared" si="19"/>
        <v>52597</v>
      </c>
      <c r="E34" s="440">
        <f t="shared" si="20"/>
        <v>52962</v>
      </c>
      <c r="F34" s="732">
        <f>IF(AND(B34&gt;0,B34&lt;=Tobacco_Retrofit!$J$10),1,0)</f>
        <v>1</v>
      </c>
      <c r="G34" s="217">
        <f t="shared" si="21"/>
        <v>0</v>
      </c>
      <c r="H34" s="438">
        <f>(Tobacco_Retrofit!$M$22*F34)+IF(B34=Tobacco_Retrofit!$J$10,Tobacco_Retrofit!$J$12,0)</f>
        <v>191453.09590392769</v>
      </c>
      <c r="I34" s="122">
        <f t="shared" si="22"/>
        <v>191453.09590392769</v>
      </c>
      <c r="J34" s="219">
        <f t="shared" si="23"/>
        <v>1</v>
      </c>
      <c r="K34" s="220">
        <f>Deprec!U33</f>
        <v>19540</v>
      </c>
      <c r="L34" s="122">
        <f t="shared" si="24"/>
        <v>171913.09590392769</v>
      </c>
      <c r="M34" s="221">
        <f t="shared" si="25"/>
        <v>0</v>
      </c>
      <c r="N34" s="122">
        <f t="shared" si="26"/>
        <v>171913.09590392769</v>
      </c>
      <c r="O34" s="438">
        <f>IF(N34&lt;0,0,(N34*Tobacco_Retrofit!$J$7))</f>
        <v>51573.928771178304</v>
      </c>
      <c r="P34" s="122">
        <f t="shared" si="27"/>
        <v>120339.1671327494</v>
      </c>
      <c r="Q34" s="123">
        <f t="shared" si="28"/>
        <v>0.6285569139771775</v>
      </c>
      <c r="T34" s="218">
        <f t="shared" si="11"/>
        <v>191453.09590392769</v>
      </c>
      <c r="U34" s="438">
        <f t="shared" si="29"/>
        <v>191453.09590392769</v>
      </c>
      <c r="V34" s="218">
        <f>IF(B34=0,Tobacco_Retrofit!$C$29,0)</f>
        <v>0</v>
      </c>
      <c r="W34" s="435">
        <f t="shared" si="5"/>
        <v>0</v>
      </c>
      <c r="X34" s="438">
        <f t="shared" si="6"/>
        <v>191453.09590392769</v>
      </c>
      <c r="Y34" s="184">
        <f>IF(B34=0,Tobacco_Retrofit!$G$15+Tobacco_Retrofit!$G$16,0)</f>
        <v>0</v>
      </c>
      <c r="Z34" s="185">
        <f>IF(B34=0,Tobacco_Retrofit!$G$14,0)</f>
        <v>0</v>
      </c>
      <c r="AA34" s="132">
        <f t="shared" si="30"/>
        <v>0</v>
      </c>
      <c r="AB34" s="218">
        <f t="shared" si="31"/>
        <v>191453.09590392769</v>
      </c>
      <c r="AC34" s="218">
        <f>Tobacco_Retrofit!$G$20*AVERAGE(AR34,AS34)</f>
        <v>0</v>
      </c>
      <c r="AD34" s="132">
        <f t="shared" si="32"/>
        <v>51573.928771178304</v>
      </c>
      <c r="AE34" s="132">
        <f t="shared" si="33"/>
        <v>191453.09590392769</v>
      </c>
      <c r="AF34" s="122">
        <f t="shared" si="34"/>
        <v>139879.1671327494</v>
      </c>
      <c r="AG34" s="438">
        <f t="shared" si="35"/>
        <v>139879.1671327494</v>
      </c>
      <c r="AH34" s="122">
        <f t="shared" si="36"/>
        <v>0</v>
      </c>
      <c r="AI34" s="122">
        <f t="shared" si="37"/>
        <v>0</v>
      </c>
      <c r="AJ34" s="122">
        <f>-Debt_Calc!BU32</f>
        <v>0</v>
      </c>
      <c r="AK34" s="122">
        <f>Debt_Calc!BV32</f>
        <v>0</v>
      </c>
      <c r="AL34" s="122">
        <f t="shared" si="38"/>
        <v>0</v>
      </c>
      <c r="AM34" s="217">
        <f t="shared" si="39"/>
        <v>0</v>
      </c>
      <c r="AN34" s="122">
        <f t="shared" si="40"/>
        <v>139879.1671327494</v>
      </c>
      <c r="AO34" s="122">
        <f t="shared" si="41"/>
        <v>191453.09590392769</v>
      </c>
      <c r="AP34" s="122">
        <f t="shared" si="42"/>
        <v>139879.1671327494</v>
      </c>
      <c r="AQ34" s="122">
        <f t="shared" si="43"/>
        <v>0</v>
      </c>
      <c r="AR34" s="122">
        <f t="shared" si="44"/>
        <v>0</v>
      </c>
      <c r="AS34" s="122">
        <f t="shared" si="45"/>
        <v>0</v>
      </c>
      <c r="AT34" s="122">
        <f t="shared" si="46"/>
        <v>2500202.1003879332</v>
      </c>
      <c r="AU34" s="122">
        <f t="shared" si="47"/>
        <v>2</v>
      </c>
      <c r="AV34" s="222">
        <f t="shared" si="48"/>
        <v>3.1156377182089665</v>
      </c>
    </row>
    <row r="35" spans="2:67" s="86" customFormat="1" x14ac:dyDescent="0.3">
      <c r="B35" s="184">
        <f t="shared" si="18"/>
        <v>24</v>
      </c>
      <c r="C35" s="346">
        <f t="shared" si="10"/>
        <v>2045</v>
      </c>
      <c r="D35" s="347">
        <f t="shared" si="19"/>
        <v>52963</v>
      </c>
      <c r="E35" s="440">
        <f t="shared" si="20"/>
        <v>53327</v>
      </c>
      <c r="F35" s="732">
        <f>IF(AND(B35&gt;0,B35&lt;=Tobacco_Retrofit!$J$10),1,0)</f>
        <v>1</v>
      </c>
      <c r="G35" s="217">
        <f t="shared" si="21"/>
        <v>0</v>
      </c>
      <c r="H35" s="438">
        <f>(Tobacco_Retrofit!$M$22*F35)+IF(B35=Tobacco_Retrofit!$J$10,Tobacco_Retrofit!$J$12,0)</f>
        <v>191453.09590392769</v>
      </c>
      <c r="I35" s="122">
        <f t="shared" si="22"/>
        <v>191453.09590392769</v>
      </c>
      <c r="J35" s="219">
        <f t="shared" si="23"/>
        <v>1</v>
      </c>
      <c r="K35" s="220">
        <f>Deprec!U34</f>
        <v>19540</v>
      </c>
      <c r="L35" s="122">
        <f t="shared" si="24"/>
        <v>171913.09590392769</v>
      </c>
      <c r="M35" s="221">
        <f t="shared" si="25"/>
        <v>0</v>
      </c>
      <c r="N35" s="122">
        <f t="shared" si="26"/>
        <v>171913.09590392769</v>
      </c>
      <c r="O35" s="438">
        <f>IF(N35&lt;0,0,(N35*Tobacco_Retrofit!$J$7))</f>
        <v>51573.928771178304</v>
      </c>
      <c r="P35" s="122">
        <f t="shared" si="27"/>
        <v>120339.1671327494</v>
      </c>
      <c r="Q35" s="123">
        <f t="shared" si="28"/>
        <v>0.6285569139771775</v>
      </c>
      <c r="T35" s="218">
        <f t="shared" si="11"/>
        <v>191453.09590392769</v>
      </c>
      <c r="U35" s="438">
        <f t="shared" si="29"/>
        <v>191453.09590392769</v>
      </c>
      <c r="V35" s="218">
        <f>IF(B35=0,Tobacco_Retrofit!$C$29,0)</f>
        <v>0</v>
      </c>
      <c r="W35" s="435">
        <f t="shared" si="5"/>
        <v>0</v>
      </c>
      <c r="X35" s="438">
        <f t="shared" si="6"/>
        <v>191453.09590392769</v>
      </c>
      <c r="Y35" s="184">
        <f>IF(B35=0,Tobacco_Retrofit!$G$15+Tobacco_Retrofit!$G$16,0)</f>
        <v>0</v>
      </c>
      <c r="Z35" s="185">
        <f>IF(B35=0,Tobacco_Retrofit!$G$14,0)</f>
        <v>0</v>
      </c>
      <c r="AA35" s="132">
        <f t="shared" si="30"/>
        <v>0</v>
      </c>
      <c r="AB35" s="218">
        <f t="shared" si="31"/>
        <v>191453.09590392769</v>
      </c>
      <c r="AC35" s="218">
        <f>Tobacco_Retrofit!$G$20*AVERAGE(AR35,AS35)</f>
        <v>0</v>
      </c>
      <c r="AD35" s="132">
        <f t="shared" si="32"/>
        <v>51573.928771178304</v>
      </c>
      <c r="AE35" s="132">
        <f t="shared" si="33"/>
        <v>191453.09590392769</v>
      </c>
      <c r="AF35" s="122">
        <f t="shared" si="34"/>
        <v>139879.1671327494</v>
      </c>
      <c r="AG35" s="438">
        <f t="shared" si="35"/>
        <v>139879.1671327494</v>
      </c>
      <c r="AH35" s="122">
        <f t="shared" si="36"/>
        <v>0</v>
      </c>
      <c r="AI35" s="122">
        <f t="shared" si="37"/>
        <v>0</v>
      </c>
      <c r="AJ35" s="122">
        <f>-Debt_Calc!BU33</f>
        <v>0</v>
      </c>
      <c r="AK35" s="122">
        <f>Debt_Calc!BV33</f>
        <v>0</v>
      </c>
      <c r="AL35" s="122">
        <f t="shared" si="38"/>
        <v>0</v>
      </c>
      <c r="AM35" s="217">
        <f t="shared" si="39"/>
        <v>0</v>
      </c>
      <c r="AN35" s="122">
        <f t="shared" si="40"/>
        <v>139879.1671327494</v>
      </c>
      <c r="AO35" s="122">
        <f t="shared" si="41"/>
        <v>191453.09590392769</v>
      </c>
      <c r="AP35" s="122">
        <f t="shared" si="42"/>
        <v>139879.1671327494</v>
      </c>
      <c r="AQ35" s="122">
        <f t="shared" si="43"/>
        <v>0</v>
      </c>
      <c r="AR35" s="122">
        <f t="shared" si="44"/>
        <v>0</v>
      </c>
      <c r="AS35" s="122">
        <f t="shared" si="45"/>
        <v>0</v>
      </c>
      <c r="AT35" s="122">
        <f t="shared" si="46"/>
        <v>2640081.2675206824</v>
      </c>
      <c r="AU35" s="122">
        <f t="shared" si="47"/>
        <v>2</v>
      </c>
      <c r="AV35" s="222">
        <f t="shared" si="48"/>
        <v>1.955586916481981</v>
      </c>
    </row>
    <row r="36" spans="2:67" s="86" customFormat="1" x14ac:dyDescent="0.3">
      <c r="B36" s="184">
        <f t="shared" si="18"/>
        <v>25</v>
      </c>
      <c r="C36" s="346">
        <f t="shared" si="10"/>
        <v>2046</v>
      </c>
      <c r="D36" s="347">
        <f t="shared" si="19"/>
        <v>53328</v>
      </c>
      <c r="E36" s="440">
        <f t="shared" si="20"/>
        <v>53692</v>
      </c>
      <c r="F36" s="732">
        <f>IF(AND(B36&gt;0,B36&lt;=Tobacco_Retrofit!$J$10),1,0)</f>
        <v>1</v>
      </c>
      <c r="G36" s="217">
        <f t="shared" si="21"/>
        <v>0</v>
      </c>
      <c r="H36" s="438">
        <f>(Tobacco_Retrofit!$M$22*F36)+IF(B36=Tobacco_Retrofit!$J$10,Tobacco_Retrofit!$J$12,0)</f>
        <v>191453.09590392769</v>
      </c>
      <c r="I36" s="122">
        <f t="shared" si="22"/>
        <v>191453.09590392769</v>
      </c>
      <c r="J36" s="219">
        <f t="shared" si="23"/>
        <v>1</v>
      </c>
      <c r="K36" s="220">
        <f>Deprec!U35</f>
        <v>19540</v>
      </c>
      <c r="L36" s="122">
        <f t="shared" si="24"/>
        <v>171913.09590392769</v>
      </c>
      <c r="M36" s="221">
        <f t="shared" si="25"/>
        <v>0</v>
      </c>
      <c r="N36" s="122">
        <f t="shared" si="26"/>
        <v>171913.09590392769</v>
      </c>
      <c r="O36" s="438">
        <f>IF(N36&lt;0,0,(N36*Tobacco_Retrofit!$J$7))</f>
        <v>51573.928771178304</v>
      </c>
      <c r="P36" s="122">
        <f t="shared" si="27"/>
        <v>120339.1671327494</v>
      </c>
      <c r="Q36" s="123">
        <f t="shared" si="28"/>
        <v>0.6285569139771775</v>
      </c>
      <c r="T36" s="218">
        <f t="shared" si="11"/>
        <v>191453.09590392769</v>
      </c>
      <c r="U36" s="438">
        <f t="shared" si="29"/>
        <v>191453.09590392769</v>
      </c>
      <c r="V36" s="218">
        <f>IF(B36=0,Tobacco_Retrofit!$C$29,0)</f>
        <v>0</v>
      </c>
      <c r="W36" s="435">
        <f t="shared" si="5"/>
        <v>0</v>
      </c>
      <c r="X36" s="438">
        <f t="shared" si="6"/>
        <v>191453.09590392769</v>
      </c>
      <c r="Y36" s="184">
        <f>IF(B36=0,Tobacco_Retrofit!$G$15+Tobacco_Retrofit!$G$16,0)</f>
        <v>0</v>
      </c>
      <c r="Z36" s="185">
        <f>IF(B36=0,Tobacco_Retrofit!$G$14,0)</f>
        <v>0</v>
      </c>
      <c r="AA36" s="132">
        <f t="shared" si="30"/>
        <v>0</v>
      </c>
      <c r="AB36" s="218">
        <f t="shared" si="31"/>
        <v>191453.09590392769</v>
      </c>
      <c r="AC36" s="218">
        <f>Tobacco_Retrofit!$G$20*AVERAGE(AR36,AS36)</f>
        <v>0</v>
      </c>
      <c r="AD36" s="132">
        <f t="shared" si="32"/>
        <v>51573.928771178304</v>
      </c>
      <c r="AE36" s="132">
        <f t="shared" si="33"/>
        <v>191453.09590392769</v>
      </c>
      <c r="AF36" s="122">
        <f t="shared" si="34"/>
        <v>139879.1671327494</v>
      </c>
      <c r="AG36" s="438">
        <f t="shared" si="35"/>
        <v>139879.1671327494</v>
      </c>
      <c r="AH36" s="122">
        <f t="shared" si="36"/>
        <v>0</v>
      </c>
      <c r="AI36" s="122">
        <f t="shared" si="37"/>
        <v>0</v>
      </c>
      <c r="AJ36" s="122">
        <f>-Debt_Calc!BU34</f>
        <v>0</v>
      </c>
      <c r="AK36" s="122">
        <f>Debt_Calc!BV34</f>
        <v>0</v>
      </c>
      <c r="AL36" s="122">
        <f t="shared" si="38"/>
        <v>0</v>
      </c>
      <c r="AM36" s="217">
        <f t="shared" si="39"/>
        <v>0</v>
      </c>
      <c r="AN36" s="122">
        <f t="shared" si="40"/>
        <v>139879.1671327494</v>
      </c>
      <c r="AO36" s="122">
        <f t="shared" si="41"/>
        <v>191453.09590392769</v>
      </c>
      <c r="AP36" s="122">
        <f t="shared" si="42"/>
        <v>139879.1671327494</v>
      </c>
      <c r="AQ36" s="122">
        <f t="shared" si="43"/>
        <v>0</v>
      </c>
      <c r="AR36" s="122">
        <f t="shared" si="44"/>
        <v>0</v>
      </c>
      <c r="AS36" s="122">
        <f t="shared" si="45"/>
        <v>0</v>
      </c>
      <c r="AT36" s="122">
        <f t="shared" si="46"/>
        <v>2779960.4346534316</v>
      </c>
      <c r="AU36" s="122">
        <f t="shared" si="47"/>
        <v>2</v>
      </c>
      <c r="AV36" s="222">
        <f t="shared" si="48"/>
        <v>1.227459844116255</v>
      </c>
    </row>
    <row r="37" spans="2:67" s="86" customFormat="1" x14ac:dyDescent="0.3">
      <c r="B37" s="184">
        <f t="shared" si="18"/>
        <v>26</v>
      </c>
      <c r="C37" s="346">
        <f t="shared" si="10"/>
        <v>2047</v>
      </c>
      <c r="D37" s="347">
        <f t="shared" si="19"/>
        <v>53693</v>
      </c>
      <c r="E37" s="440">
        <f t="shared" si="20"/>
        <v>54057</v>
      </c>
      <c r="F37" s="732">
        <f>IF(AND(B37&gt;0,B37&lt;=Tobacco_Retrofit!$J$10),1,0)</f>
        <v>0</v>
      </c>
      <c r="G37" s="217">
        <f t="shared" si="21"/>
        <v>0</v>
      </c>
      <c r="H37" s="438">
        <f>(Tobacco_Retrofit!$M$22*F37)+IF(B37=Tobacco_Retrofit!$J$10,Tobacco_Retrofit!$J$12,0)</f>
        <v>0</v>
      </c>
      <c r="I37" s="122">
        <f t="shared" si="22"/>
        <v>0</v>
      </c>
      <c r="J37" s="219">
        <f t="shared" si="23"/>
        <v>0</v>
      </c>
      <c r="K37" s="220">
        <f>Deprec!U36</f>
        <v>0</v>
      </c>
      <c r="L37" s="122">
        <f t="shared" si="24"/>
        <v>0</v>
      </c>
      <c r="M37" s="221">
        <f t="shared" si="25"/>
        <v>0</v>
      </c>
      <c r="N37" s="122">
        <f t="shared" si="26"/>
        <v>0</v>
      </c>
      <c r="O37" s="438">
        <f>IF(N37&lt;0,0,(N37*Tobacco_Retrofit!$J$7))</f>
        <v>0</v>
      </c>
      <c r="P37" s="122">
        <f t="shared" si="27"/>
        <v>0</v>
      </c>
      <c r="Q37" s="123">
        <f t="shared" si="28"/>
        <v>0</v>
      </c>
      <c r="T37" s="218">
        <f t="shared" si="11"/>
        <v>0</v>
      </c>
      <c r="U37" s="438">
        <f t="shared" si="29"/>
        <v>0</v>
      </c>
      <c r="V37" s="218">
        <f>IF(B37=0,Tobacco_Retrofit!$C$29,0)</f>
        <v>0</v>
      </c>
      <c r="W37" s="435">
        <f t="shared" si="5"/>
        <v>0</v>
      </c>
      <c r="X37" s="438">
        <f t="shared" si="6"/>
        <v>0</v>
      </c>
      <c r="Y37" s="184">
        <f>IF(B37=0,Tobacco_Retrofit!$G$15+Tobacco_Retrofit!$G$16,0)</f>
        <v>0</v>
      </c>
      <c r="Z37" s="185">
        <f>IF(B37=0,Tobacco_Retrofit!$G$14,0)</f>
        <v>0</v>
      </c>
      <c r="AA37" s="132">
        <f t="shared" si="30"/>
        <v>0</v>
      </c>
      <c r="AB37" s="218">
        <f t="shared" si="31"/>
        <v>0</v>
      </c>
      <c r="AC37" s="218">
        <f>Tobacco_Retrofit!$G$20*AVERAGE(AR37,AS37)</f>
        <v>0</v>
      </c>
      <c r="AD37" s="132">
        <f t="shared" si="32"/>
        <v>0</v>
      </c>
      <c r="AE37" s="132">
        <f t="shared" si="33"/>
        <v>0</v>
      </c>
      <c r="AF37" s="122">
        <f t="shared" si="34"/>
        <v>0</v>
      </c>
      <c r="AG37" s="438">
        <f t="shared" si="35"/>
        <v>0</v>
      </c>
      <c r="AH37" s="122">
        <f t="shared" si="36"/>
        <v>0</v>
      </c>
      <c r="AI37" s="122">
        <f t="shared" si="37"/>
        <v>0</v>
      </c>
      <c r="AJ37" s="122">
        <f>-Debt_Calc!BU35</f>
        <v>0</v>
      </c>
      <c r="AK37" s="122">
        <f>Debt_Calc!BV35</f>
        <v>0</v>
      </c>
      <c r="AL37" s="122">
        <f t="shared" si="38"/>
        <v>0</v>
      </c>
      <c r="AM37" s="217">
        <f t="shared" si="39"/>
        <v>0</v>
      </c>
      <c r="AN37" s="122">
        <f t="shared" si="40"/>
        <v>0</v>
      </c>
      <c r="AO37" s="122">
        <f t="shared" si="41"/>
        <v>0</v>
      </c>
      <c r="AP37" s="122">
        <f t="shared" si="42"/>
        <v>0</v>
      </c>
      <c r="AQ37" s="122">
        <f t="shared" si="43"/>
        <v>0</v>
      </c>
      <c r="AR37" s="122">
        <f t="shared" si="44"/>
        <v>0</v>
      </c>
      <c r="AS37" s="122">
        <f t="shared" si="45"/>
        <v>0</v>
      </c>
      <c r="AT37" s="122">
        <f t="shared" si="46"/>
        <v>2779960.4346534316</v>
      </c>
      <c r="AU37" s="122">
        <f t="shared" si="47"/>
        <v>2</v>
      </c>
      <c r="AV37" s="222">
        <f t="shared" si="48"/>
        <v>0</v>
      </c>
    </row>
    <row r="38" spans="2:67" s="86" customFormat="1" x14ac:dyDescent="0.3">
      <c r="B38" s="184">
        <f t="shared" si="18"/>
        <v>27</v>
      </c>
      <c r="C38" s="346">
        <f t="shared" si="10"/>
        <v>2048</v>
      </c>
      <c r="D38" s="347">
        <f t="shared" si="19"/>
        <v>54058</v>
      </c>
      <c r="E38" s="440">
        <f t="shared" si="20"/>
        <v>54423</v>
      </c>
      <c r="F38" s="732">
        <f>IF(AND(B38&gt;0,B38&lt;=Tobacco_Retrofit!$J$10),1,0)</f>
        <v>0</v>
      </c>
      <c r="G38" s="217">
        <f t="shared" si="21"/>
        <v>0</v>
      </c>
      <c r="H38" s="438">
        <f>(Tobacco_Retrofit!$M$22*F38)+IF(B38=Tobacco_Retrofit!$J$10,Tobacco_Retrofit!$J$12,0)</f>
        <v>0</v>
      </c>
      <c r="I38" s="122">
        <f t="shared" si="22"/>
        <v>0</v>
      </c>
      <c r="J38" s="219">
        <f t="shared" si="23"/>
        <v>0</v>
      </c>
      <c r="K38" s="220">
        <f>Deprec!U37</f>
        <v>0</v>
      </c>
      <c r="L38" s="122">
        <f t="shared" si="24"/>
        <v>0</v>
      </c>
      <c r="M38" s="221">
        <f t="shared" si="25"/>
        <v>0</v>
      </c>
      <c r="N38" s="122">
        <f t="shared" si="26"/>
        <v>0</v>
      </c>
      <c r="O38" s="438">
        <f>IF(N38&lt;0,0,(N38*Tobacco_Retrofit!$J$7))</f>
        <v>0</v>
      </c>
      <c r="P38" s="122">
        <f t="shared" si="27"/>
        <v>0</v>
      </c>
      <c r="Q38" s="123">
        <f t="shared" si="28"/>
        <v>0</v>
      </c>
      <c r="T38" s="218">
        <f t="shared" si="11"/>
        <v>0</v>
      </c>
      <c r="U38" s="438">
        <f t="shared" si="29"/>
        <v>0</v>
      </c>
      <c r="V38" s="218">
        <f>IF(B38=0,Tobacco_Retrofit!$C$29,0)</f>
        <v>0</v>
      </c>
      <c r="W38" s="435">
        <f t="shared" si="5"/>
        <v>0</v>
      </c>
      <c r="X38" s="438">
        <f t="shared" si="6"/>
        <v>0</v>
      </c>
      <c r="Y38" s="184">
        <f>IF(B38=0,Tobacco_Retrofit!$G$15+Tobacco_Retrofit!$G$16,0)</f>
        <v>0</v>
      </c>
      <c r="Z38" s="185">
        <f>IF(B38=0,Tobacco_Retrofit!$G$14,0)</f>
        <v>0</v>
      </c>
      <c r="AA38" s="132">
        <f t="shared" si="30"/>
        <v>0</v>
      </c>
      <c r="AB38" s="218">
        <f t="shared" si="31"/>
        <v>0</v>
      </c>
      <c r="AC38" s="218">
        <f>Tobacco_Retrofit!$G$20*AVERAGE(AR38,AS38)</f>
        <v>0</v>
      </c>
      <c r="AD38" s="132">
        <f t="shared" si="32"/>
        <v>0</v>
      </c>
      <c r="AE38" s="132">
        <f t="shared" si="33"/>
        <v>0</v>
      </c>
      <c r="AF38" s="122">
        <f t="shared" si="34"/>
        <v>0</v>
      </c>
      <c r="AG38" s="438">
        <f t="shared" si="35"/>
        <v>0</v>
      </c>
      <c r="AH38" s="122">
        <f t="shared" si="36"/>
        <v>0</v>
      </c>
      <c r="AI38" s="122">
        <f t="shared" si="37"/>
        <v>0</v>
      </c>
      <c r="AJ38" s="122">
        <f>-Debt_Calc!BU36</f>
        <v>0</v>
      </c>
      <c r="AK38" s="122">
        <f>Debt_Calc!BV36</f>
        <v>0</v>
      </c>
      <c r="AL38" s="122">
        <f t="shared" si="38"/>
        <v>0</v>
      </c>
      <c r="AM38" s="217">
        <f t="shared" si="39"/>
        <v>0</v>
      </c>
      <c r="AN38" s="122">
        <f t="shared" si="40"/>
        <v>0</v>
      </c>
      <c r="AO38" s="122">
        <f t="shared" si="41"/>
        <v>0</v>
      </c>
      <c r="AP38" s="122">
        <f t="shared" si="42"/>
        <v>0</v>
      </c>
      <c r="AQ38" s="122">
        <f t="shared" si="43"/>
        <v>0</v>
      </c>
      <c r="AR38" s="122">
        <f t="shared" si="44"/>
        <v>0</v>
      </c>
      <c r="AS38" s="122">
        <f t="shared" si="45"/>
        <v>0</v>
      </c>
      <c r="AT38" s="122">
        <f t="shared" si="46"/>
        <v>2779960.4346534316</v>
      </c>
      <c r="AU38" s="122">
        <f t="shared" si="47"/>
        <v>2</v>
      </c>
      <c r="AV38" s="222">
        <f t="shared" si="48"/>
        <v>0</v>
      </c>
    </row>
    <row r="39" spans="2:67" s="86" customFormat="1" x14ac:dyDescent="0.3">
      <c r="B39" s="184">
        <f t="shared" si="18"/>
        <v>28</v>
      </c>
      <c r="C39" s="346">
        <f t="shared" si="10"/>
        <v>2049</v>
      </c>
      <c r="D39" s="347">
        <f t="shared" si="19"/>
        <v>54424</v>
      </c>
      <c r="E39" s="440">
        <f t="shared" si="20"/>
        <v>54788</v>
      </c>
      <c r="F39" s="732">
        <f>IF(AND(B39&gt;0,B39&lt;=Tobacco_Retrofit!$J$10),1,0)</f>
        <v>0</v>
      </c>
      <c r="G39" s="217">
        <f t="shared" si="21"/>
        <v>0</v>
      </c>
      <c r="H39" s="438">
        <f>(Tobacco_Retrofit!$M$22*F39)+IF(B39=Tobacco_Retrofit!$J$10,Tobacco_Retrofit!$J$12,0)</f>
        <v>0</v>
      </c>
      <c r="I39" s="122">
        <f t="shared" si="22"/>
        <v>0</v>
      </c>
      <c r="J39" s="219">
        <f t="shared" si="23"/>
        <v>0</v>
      </c>
      <c r="K39" s="220">
        <f>Deprec!U38</f>
        <v>0</v>
      </c>
      <c r="L39" s="122">
        <f t="shared" si="24"/>
        <v>0</v>
      </c>
      <c r="M39" s="221">
        <f t="shared" si="25"/>
        <v>0</v>
      </c>
      <c r="N39" s="122">
        <f t="shared" si="26"/>
        <v>0</v>
      </c>
      <c r="O39" s="438">
        <f>IF(N39&lt;0,0,(N39*Tobacco_Retrofit!$J$7))</f>
        <v>0</v>
      </c>
      <c r="P39" s="122">
        <f t="shared" si="27"/>
        <v>0</v>
      </c>
      <c r="Q39" s="123">
        <f t="shared" si="28"/>
        <v>0</v>
      </c>
      <c r="T39" s="218">
        <f t="shared" si="11"/>
        <v>0</v>
      </c>
      <c r="U39" s="438">
        <f t="shared" si="29"/>
        <v>0</v>
      </c>
      <c r="V39" s="218">
        <f>IF(B39=0,Tobacco_Retrofit!$C$29,0)</f>
        <v>0</v>
      </c>
      <c r="W39" s="435">
        <f t="shared" si="5"/>
        <v>0</v>
      </c>
      <c r="X39" s="438">
        <f t="shared" si="6"/>
        <v>0</v>
      </c>
      <c r="Y39" s="184">
        <f>IF(B39=0,Tobacco_Retrofit!$G$15+Tobacco_Retrofit!$G$16,0)</f>
        <v>0</v>
      </c>
      <c r="Z39" s="185">
        <f>IF(B39=0,Tobacco_Retrofit!$G$14,0)</f>
        <v>0</v>
      </c>
      <c r="AA39" s="132">
        <f t="shared" si="30"/>
        <v>0</v>
      </c>
      <c r="AB39" s="218">
        <f t="shared" si="31"/>
        <v>0</v>
      </c>
      <c r="AC39" s="218">
        <f>Tobacco_Retrofit!$G$20*AVERAGE(AR39,AS39)</f>
        <v>0</v>
      </c>
      <c r="AD39" s="132">
        <f t="shared" si="32"/>
        <v>0</v>
      </c>
      <c r="AE39" s="132">
        <f t="shared" si="33"/>
        <v>0</v>
      </c>
      <c r="AF39" s="122">
        <f t="shared" si="34"/>
        <v>0</v>
      </c>
      <c r="AG39" s="438">
        <f t="shared" si="35"/>
        <v>0</v>
      </c>
      <c r="AH39" s="122">
        <f t="shared" si="36"/>
        <v>0</v>
      </c>
      <c r="AI39" s="122">
        <f t="shared" si="37"/>
        <v>0</v>
      </c>
      <c r="AJ39" s="122">
        <f>-Debt_Calc!BU37</f>
        <v>0</v>
      </c>
      <c r="AK39" s="122">
        <f>Debt_Calc!BV37</f>
        <v>0</v>
      </c>
      <c r="AL39" s="122">
        <f t="shared" si="38"/>
        <v>0</v>
      </c>
      <c r="AM39" s="217">
        <f t="shared" si="39"/>
        <v>0</v>
      </c>
      <c r="AN39" s="122">
        <f t="shared" si="40"/>
        <v>0</v>
      </c>
      <c r="AO39" s="122">
        <f t="shared" si="41"/>
        <v>0</v>
      </c>
      <c r="AP39" s="122">
        <f t="shared" si="42"/>
        <v>0</v>
      </c>
      <c r="AQ39" s="122">
        <f t="shared" si="43"/>
        <v>0</v>
      </c>
      <c r="AR39" s="122">
        <f t="shared" si="44"/>
        <v>0</v>
      </c>
      <c r="AS39" s="122">
        <f t="shared" si="45"/>
        <v>0</v>
      </c>
      <c r="AT39" s="122">
        <f t="shared" si="46"/>
        <v>2779960.4346534316</v>
      </c>
      <c r="AU39" s="122">
        <f t="shared" si="47"/>
        <v>2</v>
      </c>
      <c r="AV39" s="222">
        <f t="shared" si="48"/>
        <v>0</v>
      </c>
    </row>
    <row r="40" spans="2:67" s="86" customFormat="1" x14ac:dyDescent="0.3">
      <c r="B40" s="184">
        <f t="shared" si="18"/>
        <v>29</v>
      </c>
      <c r="C40" s="346">
        <f t="shared" si="10"/>
        <v>2050</v>
      </c>
      <c r="D40" s="347">
        <f t="shared" si="19"/>
        <v>54789</v>
      </c>
      <c r="E40" s="440">
        <f t="shared" si="20"/>
        <v>55153</v>
      </c>
      <c r="F40" s="732">
        <f>IF(AND(B40&gt;0,B40&lt;=Tobacco_Retrofit!$J$10),1,0)</f>
        <v>0</v>
      </c>
      <c r="G40" s="217">
        <f t="shared" si="21"/>
        <v>0</v>
      </c>
      <c r="H40" s="438">
        <f>(Tobacco_Retrofit!$M$22*F40)+IF(B40=Tobacco_Retrofit!$J$10,Tobacco_Retrofit!$J$12,0)</f>
        <v>0</v>
      </c>
      <c r="I40" s="122">
        <f t="shared" si="22"/>
        <v>0</v>
      </c>
      <c r="J40" s="219">
        <f t="shared" si="23"/>
        <v>0</v>
      </c>
      <c r="K40" s="220">
        <f>Deprec!U39</f>
        <v>0</v>
      </c>
      <c r="L40" s="122">
        <f t="shared" si="24"/>
        <v>0</v>
      </c>
      <c r="M40" s="221">
        <f t="shared" si="25"/>
        <v>0</v>
      </c>
      <c r="N40" s="122">
        <f t="shared" si="26"/>
        <v>0</v>
      </c>
      <c r="O40" s="438">
        <f>IF(N40&lt;0,0,(N40*Tobacco_Retrofit!$J$7))</f>
        <v>0</v>
      </c>
      <c r="P40" s="122">
        <f t="shared" si="27"/>
        <v>0</v>
      </c>
      <c r="Q40" s="123">
        <f t="shared" si="28"/>
        <v>0</v>
      </c>
      <c r="T40" s="218">
        <f t="shared" si="11"/>
        <v>0</v>
      </c>
      <c r="U40" s="438">
        <f t="shared" si="29"/>
        <v>0</v>
      </c>
      <c r="V40" s="218">
        <f>IF(B40=0,Tobacco_Retrofit!$C$29,0)</f>
        <v>0</v>
      </c>
      <c r="W40" s="435">
        <f t="shared" si="5"/>
        <v>0</v>
      </c>
      <c r="X40" s="438">
        <f t="shared" si="6"/>
        <v>0</v>
      </c>
      <c r="Y40" s="184">
        <f>IF(B40=0,Tobacco_Retrofit!$G$15+Tobacco_Retrofit!$G$16,0)</f>
        <v>0</v>
      </c>
      <c r="Z40" s="185">
        <f>IF(B40=0,Tobacco_Retrofit!$G$14,0)</f>
        <v>0</v>
      </c>
      <c r="AA40" s="132">
        <f t="shared" si="30"/>
        <v>0</v>
      </c>
      <c r="AB40" s="218">
        <f t="shared" si="31"/>
        <v>0</v>
      </c>
      <c r="AC40" s="218">
        <f>Tobacco_Retrofit!$G$20*AVERAGE(AR40,AS40)</f>
        <v>0</v>
      </c>
      <c r="AD40" s="132">
        <f t="shared" si="32"/>
        <v>0</v>
      </c>
      <c r="AE40" s="132">
        <f t="shared" si="33"/>
        <v>0</v>
      </c>
      <c r="AF40" s="122">
        <f t="shared" si="34"/>
        <v>0</v>
      </c>
      <c r="AG40" s="438">
        <f t="shared" si="35"/>
        <v>0</v>
      </c>
      <c r="AH40" s="122">
        <f t="shared" si="36"/>
        <v>0</v>
      </c>
      <c r="AI40" s="122">
        <f t="shared" si="37"/>
        <v>0</v>
      </c>
      <c r="AJ40" s="122">
        <f>-Debt_Calc!BU38</f>
        <v>0</v>
      </c>
      <c r="AK40" s="122">
        <f>Debt_Calc!BV38</f>
        <v>0</v>
      </c>
      <c r="AL40" s="122">
        <f t="shared" si="38"/>
        <v>0</v>
      </c>
      <c r="AM40" s="217">
        <f t="shared" si="39"/>
        <v>0</v>
      </c>
      <c r="AN40" s="122">
        <f t="shared" si="40"/>
        <v>0</v>
      </c>
      <c r="AO40" s="122">
        <f t="shared" si="41"/>
        <v>0</v>
      </c>
      <c r="AP40" s="122">
        <f t="shared" si="42"/>
        <v>0</v>
      </c>
      <c r="AQ40" s="122">
        <f t="shared" si="43"/>
        <v>0</v>
      </c>
      <c r="AR40" s="122">
        <f t="shared" si="44"/>
        <v>0</v>
      </c>
      <c r="AS40" s="122">
        <f t="shared" si="45"/>
        <v>0</v>
      </c>
      <c r="AT40" s="122">
        <f t="shared" si="46"/>
        <v>2779960.4346534316</v>
      </c>
      <c r="AU40" s="122">
        <f t="shared" si="47"/>
        <v>2</v>
      </c>
      <c r="AV40" s="222">
        <f t="shared" si="48"/>
        <v>0</v>
      </c>
    </row>
    <row r="41" spans="2:67" s="86" customFormat="1" x14ac:dyDescent="0.3">
      <c r="B41" s="184">
        <f t="shared" si="18"/>
        <v>30</v>
      </c>
      <c r="C41" s="346">
        <f t="shared" si="10"/>
        <v>2051</v>
      </c>
      <c r="D41" s="347">
        <f t="shared" si="19"/>
        <v>55154</v>
      </c>
      <c r="E41" s="440">
        <f t="shared" si="20"/>
        <v>55518</v>
      </c>
      <c r="F41" s="732">
        <f>IF(AND(B41&gt;0,B41&lt;=Tobacco_Retrofit!$J$10),1,0)</f>
        <v>0</v>
      </c>
      <c r="G41" s="217">
        <f t="shared" si="21"/>
        <v>0</v>
      </c>
      <c r="H41" s="438">
        <f>(Tobacco_Retrofit!$M$22*F41)+IF(B41=Tobacco_Retrofit!$J$10,Tobacco_Retrofit!$J$12,0)</f>
        <v>0</v>
      </c>
      <c r="I41" s="122">
        <f t="shared" si="22"/>
        <v>0</v>
      </c>
      <c r="J41" s="219">
        <f t="shared" si="23"/>
        <v>0</v>
      </c>
      <c r="K41" s="220">
        <f>Deprec!U40</f>
        <v>0</v>
      </c>
      <c r="L41" s="122">
        <f t="shared" si="24"/>
        <v>0</v>
      </c>
      <c r="M41" s="221">
        <f t="shared" si="25"/>
        <v>0</v>
      </c>
      <c r="N41" s="122">
        <f t="shared" si="26"/>
        <v>0</v>
      </c>
      <c r="O41" s="438">
        <f>IF(N41&lt;0,0,(N41*Tobacco_Retrofit!$J$7))</f>
        <v>0</v>
      </c>
      <c r="P41" s="122">
        <f t="shared" si="27"/>
        <v>0</v>
      </c>
      <c r="Q41" s="123">
        <f t="shared" si="28"/>
        <v>0</v>
      </c>
      <c r="T41" s="218">
        <f t="shared" si="11"/>
        <v>0</v>
      </c>
      <c r="U41" s="438">
        <f t="shared" si="29"/>
        <v>0</v>
      </c>
      <c r="V41" s="218">
        <f>IF(B41=0,Tobacco_Retrofit!$C$29,0)</f>
        <v>0</v>
      </c>
      <c r="W41" s="435">
        <f t="shared" si="5"/>
        <v>0</v>
      </c>
      <c r="X41" s="438">
        <f t="shared" si="6"/>
        <v>0</v>
      </c>
      <c r="Y41" s="184">
        <f>IF(B41=0,Tobacco_Retrofit!$G$15+Tobacco_Retrofit!$G$16,0)</f>
        <v>0</v>
      </c>
      <c r="Z41" s="185">
        <f>IF(B41=0,Tobacco_Retrofit!$G$14,0)</f>
        <v>0</v>
      </c>
      <c r="AA41" s="132">
        <f t="shared" si="30"/>
        <v>0</v>
      </c>
      <c r="AB41" s="218">
        <f t="shared" si="31"/>
        <v>0</v>
      </c>
      <c r="AC41" s="218">
        <f>Tobacco_Retrofit!$G$20*AVERAGE(AR41,AS41)</f>
        <v>0</v>
      </c>
      <c r="AD41" s="132">
        <f t="shared" si="32"/>
        <v>0</v>
      </c>
      <c r="AE41" s="132">
        <f t="shared" si="33"/>
        <v>0</v>
      </c>
      <c r="AF41" s="122">
        <f t="shared" si="34"/>
        <v>0</v>
      </c>
      <c r="AG41" s="438">
        <f t="shared" si="35"/>
        <v>0</v>
      </c>
      <c r="AH41" s="122">
        <f t="shared" si="36"/>
        <v>0</v>
      </c>
      <c r="AI41" s="122">
        <f t="shared" si="37"/>
        <v>0</v>
      </c>
      <c r="AJ41" s="122">
        <f>-Debt_Calc!BU39</f>
        <v>0</v>
      </c>
      <c r="AK41" s="122">
        <f>Debt_Calc!BV39</f>
        <v>0</v>
      </c>
      <c r="AL41" s="122">
        <f t="shared" si="38"/>
        <v>0</v>
      </c>
      <c r="AM41" s="217">
        <f t="shared" si="39"/>
        <v>0</v>
      </c>
      <c r="AN41" s="122">
        <f t="shared" si="40"/>
        <v>0</v>
      </c>
      <c r="AO41" s="122">
        <f t="shared" si="41"/>
        <v>0</v>
      </c>
      <c r="AP41" s="122">
        <f t="shared" si="42"/>
        <v>0</v>
      </c>
      <c r="AQ41" s="122">
        <f t="shared" si="43"/>
        <v>0</v>
      </c>
      <c r="AR41" s="122">
        <f t="shared" si="44"/>
        <v>0</v>
      </c>
      <c r="AS41" s="122">
        <f t="shared" si="45"/>
        <v>0</v>
      </c>
      <c r="AT41" s="122">
        <f t="shared" si="46"/>
        <v>2779960.4346534316</v>
      </c>
      <c r="AU41" s="122">
        <f t="shared" si="47"/>
        <v>2</v>
      </c>
      <c r="AV41" s="222">
        <f t="shared" si="48"/>
        <v>0</v>
      </c>
    </row>
    <row r="42" spans="2:67" s="86" customFormat="1" x14ac:dyDescent="0.3">
      <c r="B42" s="184">
        <f t="shared" si="18"/>
        <v>31</v>
      </c>
      <c r="C42" s="346">
        <f t="shared" si="10"/>
        <v>2052</v>
      </c>
      <c r="D42" s="347">
        <f t="shared" si="19"/>
        <v>55519</v>
      </c>
      <c r="E42" s="440">
        <f t="shared" si="20"/>
        <v>55884</v>
      </c>
      <c r="F42" s="732">
        <f>IF(AND(B42&gt;0,B42&lt;=Tobacco_Retrofit!$J$10),1,0)</f>
        <v>0</v>
      </c>
      <c r="G42" s="217">
        <f t="shared" si="21"/>
        <v>0</v>
      </c>
      <c r="H42" s="438">
        <f>(Tobacco_Retrofit!$M$22*F42)+IF(B42=Tobacco_Retrofit!$J$10,Tobacco_Retrofit!$J$12,0)</f>
        <v>0</v>
      </c>
      <c r="I42" s="122">
        <f t="shared" si="22"/>
        <v>0</v>
      </c>
      <c r="J42" s="219">
        <f t="shared" si="23"/>
        <v>0</v>
      </c>
      <c r="K42" s="220">
        <f>Deprec!U41</f>
        <v>0</v>
      </c>
      <c r="L42" s="122">
        <f t="shared" si="24"/>
        <v>0</v>
      </c>
      <c r="M42" s="221">
        <f t="shared" si="25"/>
        <v>0</v>
      </c>
      <c r="N42" s="122">
        <f t="shared" si="26"/>
        <v>0</v>
      </c>
      <c r="O42" s="438">
        <f>IF(N42&lt;0,0,(N42*Tobacco_Retrofit!$J$7))</f>
        <v>0</v>
      </c>
      <c r="P42" s="122">
        <f t="shared" si="27"/>
        <v>0</v>
      </c>
      <c r="Q42" s="123">
        <f t="shared" si="28"/>
        <v>0</v>
      </c>
      <c r="T42" s="218">
        <f t="shared" si="11"/>
        <v>0</v>
      </c>
      <c r="U42" s="438">
        <f t="shared" si="29"/>
        <v>0</v>
      </c>
      <c r="V42" s="218">
        <f>IF(B42=0,Tobacco_Retrofit!$C$29,0)</f>
        <v>0</v>
      </c>
      <c r="W42" s="435">
        <f t="shared" si="5"/>
        <v>0</v>
      </c>
      <c r="X42" s="438">
        <f t="shared" si="6"/>
        <v>0</v>
      </c>
      <c r="Y42" s="184">
        <f>IF(B42=0,Tobacco_Retrofit!$G$15+Tobacco_Retrofit!$G$16,0)</f>
        <v>0</v>
      </c>
      <c r="Z42" s="185">
        <f>IF(B42=0,Tobacco_Retrofit!$G$14,0)</f>
        <v>0</v>
      </c>
      <c r="AA42" s="132">
        <f t="shared" si="30"/>
        <v>0</v>
      </c>
      <c r="AB42" s="218">
        <f t="shared" si="31"/>
        <v>0</v>
      </c>
      <c r="AC42" s="218">
        <f>Tobacco_Retrofit!$G$20*AVERAGE(AR42,AS42)</f>
        <v>0</v>
      </c>
      <c r="AD42" s="132">
        <f t="shared" si="32"/>
        <v>0</v>
      </c>
      <c r="AE42" s="132">
        <f t="shared" si="33"/>
        <v>0</v>
      </c>
      <c r="AF42" s="122">
        <f t="shared" si="34"/>
        <v>0</v>
      </c>
      <c r="AG42" s="438">
        <f t="shared" si="35"/>
        <v>0</v>
      </c>
      <c r="AH42" s="122">
        <f t="shared" si="36"/>
        <v>0</v>
      </c>
      <c r="AI42" s="122">
        <f t="shared" si="37"/>
        <v>0</v>
      </c>
      <c r="AJ42" s="122">
        <f>-Debt_Calc!BU40</f>
        <v>0</v>
      </c>
      <c r="AK42" s="122">
        <f>Debt_Calc!BV40</f>
        <v>0</v>
      </c>
      <c r="AL42" s="122">
        <f t="shared" si="38"/>
        <v>0</v>
      </c>
      <c r="AM42" s="217">
        <f t="shared" si="39"/>
        <v>0</v>
      </c>
      <c r="AN42" s="122">
        <f t="shared" si="40"/>
        <v>0</v>
      </c>
      <c r="AO42" s="122">
        <f t="shared" si="41"/>
        <v>0</v>
      </c>
      <c r="AP42" s="122">
        <f t="shared" si="42"/>
        <v>0</v>
      </c>
      <c r="AQ42" s="122">
        <f t="shared" si="43"/>
        <v>0</v>
      </c>
      <c r="AR42" s="122">
        <f t="shared" si="44"/>
        <v>0</v>
      </c>
      <c r="AS42" s="122">
        <f t="shared" si="45"/>
        <v>0</v>
      </c>
      <c r="AT42" s="122">
        <f t="shared" si="46"/>
        <v>2779960.4346534316</v>
      </c>
      <c r="AU42" s="122">
        <f t="shared" si="47"/>
        <v>2</v>
      </c>
      <c r="AV42" s="222">
        <f t="shared" si="48"/>
        <v>0</v>
      </c>
    </row>
    <row r="43" spans="2:67" s="86" customFormat="1" x14ac:dyDescent="0.3">
      <c r="B43" s="184">
        <f t="shared" si="18"/>
        <v>32</v>
      </c>
      <c r="C43" s="346">
        <f t="shared" si="10"/>
        <v>2053</v>
      </c>
      <c r="D43" s="347">
        <f t="shared" si="19"/>
        <v>55885</v>
      </c>
      <c r="E43" s="440">
        <f t="shared" si="20"/>
        <v>56249</v>
      </c>
      <c r="F43" s="732">
        <f>IF(AND(B43&gt;0,B43&lt;=Tobacco_Retrofit!$J$10),1,0)</f>
        <v>0</v>
      </c>
      <c r="G43" s="217">
        <f t="shared" si="21"/>
        <v>0</v>
      </c>
      <c r="H43" s="438">
        <f>(Tobacco_Retrofit!$M$22*F43)+IF(B43=Tobacco_Retrofit!$J$10,Tobacco_Retrofit!$J$12,0)</f>
        <v>0</v>
      </c>
      <c r="I43" s="122">
        <f t="shared" si="22"/>
        <v>0</v>
      </c>
      <c r="J43" s="219">
        <f t="shared" si="23"/>
        <v>0</v>
      </c>
      <c r="K43" s="220">
        <f>Deprec!U42</f>
        <v>0</v>
      </c>
      <c r="L43" s="122">
        <f t="shared" si="24"/>
        <v>0</v>
      </c>
      <c r="M43" s="221">
        <f t="shared" si="25"/>
        <v>0</v>
      </c>
      <c r="N43" s="122">
        <f t="shared" si="26"/>
        <v>0</v>
      </c>
      <c r="O43" s="438">
        <f>IF(N43&lt;0,0,(N43*Tobacco_Retrofit!$J$7))</f>
        <v>0</v>
      </c>
      <c r="P43" s="122">
        <f t="shared" si="27"/>
        <v>0</v>
      </c>
      <c r="Q43" s="123">
        <f t="shared" si="28"/>
        <v>0</v>
      </c>
      <c r="T43" s="218">
        <f t="shared" si="11"/>
        <v>0</v>
      </c>
      <c r="U43" s="438">
        <f t="shared" si="29"/>
        <v>0</v>
      </c>
      <c r="V43" s="218">
        <f>IF(B43=0,Tobacco_Retrofit!$C$29,0)</f>
        <v>0</v>
      </c>
      <c r="W43" s="435">
        <f t="shared" si="5"/>
        <v>0</v>
      </c>
      <c r="X43" s="438">
        <f t="shared" si="6"/>
        <v>0</v>
      </c>
      <c r="Y43" s="184">
        <f>IF(B43=0,Tobacco_Retrofit!$G$15+Tobacco_Retrofit!$G$16,0)</f>
        <v>0</v>
      </c>
      <c r="Z43" s="185">
        <f>IF(B43=0,Tobacco_Retrofit!$G$14,0)</f>
        <v>0</v>
      </c>
      <c r="AA43" s="132">
        <f t="shared" si="30"/>
        <v>0</v>
      </c>
      <c r="AB43" s="218">
        <f t="shared" si="31"/>
        <v>0</v>
      </c>
      <c r="AC43" s="218">
        <f>Tobacco_Retrofit!$G$20*AVERAGE(AR43,AS43)</f>
        <v>0</v>
      </c>
      <c r="AD43" s="132">
        <f t="shared" si="32"/>
        <v>0</v>
      </c>
      <c r="AE43" s="132">
        <f t="shared" si="33"/>
        <v>0</v>
      </c>
      <c r="AF43" s="122">
        <f t="shared" si="34"/>
        <v>0</v>
      </c>
      <c r="AG43" s="438">
        <f t="shared" si="35"/>
        <v>0</v>
      </c>
      <c r="AH43" s="122">
        <f t="shared" si="36"/>
        <v>0</v>
      </c>
      <c r="AI43" s="122">
        <f t="shared" si="37"/>
        <v>0</v>
      </c>
      <c r="AJ43" s="122">
        <f>-Debt_Calc!BU41</f>
        <v>0</v>
      </c>
      <c r="AK43" s="122">
        <f>Debt_Calc!BV41</f>
        <v>0</v>
      </c>
      <c r="AL43" s="122">
        <f t="shared" si="38"/>
        <v>0</v>
      </c>
      <c r="AM43" s="217">
        <f t="shared" si="39"/>
        <v>0</v>
      </c>
      <c r="AN43" s="122">
        <f t="shared" si="40"/>
        <v>0</v>
      </c>
      <c r="AO43" s="122">
        <f t="shared" si="41"/>
        <v>0</v>
      </c>
      <c r="AP43" s="122">
        <f t="shared" si="42"/>
        <v>0</v>
      </c>
      <c r="AQ43" s="122">
        <f t="shared" si="43"/>
        <v>0</v>
      </c>
      <c r="AR43" s="122">
        <f t="shared" si="44"/>
        <v>0</v>
      </c>
      <c r="AS43" s="122">
        <f t="shared" si="45"/>
        <v>0</v>
      </c>
      <c r="AT43" s="122">
        <f t="shared" si="46"/>
        <v>2779960.4346534316</v>
      </c>
      <c r="AU43" s="122">
        <f t="shared" si="47"/>
        <v>2</v>
      </c>
      <c r="AV43" s="222">
        <f t="shared" si="48"/>
        <v>0</v>
      </c>
    </row>
    <row r="44" spans="2:67" s="86" customFormat="1" x14ac:dyDescent="0.3">
      <c r="B44" s="748">
        <f t="shared" si="18"/>
        <v>33</v>
      </c>
      <c r="C44" s="756">
        <f t="shared" si="10"/>
        <v>2054</v>
      </c>
      <c r="D44" s="757">
        <f t="shared" si="19"/>
        <v>56250</v>
      </c>
      <c r="E44" s="758">
        <f t="shared" si="20"/>
        <v>56614</v>
      </c>
      <c r="F44" s="762">
        <f>IF(AND(B44&gt;0,B44&lt;=Tobacco_Retrofit!$J$10),1,0)</f>
        <v>0</v>
      </c>
      <c r="G44" s="759">
        <f t="shared" si="21"/>
        <v>0</v>
      </c>
      <c r="H44" s="749">
        <f>(Tobacco_Retrofit!$M$22*F44)+IF(B44=Tobacco_Retrofit!$J$10,Tobacco_Retrofit!$J$12,0)</f>
        <v>0</v>
      </c>
      <c r="I44" s="83">
        <f t="shared" si="22"/>
        <v>0</v>
      </c>
      <c r="J44" s="738">
        <f t="shared" si="23"/>
        <v>0</v>
      </c>
      <c r="K44" s="750">
        <f>Deprec!U43</f>
        <v>0</v>
      </c>
      <c r="L44" s="83">
        <f t="shared" si="24"/>
        <v>0</v>
      </c>
      <c r="M44" s="751">
        <f t="shared" si="25"/>
        <v>0</v>
      </c>
      <c r="N44" s="83">
        <f t="shared" si="26"/>
        <v>0</v>
      </c>
      <c r="O44" s="749">
        <f>IF(N44&lt;0,0,(N44*Tobacco_Retrofit!$J$7))</f>
        <v>0</v>
      </c>
      <c r="P44" s="83">
        <f t="shared" si="27"/>
        <v>0</v>
      </c>
      <c r="Q44" s="688">
        <f t="shared" si="28"/>
        <v>0</v>
      </c>
      <c r="R44" s="232"/>
      <c r="S44" s="232"/>
      <c r="T44" s="746">
        <f t="shared" si="11"/>
        <v>0</v>
      </c>
      <c r="U44" s="749">
        <f t="shared" si="29"/>
        <v>0</v>
      </c>
      <c r="V44" s="746">
        <f>IF(B44=0,Tobacco_Retrofit!$C$29,0)</f>
        <v>0</v>
      </c>
      <c r="W44" s="760">
        <f t="shared" si="5"/>
        <v>0</v>
      </c>
      <c r="X44" s="749">
        <f t="shared" si="6"/>
        <v>0</v>
      </c>
      <c r="Y44" s="748">
        <f>IF(B44=0,Tobacco_Retrofit!$G$15+Tobacco_Retrofit!$G$16,0)</f>
        <v>0</v>
      </c>
      <c r="Z44" s="150">
        <f>IF(B44=0,Tobacco_Retrofit!$G$14,0)</f>
        <v>0</v>
      </c>
      <c r="AA44" s="84">
        <f t="shared" si="30"/>
        <v>0</v>
      </c>
      <c r="AB44" s="746">
        <f t="shared" si="31"/>
        <v>0</v>
      </c>
      <c r="AC44" s="746">
        <f>Tobacco_Retrofit!$G$20*AVERAGE(AR44,AS44)</f>
        <v>0</v>
      </c>
      <c r="AD44" s="84">
        <f t="shared" si="32"/>
        <v>0</v>
      </c>
      <c r="AE44" s="84">
        <f t="shared" si="33"/>
        <v>0</v>
      </c>
      <c r="AF44" s="83">
        <f t="shared" si="34"/>
        <v>0</v>
      </c>
      <c r="AG44" s="749">
        <f t="shared" si="35"/>
        <v>0</v>
      </c>
      <c r="AH44" s="83">
        <f t="shared" si="36"/>
        <v>0</v>
      </c>
      <c r="AI44" s="83">
        <f t="shared" si="37"/>
        <v>0</v>
      </c>
      <c r="AJ44" s="83">
        <f>-Debt_Calc!BU42</f>
        <v>0</v>
      </c>
      <c r="AK44" s="83">
        <f>Debt_Calc!BV42</f>
        <v>0</v>
      </c>
      <c r="AL44" s="83">
        <f t="shared" si="38"/>
        <v>0</v>
      </c>
      <c r="AM44" s="759">
        <f t="shared" si="39"/>
        <v>0</v>
      </c>
      <c r="AN44" s="83">
        <f t="shared" si="40"/>
        <v>0</v>
      </c>
      <c r="AO44" s="83">
        <f t="shared" si="41"/>
        <v>0</v>
      </c>
      <c r="AP44" s="83">
        <f t="shared" si="42"/>
        <v>0</v>
      </c>
      <c r="AQ44" s="83">
        <f t="shared" si="43"/>
        <v>0</v>
      </c>
      <c r="AR44" s="83">
        <f t="shared" si="44"/>
        <v>0</v>
      </c>
      <c r="AS44" s="83">
        <f t="shared" si="45"/>
        <v>0</v>
      </c>
      <c r="AT44" s="83">
        <f t="shared" si="46"/>
        <v>2779960.4346534316</v>
      </c>
      <c r="AU44" s="83">
        <f t="shared" si="47"/>
        <v>2</v>
      </c>
      <c r="AV44" s="739">
        <f t="shared" si="48"/>
        <v>0</v>
      </c>
    </row>
    <row r="45" spans="2:67" s="227" customFormat="1" x14ac:dyDescent="0.3">
      <c r="G45" s="202"/>
      <c r="H45" s="86"/>
      <c r="I45" s="86"/>
      <c r="J45" s="86"/>
      <c r="K45" s="86"/>
      <c r="L45" s="86"/>
      <c r="M45" s="199"/>
      <c r="N45" s="86"/>
      <c r="O45" s="86"/>
      <c r="P45" s="86"/>
      <c r="Q45" s="225"/>
      <c r="R45" s="86"/>
      <c r="S45" s="86"/>
      <c r="T45" s="239"/>
      <c r="U45" s="86"/>
      <c r="V45" s="202"/>
      <c r="W45" s="86"/>
      <c r="X45" s="86"/>
      <c r="Y45" s="86"/>
      <c r="Z45" s="86"/>
      <c r="AA45" s="86"/>
      <c r="AB45" s="86"/>
      <c r="AC45" s="86"/>
      <c r="AD45" s="86"/>
      <c r="AE45" s="86"/>
      <c r="AF45" s="86"/>
      <c r="AG45" s="86"/>
      <c r="AH45" s="86"/>
      <c r="AI45" s="86"/>
      <c r="AJ45" s="202"/>
      <c r="AK45" s="202"/>
      <c r="AL45" s="202"/>
      <c r="AM45" s="86"/>
      <c r="AN45" s="86"/>
      <c r="AO45" s="86"/>
      <c r="AP45" s="86"/>
      <c r="AQ45" s="86"/>
      <c r="AR45" s="86"/>
      <c r="AS45" s="86"/>
      <c r="AT45" s="86"/>
      <c r="AU45" s="86"/>
      <c r="AV45" s="86"/>
      <c r="AW45" s="86"/>
      <c r="AX45" s="86"/>
      <c r="AY45" s="86"/>
      <c r="AZ45" s="86"/>
      <c r="BA45" s="86"/>
      <c r="BB45" s="86"/>
      <c r="BC45" s="86"/>
      <c r="BD45" s="86"/>
      <c r="BE45" s="86"/>
      <c r="BF45" s="86"/>
      <c r="BG45" s="86"/>
      <c r="BH45" s="86"/>
      <c r="BI45" s="86"/>
      <c r="BJ45" s="86"/>
      <c r="BK45" s="86"/>
      <c r="BL45" s="86"/>
      <c r="BM45" s="86"/>
      <c r="BN45" s="86"/>
      <c r="BO45" s="86"/>
    </row>
    <row r="46" spans="2:67" s="227" customFormat="1" x14ac:dyDescent="0.3">
      <c r="G46" s="202"/>
      <c r="H46" s="86"/>
      <c r="I46" s="86"/>
      <c r="J46" s="86"/>
      <c r="K46" s="86"/>
      <c r="L46" s="86"/>
      <c r="M46" s="199"/>
      <c r="N46" s="86"/>
      <c r="O46" s="86"/>
      <c r="P46" s="86"/>
      <c r="Q46" s="225"/>
      <c r="R46" s="86"/>
      <c r="S46" s="86"/>
      <c r="T46" s="239"/>
      <c r="U46" s="86"/>
      <c r="V46" s="202"/>
      <c r="W46" s="86"/>
      <c r="X46" s="86"/>
      <c r="Y46" s="86"/>
      <c r="Z46" s="86"/>
      <c r="AA46" s="86"/>
      <c r="AB46" s="86"/>
      <c r="AC46" s="86"/>
      <c r="AD46" s="86"/>
      <c r="AE46" s="86"/>
      <c r="AF46" s="86"/>
      <c r="AG46" s="86"/>
      <c r="AH46" s="86"/>
      <c r="AI46" s="86"/>
      <c r="AJ46" s="202"/>
      <c r="AK46" s="202"/>
      <c r="AL46" s="202"/>
      <c r="AM46" s="86"/>
      <c r="AN46" s="86"/>
      <c r="AO46" s="86"/>
      <c r="AP46" s="86"/>
      <c r="AQ46" s="86"/>
      <c r="AR46" s="86"/>
      <c r="AS46" s="86"/>
      <c r="AT46" s="86"/>
      <c r="AU46" s="86"/>
      <c r="AV46" s="86"/>
      <c r="AW46" s="86"/>
      <c r="AX46" s="86"/>
      <c r="AY46" s="86"/>
      <c r="AZ46" s="86"/>
      <c r="BA46" s="86"/>
      <c r="BB46" s="86"/>
      <c r="BC46" s="86"/>
      <c r="BD46" s="86"/>
      <c r="BE46" s="86"/>
      <c r="BF46" s="86"/>
      <c r="BG46" s="86"/>
      <c r="BH46" s="86"/>
      <c r="BI46" s="86"/>
      <c r="BJ46" s="86"/>
      <c r="BK46" s="86"/>
      <c r="BL46" s="86"/>
      <c r="BM46" s="86"/>
      <c r="BN46" s="86"/>
      <c r="BO46" s="86"/>
    </row>
    <row r="47" spans="2:67" s="227" customFormat="1" x14ac:dyDescent="0.3">
      <c r="G47" s="202"/>
      <c r="H47" s="86"/>
      <c r="I47" s="86"/>
      <c r="J47" s="86"/>
      <c r="K47" s="86"/>
      <c r="L47" s="86"/>
      <c r="M47" s="199"/>
      <c r="N47" s="86"/>
      <c r="O47" s="86"/>
      <c r="P47" s="86"/>
      <c r="Q47" s="225"/>
      <c r="R47" s="86"/>
      <c r="S47" s="86"/>
      <c r="T47" s="239"/>
      <c r="U47" s="86"/>
      <c r="V47" s="202"/>
      <c r="W47" s="86"/>
      <c r="X47" s="86"/>
      <c r="Y47" s="86"/>
      <c r="Z47" s="86"/>
      <c r="AA47" s="86"/>
      <c r="AB47" s="86"/>
      <c r="AC47" s="86"/>
      <c r="AD47" s="86"/>
      <c r="AE47" s="86"/>
      <c r="AF47" s="86"/>
      <c r="AG47" s="86"/>
      <c r="AH47" s="86"/>
      <c r="AI47" s="86"/>
      <c r="AJ47" s="202"/>
      <c r="AK47" s="202"/>
      <c r="AL47" s="202"/>
      <c r="AM47" s="86"/>
      <c r="AN47" s="86"/>
      <c r="AO47" s="86"/>
      <c r="AP47" s="86"/>
      <c r="AQ47" s="86"/>
      <c r="AR47" s="86"/>
      <c r="AS47" s="86"/>
      <c r="AT47" s="86"/>
      <c r="AU47" s="86"/>
      <c r="AV47" s="86"/>
      <c r="AW47" s="86"/>
      <c r="AX47" s="86"/>
      <c r="AY47" s="86"/>
      <c r="AZ47" s="86"/>
      <c r="BA47" s="86"/>
      <c r="BB47" s="86"/>
      <c r="BC47" s="86"/>
      <c r="BD47" s="86"/>
      <c r="BE47" s="86"/>
      <c r="BF47" s="86"/>
      <c r="BG47" s="86"/>
      <c r="BH47" s="86"/>
      <c r="BI47" s="86"/>
      <c r="BJ47" s="86"/>
      <c r="BK47" s="86"/>
      <c r="BL47" s="86"/>
      <c r="BM47" s="86"/>
      <c r="BN47" s="86"/>
      <c r="BO47" s="86"/>
    </row>
    <row r="48" spans="2:67" s="227" customFormat="1" x14ac:dyDescent="0.3">
      <c r="G48" s="202"/>
      <c r="H48" s="86"/>
      <c r="I48" s="86"/>
      <c r="J48" s="86"/>
      <c r="K48" s="86"/>
      <c r="L48" s="86"/>
      <c r="M48" s="199"/>
      <c r="N48" s="86"/>
      <c r="O48" s="86"/>
      <c r="P48" s="86"/>
      <c r="Q48" s="225"/>
      <c r="R48" s="86"/>
      <c r="S48" s="86"/>
      <c r="T48" s="239"/>
      <c r="U48" s="86"/>
      <c r="V48" s="202"/>
      <c r="W48" s="86"/>
      <c r="X48" s="86"/>
      <c r="Y48" s="86"/>
      <c r="Z48" s="86"/>
      <c r="AA48" s="86"/>
      <c r="AB48" s="86"/>
      <c r="AC48" s="86"/>
      <c r="AD48" s="86"/>
      <c r="AE48" s="86"/>
      <c r="AF48" s="86"/>
      <c r="AG48" s="86"/>
      <c r="AH48" s="86"/>
      <c r="AI48" s="86"/>
      <c r="AJ48" s="202"/>
      <c r="AK48" s="202"/>
      <c r="AL48" s="202"/>
      <c r="AM48" s="86"/>
      <c r="AN48" s="86"/>
      <c r="AO48" s="86"/>
      <c r="AP48" s="86"/>
      <c r="AQ48" s="86"/>
      <c r="AR48" s="86"/>
      <c r="AS48" s="86"/>
      <c r="AT48" s="86"/>
      <c r="AU48" s="86"/>
      <c r="AV48" s="86"/>
      <c r="AW48" s="86"/>
      <c r="AX48" s="86"/>
      <c r="AY48" s="86"/>
      <c r="AZ48" s="86"/>
      <c r="BA48" s="86"/>
      <c r="BB48" s="86"/>
      <c r="BC48" s="86"/>
      <c r="BD48" s="86"/>
      <c r="BE48" s="86"/>
      <c r="BF48" s="86"/>
      <c r="BG48" s="86"/>
      <c r="BH48" s="86"/>
      <c r="BI48" s="86"/>
      <c r="BJ48" s="86"/>
      <c r="BK48" s="86"/>
      <c r="BL48" s="86"/>
      <c r="BM48" s="86"/>
      <c r="BN48" s="86"/>
      <c r="BO48" s="86"/>
    </row>
    <row r="49" spans="7:67" s="227" customFormat="1" x14ac:dyDescent="0.3">
      <c r="G49" s="202"/>
      <c r="H49" s="86"/>
      <c r="I49" s="86"/>
      <c r="J49" s="86"/>
      <c r="K49" s="86"/>
      <c r="L49" s="86"/>
      <c r="M49" s="199"/>
      <c r="N49" s="86"/>
      <c r="O49" s="86"/>
      <c r="P49" s="86"/>
      <c r="Q49" s="225"/>
      <c r="R49" s="86"/>
      <c r="S49" s="86"/>
      <c r="T49" s="239"/>
      <c r="U49" s="86"/>
      <c r="V49" s="202"/>
      <c r="W49" s="86"/>
      <c r="X49" s="86"/>
      <c r="Y49" s="86"/>
      <c r="Z49" s="86"/>
      <c r="AA49" s="86"/>
      <c r="AB49" s="86"/>
      <c r="AC49" s="86"/>
      <c r="AD49" s="86"/>
      <c r="AE49" s="86"/>
      <c r="AF49" s="86"/>
      <c r="AG49" s="86"/>
      <c r="AH49" s="86"/>
      <c r="AI49" s="86"/>
      <c r="AJ49" s="202"/>
      <c r="AK49" s="202"/>
      <c r="AL49" s="202"/>
      <c r="AM49" s="86"/>
      <c r="AN49" s="86"/>
      <c r="AO49" s="86"/>
      <c r="AP49" s="86"/>
      <c r="AQ49" s="86"/>
      <c r="AR49" s="86"/>
      <c r="AS49" s="86"/>
      <c r="AT49" s="86"/>
      <c r="AU49" s="86"/>
      <c r="AV49" s="86"/>
      <c r="AW49" s="86"/>
      <c r="AX49" s="86"/>
      <c r="AY49" s="86"/>
      <c r="AZ49" s="86"/>
      <c r="BA49" s="86"/>
      <c r="BB49" s="86"/>
      <c r="BC49" s="86"/>
      <c r="BD49" s="86"/>
      <c r="BE49" s="86"/>
      <c r="BF49" s="86"/>
      <c r="BG49" s="86"/>
      <c r="BH49" s="86"/>
      <c r="BI49" s="86"/>
      <c r="BJ49" s="86"/>
      <c r="BK49" s="86"/>
      <c r="BL49" s="86"/>
      <c r="BM49" s="86"/>
      <c r="BN49" s="86"/>
      <c r="BO49" s="86"/>
    </row>
    <row r="50" spans="7:67" s="227" customFormat="1" x14ac:dyDescent="0.3">
      <c r="G50" s="202"/>
      <c r="H50" s="86"/>
      <c r="I50" s="86"/>
      <c r="J50" s="86"/>
      <c r="K50" s="86"/>
      <c r="L50" s="86"/>
      <c r="M50" s="199"/>
      <c r="N50" s="86"/>
      <c r="O50" s="86"/>
      <c r="P50" s="86"/>
      <c r="Q50" s="225"/>
      <c r="R50" s="86"/>
      <c r="S50" s="86"/>
      <c r="T50" s="239"/>
      <c r="U50" s="86"/>
      <c r="V50" s="202"/>
      <c r="W50" s="86"/>
      <c r="X50" s="86"/>
      <c r="Y50" s="86"/>
      <c r="Z50" s="86"/>
      <c r="AA50" s="86"/>
      <c r="AB50" s="86"/>
      <c r="AC50" s="86"/>
      <c r="AD50" s="86"/>
      <c r="AE50" s="86"/>
      <c r="AF50" s="86"/>
      <c r="AG50" s="86"/>
      <c r="AH50" s="86"/>
      <c r="AI50" s="86"/>
      <c r="AJ50" s="202"/>
      <c r="AK50" s="202"/>
      <c r="AL50" s="202"/>
      <c r="AM50" s="86"/>
      <c r="AN50" s="86"/>
      <c r="AO50" s="86"/>
      <c r="AP50" s="86"/>
      <c r="AQ50" s="86"/>
      <c r="AR50" s="86"/>
      <c r="AS50" s="86"/>
      <c r="AT50" s="86"/>
      <c r="AU50" s="86"/>
      <c r="AV50" s="86"/>
      <c r="AW50" s="86"/>
      <c r="AX50" s="86"/>
      <c r="AY50" s="86"/>
      <c r="AZ50" s="86"/>
      <c r="BA50" s="86"/>
      <c r="BB50" s="86"/>
      <c r="BC50" s="86"/>
      <c r="BD50" s="86"/>
      <c r="BE50" s="86"/>
      <c r="BF50" s="86"/>
      <c r="BG50" s="86"/>
      <c r="BH50" s="86"/>
      <c r="BI50" s="86"/>
      <c r="BJ50" s="86"/>
      <c r="BK50" s="86"/>
      <c r="BL50" s="86"/>
      <c r="BM50" s="86"/>
      <c r="BN50" s="86"/>
      <c r="BO50" s="86"/>
    </row>
    <row r="51" spans="7:67" s="227" customFormat="1" x14ac:dyDescent="0.3">
      <c r="G51" s="202"/>
      <c r="H51" s="86"/>
      <c r="I51" s="86"/>
      <c r="J51" s="86"/>
      <c r="K51" s="86"/>
      <c r="L51" s="86"/>
      <c r="M51" s="199"/>
      <c r="N51" s="86"/>
      <c r="O51" s="86"/>
      <c r="P51" s="86"/>
      <c r="Q51" s="225"/>
      <c r="R51" s="86"/>
      <c r="S51" s="86"/>
      <c r="T51" s="239"/>
      <c r="U51" s="86"/>
      <c r="V51" s="202"/>
      <c r="W51" s="86"/>
      <c r="X51" s="86"/>
      <c r="Y51" s="86"/>
      <c r="Z51" s="86"/>
      <c r="AA51" s="86"/>
      <c r="AB51" s="86"/>
      <c r="AC51" s="86"/>
      <c r="AD51" s="86"/>
      <c r="AE51" s="86"/>
      <c r="AF51" s="86"/>
      <c r="AG51" s="86"/>
      <c r="AH51" s="86"/>
      <c r="AI51" s="86"/>
      <c r="AJ51" s="202"/>
      <c r="AK51" s="202"/>
      <c r="AL51" s="202"/>
      <c r="AM51" s="86"/>
      <c r="AN51" s="86"/>
      <c r="AO51" s="86"/>
      <c r="AP51" s="86"/>
      <c r="AQ51" s="86"/>
      <c r="AR51" s="86"/>
      <c r="AS51" s="86"/>
      <c r="AT51" s="86"/>
      <c r="AU51" s="86"/>
      <c r="AV51" s="86"/>
      <c r="AW51" s="86"/>
      <c r="AX51" s="86"/>
      <c r="AY51" s="86"/>
      <c r="AZ51" s="86"/>
      <c r="BA51" s="86"/>
      <c r="BB51" s="86"/>
      <c r="BC51" s="86"/>
      <c r="BD51" s="86"/>
      <c r="BE51" s="86"/>
      <c r="BF51" s="86"/>
      <c r="BG51" s="86"/>
      <c r="BH51" s="86"/>
      <c r="BI51" s="86"/>
      <c r="BJ51" s="86"/>
      <c r="BK51" s="86"/>
      <c r="BL51" s="86"/>
      <c r="BM51" s="86"/>
      <c r="BN51" s="86"/>
      <c r="BO51" s="86"/>
    </row>
    <row r="52" spans="7:67" s="227" customFormat="1" x14ac:dyDescent="0.3">
      <c r="G52" s="202"/>
      <c r="H52" s="86"/>
      <c r="I52" s="86"/>
      <c r="J52" s="86"/>
      <c r="K52" s="86"/>
      <c r="L52" s="86"/>
      <c r="M52" s="199"/>
      <c r="N52" s="86"/>
      <c r="O52" s="86"/>
      <c r="P52" s="86"/>
      <c r="Q52" s="225"/>
      <c r="R52" s="86"/>
      <c r="S52" s="86"/>
      <c r="T52" s="239"/>
      <c r="U52" s="86"/>
      <c r="V52" s="202"/>
      <c r="W52" s="86"/>
      <c r="X52" s="86"/>
      <c r="Y52" s="86"/>
      <c r="Z52" s="86"/>
      <c r="AA52" s="86"/>
      <c r="AB52" s="86"/>
      <c r="AC52" s="86"/>
      <c r="AD52" s="86"/>
      <c r="AE52" s="86"/>
      <c r="AF52" s="86"/>
      <c r="AG52" s="86"/>
      <c r="AH52" s="86"/>
      <c r="AI52" s="86"/>
      <c r="AJ52" s="202"/>
      <c r="AK52" s="202"/>
      <c r="AL52" s="202"/>
      <c r="AM52" s="86"/>
      <c r="AN52" s="86"/>
      <c r="AO52" s="86"/>
      <c r="AP52" s="86"/>
      <c r="AQ52" s="86"/>
      <c r="AR52" s="86"/>
      <c r="AS52" s="86"/>
      <c r="AT52" s="86"/>
      <c r="AU52" s="86"/>
      <c r="AV52" s="86"/>
      <c r="AW52" s="86"/>
      <c r="AX52" s="86"/>
      <c r="AY52" s="86"/>
      <c r="AZ52" s="86"/>
      <c r="BA52" s="86"/>
      <c r="BB52" s="86"/>
      <c r="BC52" s="86"/>
      <c r="BD52" s="86"/>
      <c r="BE52" s="86"/>
      <c r="BF52" s="86"/>
      <c r="BG52" s="86"/>
      <c r="BH52" s="86"/>
      <c r="BI52" s="86"/>
      <c r="BJ52" s="86"/>
      <c r="BK52" s="86"/>
      <c r="BL52" s="86"/>
      <c r="BM52" s="86"/>
      <c r="BN52" s="86"/>
      <c r="BO52" s="86"/>
    </row>
    <row r="53" spans="7:67" s="227" customFormat="1" x14ac:dyDescent="0.3">
      <c r="G53" s="202"/>
      <c r="H53" s="86"/>
      <c r="I53" s="86"/>
      <c r="J53" s="86"/>
      <c r="K53" s="86"/>
      <c r="L53" s="86"/>
      <c r="M53" s="199"/>
      <c r="N53" s="86"/>
      <c r="O53" s="86"/>
      <c r="P53" s="86"/>
      <c r="Q53" s="225"/>
      <c r="R53" s="86"/>
      <c r="S53" s="86"/>
      <c r="T53" s="239"/>
      <c r="U53" s="86"/>
      <c r="V53" s="202"/>
      <c r="W53" s="86"/>
      <c r="X53" s="86"/>
      <c r="Y53" s="86"/>
      <c r="Z53" s="86"/>
      <c r="AA53" s="86"/>
      <c r="AB53" s="86"/>
      <c r="AC53" s="86"/>
      <c r="AD53" s="86"/>
      <c r="AE53" s="86"/>
      <c r="AF53" s="86"/>
      <c r="AG53" s="86"/>
      <c r="AH53" s="86"/>
      <c r="AI53" s="86"/>
      <c r="AJ53" s="202"/>
      <c r="AK53" s="202"/>
      <c r="AL53" s="202"/>
      <c r="AM53" s="86"/>
      <c r="AN53" s="86"/>
      <c r="AO53" s="86"/>
      <c r="AP53" s="86"/>
      <c r="AQ53" s="86"/>
      <c r="AR53" s="86"/>
      <c r="AS53" s="86"/>
      <c r="AT53" s="86"/>
      <c r="AU53" s="86"/>
      <c r="AV53" s="86"/>
      <c r="AW53" s="86"/>
      <c r="AX53" s="86"/>
      <c r="AY53" s="86"/>
      <c r="AZ53" s="86"/>
      <c r="BA53" s="86"/>
      <c r="BB53" s="86"/>
      <c r="BC53" s="86"/>
      <c r="BD53" s="86"/>
      <c r="BE53" s="86"/>
      <c r="BF53" s="86"/>
      <c r="BG53" s="86"/>
      <c r="BH53" s="86"/>
      <c r="BI53" s="86"/>
      <c r="BJ53" s="86"/>
      <c r="BK53" s="86"/>
      <c r="BL53" s="86"/>
      <c r="BM53" s="86"/>
      <c r="BN53" s="86"/>
      <c r="BO53" s="86"/>
    </row>
    <row r="54" spans="7:67" s="227" customFormat="1" x14ac:dyDescent="0.3">
      <c r="G54" s="202"/>
      <c r="H54" s="86"/>
      <c r="I54" s="86"/>
      <c r="J54" s="86"/>
      <c r="K54" s="86"/>
      <c r="L54" s="86"/>
      <c r="M54" s="199"/>
      <c r="N54" s="86"/>
      <c r="O54" s="86"/>
      <c r="P54" s="86"/>
      <c r="Q54" s="225"/>
      <c r="R54" s="86"/>
      <c r="S54" s="86"/>
      <c r="T54" s="239"/>
      <c r="U54" s="86"/>
      <c r="V54" s="202"/>
      <c r="W54" s="86"/>
      <c r="X54" s="86"/>
      <c r="Y54" s="86"/>
      <c r="Z54" s="86"/>
      <c r="AA54" s="86"/>
      <c r="AB54" s="86"/>
      <c r="AC54" s="86"/>
      <c r="AD54" s="86"/>
      <c r="AE54" s="86"/>
      <c r="AF54" s="86"/>
      <c r="AG54" s="86"/>
      <c r="AH54" s="86"/>
      <c r="AI54" s="86"/>
      <c r="AJ54" s="202"/>
      <c r="AK54" s="202"/>
      <c r="AL54" s="202"/>
      <c r="AM54" s="86"/>
      <c r="AN54" s="86"/>
      <c r="AO54" s="86"/>
      <c r="AP54" s="86"/>
      <c r="AQ54" s="86"/>
      <c r="AR54" s="86"/>
      <c r="AS54" s="86"/>
      <c r="AT54" s="86"/>
      <c r="AU54" s="86"/>
      <c r="AV54" s="86"/>
      <c r="AW54" s="86"/>
      <c r="AX54" s="86"/>
      <c r="AY54" s="86"/>
      <c r="AZ54" s="86"/>
      <c r="BA54" s="86"/>
      <c r="BB54" s="86"/>
      <c r="BC54" s="86"/>
      <c r="BD54" s="86"/>
      <c r="BE54" s="86"/>
      <c r="BF54" s="86"/>
      <c r="BG54" s="86"/>
      <c r="BH54" s="86"/>
      <c r="BI54" s="86"/>
      <c r="BJ54" s="86"/>
      <c r="BK54" s="86"/>
      <c r="BL54" s="86"/>
      <c r="BM54" s="86"/>
      <c r="BN54" s="86"/>
      <c r="BO54" s="86"/>
    </row>
    <row r="55" spans="7:67" s="227" customFormat="1" x14ac:dyDescent="0.3">
      <c r="G55" s="202"/>
      <c r="H55" s="86"/>
      <c r="I55" s="86"/>
      <c r="J55" s="86"/>
      <c r="K55" s="86"/>
      <c r="L55" s="86"/>
      <c r="M55" s="199"/>
      <c r="N55" s="86"/>
      <c r="O55" s="86"/>
      <c r="P55" s="86"/>
      <c r="Q55" s="225"/>
      <c r="R55" s="86"/>
      <c r="S55" s="86"/>
      <c r="T55" s="239"/>
      <c r="U55" s="86"/>
      <c r="V55" s="202"/>
      <c r="W55" s="86"/>
      <c r="X55" s="86"/>
      <c r="Y55" s="86"/>
      <c r="Z55" s="86"/>
      <c r="AA55" s="86"/>
      <c r="AB55" s="86"/>
      <c r="AC55" s="86"/>
      <c r="AD55" s="86"/>
      <c r="AE55" s="86"/>
      <c r="AF55" s="86"/>
      <c r="AG55" s="86"/>
      <c r="AH55" s="86"/>
      <c r="AI55" s="86"/>
      <c r="AJ55" s="202"/>
      <c r="AK55" s="202"/>
      <c r="AL55" s="202"/>
      <c r="AM55" s="86"/>
      <c r="AN55" s="86"/>
      <c r="AO55" s="86"/>
      <c r="AP55" s="86"/>
      <c r="AQ55" s="86"/>
      <c r="AR55" s="86"/>
      <c r="AS55" s="86"/>
      <c r="AT55" s="86"/>
      <c r="AU55" s="86"/>
      <c r="AV55" s="86"/>
      <c r="AW55" s="86"/>
      <c r="AX55" s="86"/>
      <c r="AY55" s="86"/>
      <c r="AZ55" s="86"/>
      <c r="BA55" s="86"/>
      <c r="BB55" s="86"/>
      <c r="BC55" s="86"/>
      <c r="BD55" s="86"/>
      <c r="BE55" s="86"/>
      <c r="BF55" s="86"/>
      <c r="BG55" s="86"/>
      <c r="BH55" s="86"/>
      <c r="BI55" s="86"/>
      <c r="BJ55" s="86"/>
      <c r="BK55" s="86"/>
      <c r="BL55" s="86"/>
      <c r="BM55" s="86"/>
      <c r="BN55" s="86"/>
      <c r="BO55" s="86"/>
    </row>
    <row r="56" spans="7:67" s="227" customFormat="1" x14ac:dyDescent="0.3">
      <c r="G56" s="202"/>
      <c r="H56" s="86"/>
      <c r="I56" s="86"/>
      <c r="J56" s="86"/>
      <c r="K56" s="86"/>
      <c r="L56" s="86"/>
      <c r="M56" s="199"/>
      <c r="N56" s="86"/>
      <c r="O56" s="86"/>
      <c r="P56" s="86"/>
      <c r="Q56" s="225"/>
      <c r="R56" s="86"/>
      <c r="S56" s="86"/>
      <c r="T56" s="239"/>
      <c r="U56" s="86"/>
      <c r="V56" s="202"/>
      <c r="W56" s="86"/>
      <c r="X56" s="86"/>
      <c r="Y56" s="86"/>
      <c r="Z56" s="86"/>
      <c r="AA56" s="86"/>
      <c r="AB56" s="86"/>
      <c r="AC56" s="86"/>
      <c r="AD56" s="86"/>
      <c r="AE56" s="86"/>
      <c r="AF56" s="86"/>
      <c r="AG56" s="86"/>
      <c r="AH56" s="86"/>
      <c r="AI56" s="86"/>
      <c r="AJ56" s="202"/>
      <c r="AK56" s="202"/>
      <c r="AL56" s="202"/>
      <c r="AM56" s="86"/>
      <c r="AN56" s="86"/>
      <c r="AO56" s="86"/>
      <c r="AP56" s="86"/>
      <c r="AQ56" s="86"/>
      <c r="AR56" s="86"/>
      <c r="AS56" s="86"/>
      <c r="AT56" s="86"/>
      <c r="AU56" s="86"/>
      <c r="AV56" s="86"/>
      <c r="AW56" s="86"/>
      <c r="AX56" s="86"/>
      <c r="AY56" s="86"/>
      <c r="AZ56" s="86"/>
      <c r="BA56" s="86"/>
      <c r="BB56" s="86"/>
      <c r="BC56" s="86"/>
      <c r="BD56" s="86"/>
      <c r="BE56" s="86"/>
      <c r="BF56" s="86"/>
      <c r="BG56" s="86"/>
      <c r="BH56" s="86"/>
      <c r="BI56" s="86"/>
      <c r="BJ56" s="86"/>
      <c r="BK56" s="86"/>
      <c r="BL56" s="86"/>
      <c r="BM56" s="86"/>
      <c r="BN56" s="86"/>
      <c r="BO56" s="86"/>
    </row>
    <row r="57" spans="7:67" s="227" customFormat="1" x14ac:dyDescent="0.3">
      <c r="G57" s="202"/>
      <c r="H57" s="86"/>
      <c r="I57" s="86"/>
      <c r="J57" s="86"/>
      <c r="K57" s="86"/>
      <c r="L57" s="86"/>
      <c r="M57" s="199"/>
      <c r="N57" s="86"/>
      <c r="O57" s="86"/>
      <c r="P57" s="86"/>
      <c r="Q57" s="225"/>
      <c r="R57" s="86"/>
      <c r="S57" s="86"/>
      <c r="T57" s="239"/>
      <c r="U57" s="86"/>
      <c r="V57" s="202"/>
      <c r="W57" s="86"/>
      <c r="X57" s="86"/>
      <c r="Y57" s="86"/>
      <c r="Z57" s="86"/>
      <c r="AA57" s="86"/>
      <c r="AB57" s="86"/>
      <c r="AC57" s="86"/>
      <c r="AD57" s="86"/>
      <c r="AE57" s="86"/>
      <c r="AF57" s="86"/>
      <c r="AG57" s="86"/>
      <c r="AH57" s="86"/>
      <c r="AI57" s="86"/>
      <c r="AJ57" s="202"/>
      <c r="AK57" s="202"/>
      <c r="AL57" s="202"/>
      <c r="AM57" s="86"/>
      <c r="AN57" s="86"/>
      <c r="AO57" s="86"/>
      <c r="AP57" s="86"/>
      <c r="AQ57" s="86"/>
      <c r="AR57" s="86"/>
      <c r="AS57" s="86"/>
      <c r="AT57" s="86"/>
      <c r="AU57" s="86"/>
      <c r="AV57" s="86"/>
      <c r="AW57" s="86"/>
      <c r="AX57" s="86"/>
      <c r="AY57" s="86"/>
      <c r="AZ57" s="86"/>
      <c r="BA57" s="86"/>
      <c r="BB57" s="86"/>
      <c r="BC57" s="86"/>
      <c r="BD57" s="86"/>
      <c r="BE57" s="86"/>
      <c r="BF57" s="86"/>
      <c r="BG57" s="86"/>
      <c r="BH57" s="86"/>
      <c r="BI57" s="86"/>
      <c r="BJ57" s="86"/>
      <c r="BK57" s="86"/>
      <c r="BL57" s="86"/>
      <c r="BM57" s="86"/>
      <c r="BN57" s="86"/>
      <c r="BO57" s="86"/>
    </row>
    <row r="58" spans="7:67" s="227" customFormat="1" x14ac:dyDescent="0.3">
      <c r="G58" s="202"/>
      <c r="H58" s="86"/>
      <c r="I58" s="86"/>
      <c r="J58" s="86"/>
      <c r="K58" s="86"/>
      <c r="L58" s="86"/>
      <c r="M58" s="199"/>
      <c r="N58" s="86"/>
      <c r="O58" s="86"/>
      <c r="P58" s="86"/>
      <c r="Q58" s="225"/>
      <c r="R58" s="86"/>
      <c r="S58" s="86"/>
      <c r="T58" s="239"/>
      <c r="U58" s="86"/>
      <c r="V58" s="202"/>
      <c r="W58" s="86"/>
      <c r="X58" s="86"/>
      <c r="Y58" s="86"/>
      <c r="Z58" s="86"/>
      <c r="AA58" s="86"/>
      <c r="AB58" s="86"/>
      <c r="AC58" s="86"/>
      <c r="AD58" s="86"/>
      <c r="AE58" s="86"/>
      <c r="AF58" s="86"/>
      <c r="AG58" s="86"/>
      <c r="AH58" s="86"/>
      <c r="AI58" s="86"/>
      <c r="AJ58" s="202"/>
      <c r="AK58" s="202"/>
      <c r="AL58" s="202"/>
      <c r="AM58" s="86"/>
      <c r="AN58" s="86"/>
      <c r="AO58" s="86"/>
      <c r="AP58" s="86"/>
      <c r="AQ58" s="86"/>
      <c r="AR58" s="86"/>
      <c r="AS58" s="86"/>
      <c r="AT58" s="86"/>
      <c r="AU58" s="86"/>
      <c r="AV58" s="86"/>
      <c r="AW58" s="86"/>
      <c r="AX58" s="86"/>
      <c r="AY58" s="86"/>
      <c r="AZ58" s="86"/>
      <c r="BA58" s="86"/>
      <c r="BB58" s="86"/>
      <c r="BC58" s="86"/>
      <c r="BD58" s="86"/>
      <c r="BE58" s="86"/>
      <c r="BF58" s="86"/>
      <c r="BG58" s="86"/>
      <c r="BH58" s="86"/>
      <c r="BI58" s="86"/>
      <c r="BJ58" s="86"/>
      <c r="BK58" s="86"/>
      <c r="BL58" s="86"/>
      <c r="BM58" s="86"/>
      <c r="BN58" s="86"/>
      <c r="BO58" s="86"/>
    </row>
    <row r="59" spans="7:67" s="227" customFormat="1" x14ac:dyDescent="0.3">
      <c r="G59" s="202"/>
      <c r="H59" s="86"/>
      <c r="I59" s="86"/>
      <c r="J59" s="86"/>
      <c r="K59" s="86"/>
      <c r="L59" s="86"/>
      <c r="M59" s="199"/>
      <c r="N59" s="86"/>
      <c r="O59" s="86"/>
      <c r="P59" s="86"/>
      <c r="Q59" s="225"/>
      <c r="R59" s="86"/>
      <c r="S59" s="86"/>
      <c r="T59" s="239"/>
      <c r="U59" s="86"/>
      <c r="V59" s="202"/>
      <c r="W59" s="86"/>
      <c r="X59" s="86"/>
      <c r="Y59" s="86"/>
      <c r="Z59" s="86"/>
      <c r="AA59" s="86"/>
      <c r="AB59" s="86"/>
      <c r="AC59" s="86"/>
      <c r="AD59" s="86"/>
      <c r="AE59" s="86"/>
      <c r="AF59" s="86"/>
      <c r="AG59" s="86"/>
      <c r="AH59" s="86"/>
      <c r="AI59" s="86"/>
      <c r="AJ59" s="202"/>
      <c r="AK59" s="202"/>
      <c r="AL59" s="202"/>
      <c r="AM59" s="86"/>
      <c r="AN59" s="86"/>
      <c r="AO59" s="86"/>
      <c r="AP59" s="86"/>
      <c r="AQ59" s="86"/>
      <c r="AR59" s="86"/>
      <c r="AS59" s="86"/>
      <c r="AT59" s="86"/>
      <c r="AU59" s="86"/>
      <c r="AV59" s="86"/>
      <c r="AW59" s="86"/>
      <c r="AX59" s="86"/>
      <c r="AY59" s="86"/>
      <c r="AZ59" s="86"/>
      <c r="BA59" s="86"/>
      <c r="BB59" s="86"/>
      <c r="BC59" s="86"/>
      <c r="BD59" s="86"/>
      <c r="BE59" s="86"/>
      <c r="BF59" s="86"/>
      <c r="BG59" s="86"/>
      <c r="BH59" s="86"/>
      <c r="BI59" s="86"/>
      <c r="BJ59" s="86"/>
      <c r="BK59" s="86"/>
      <c r="BL59" s="86"/>
      <c r="BM59" s="86"/>
      <c r="BN59" s="86"/>
      <c r="BO59" s="86"/>
    </row>
    <row r="60" spans="7:67" x14ac:dyDescent="0.3">
      <c r="T60" s="107"/>
    </row>
    <row r="61" spans="7:67" x14ac:dyDescent="0.3">
      <c r="T61" s="107"/>
    </row>
    <row r="62" spans="7:67" x14ac:dyDescent="0.3">
      <c r="T62" s="107"/>
    </row>
    <row r="63" spans="7:67" x14ac:dyDescent="0.3">
      <c r="T63" s="107"/>
    </row>
    <row r="64" spans="7:67" x14ac:dyDescent="0.3">
      <c r="T64" s="107"/>
    </row>
    <row r="65" spans="20:20" x14ac:dyDescent="0.3">
      <c r="T65" s="107"/>
    </row>
    <row r="66" spans="20:20" x14ac:dyDescent="0.3">
      <c r="T66" s="107"/>
    </row>
  </sheetData>
  <pageMargins left="0.7" right="0.7" top="0.75" bottom="0.75" header="0.3" footer="0.3"/>
  <pageSetup orientation="portrait" verticalDpi="0" r:id="rId1"/>
  <headerFooter>
    <oddFooter>&amp;L&amp;F&amp;C&amp;A&amp;R&amp;D&amp;T</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B94D9A-5B3B-4821-B50A-2F33013D895F}">
  <sheetPr>
    <tabColor rgb="FF92D050"/>
  </sheetPr>
  <dimension ref="B2:CQ66"/>
  <sheetViews>
    <sheetView zoomScale="80" zoomScaleNormal="80" workbookViewId="0"/>
  </sheetViews>
  <sheetFormatPr defaultColWidth="14.33203125" defaultRowHeight="14.4" x14ac:dyDescent="0.3"/>
  <cols>
    <col min="1" max="1" width="4.33203125" style="75" customWidth="1"/>
    <col min="2" max="6" width="14.33203125" style="75"/>
    <col min="7" max="7" width="14.33203125" style="80"/>
    <col min="8" max="12" width="14.33203125" style="79"/>
    <col min="13" max="13" width="15.109375" style="78" bestFit="1" customWidth="1"/>
    <col min="14" max="16" width="14.33203125" style="79"/>
    <col min="17" max="17" width="14.33203125" style="81"/>
    <col min="18" max="21" width="14.33203125" style="79"/>
    <col min="22" max="22" width="14.33203125" style="80"/>
    <col min="23" max="35" width="14.33203125" style="79"/>
    <col min="36" max="36" width="14.33203125" style="80"/>
    <col min="37" max="37" width="16.33203125" style="80" bestFit="1" customWidth="1"/>
    <col min="38" max="38" width="14.33203125" style="80"/>
    <col min="39" max="67" width="14.33203125" style="79"/>
    <col min="68" max="16384" width="14.33203125" style="75"/>
  </cols>
  <sheetData>
    <row r="2" spans="2:95" x14ac:dyDescent="0.3">
      <c r="Y2" s="82" t="s">
        <v>90</v>
      </c>
      <c r="Z2" s="83"/>
      <c r="AA2" s="83"/>
      <c r="AB2" s="84"/>
      <c r="AE2" s="82" t="s">
        <v>91</v>
      </c>
      <c r="AF2" s="85"/>
      <c r="AG2" s="86"/>
      <c r="AJ2" s="82" t="s">
        <v>153</v>
      </c>
      <c r="AK2" s="85"/>
      <c r="AN2" s="82" t="s">
        <v>92</v>
      </c>
      <c r="AO2" s="83"/>
      <c r="AP2" s="83"/>
      <c r="AQ2" s="84"/>
      <c r="AS2" s="82" t="s">
        <v>93</v>
      </c>
      <c r="AT2" s="84"/>
    </row>
    <row r="3" spans="2:95" s="87" customFormat="1" ht="28.8" x14ac:dyDescent="0.3">
      <c r="F3" s="88" t="s">
        <v>94</v>
      </c>
      <c r="G3" s="92"/>
      <c r="H3" s="90" t="s">
        <v>736</v>
      </c>
      <c r="I3" s="90" t="s">
        <v>750</v>
      </c>
      <c r="J3" s="90" t="s">
        <v>96</v>
      </c>
      <c r="K3" s="93"/>
      <c r="L3" s="94"/>
      <c r="M3" s="95"/>
      <c r="N3" s="94"/>
      <c r="O3" s="94"/>
      <c r="P3" s="96"/>
      <c r="Q3" s="90" t="s">
        <v>97</v>
      </c>
      <c r="R3" s="96"/>
      <c r="S3" s="91"/>
      <c r="T3" s="91"/>
      <c r="U3" s="91"/>
      <c r="V3" s="92"/>
      <c r="W3" s="91"/>
      <c r="X3" s="91"/>
      <c r="Y3" s="97" t="s">
        <v>38</v>
      </c>
      <c r="Z3" s="97" t="s">
        <v>222</v>
      </c>
      <c r="AA3" s="97" t="s">
        <v>98</v>
      </c>
      <c r="AB3" s="97" t="s">
        <v>223</v>
      </c>
      <c r="AD3" s="91"/>
      <c r="AE3" s="98" t="s">
        <v>38</v>
      </c>
      <c r="AF3" s="98" t="s">
        <v>222</v>
      </c>
      <c r="AG3" s="91"/>
      <c r="AH3" s="79"/>
      <c r="AI3" s="79"/>
      <c r="AJ3" s="97" t="s">
        <v>151</v>
      </c>
      <c r="AK3" s="97" t="s">
        <v>152</v>
      </c>
      <c r="AN3" s="97" t="s">
        <v>98</v>
      </c>
      <c r="AO3" s="97" t="s">
        <v>99</v>
      </c>
      <c r="AP3" s="97" t="s">
        <v>38</v>
      </c>
      <c r="AQ3" s="97" t="s">
        <v>222</v>
      </c>
      <c r="AR3" s="91"/>
      <c r="AS3" s="97" t="s">
        <v>38</v>
      </c>
      <c r="AT3" s="97" t="s">
        <v>222</v>
      </c>
      <c r="AU3" s="97" t="s">
        <v>100</v>
      </c>
      <c r="AV3" s="88" t="s">
        <v>101</v>
      </c>
      <c r="AW3" s="91"/>
      <c r="AX3" s="91"/>
      <c r="AY3" s="91"/>
      <c r="AZ3" s="91"/>
      <c r="BA3" s="91"/>
      <c r="BB3" s="91"/>
      <c r="BC3" s="91"/>
      <c r="BD3" s="91"/>
      <c r="BE3" s="91"/>
      <c r="BF3" s="91"/>
      <c r="BG3" s="91"/>
      <c r="BH3" s="91"/>
      <c r="BI3" s="91"/>
      <c r="BJ3" s="91"/>
      <c r="BK3" s="91"/>
      <c r="BL3" s="91"/>
      <c r="BM3" s="91"/>
      <c r="BN3" s="91"/>
      <c r="BO3" s="91"/>
    </row>
    <row r="4" spans="2:95" x14ac:dyDescent="0.3">
      <c r="F4" s="99">
        <f t="array" ref="F4">MAX(($F$12:$F$44&gt;0)*($B$12:$B$44))</f>
        <v>25</v>
      </c>
      <c r="H4" s="101">
        <f>AVERAGEIF(H12:H44,"&gt;0")</f>
        <v>194091.14495798323</v>
      </c>
      <c r="I4" s="101">
        <f>AVERAGEIF(I12:I44,"&gt;0")</f>
        <v>194091.14495798323</v>
      </c>
      <c r="J4" s="100">
        <f>AVERAGEIF(J12:J44,"&gt;0")</f>
        <v>1</v>
      </c>
      <c r="Q4" s="100">
        <f>AVERAGEIF(Q12:Q44,"&gt;0")</f>
        <v>0.65400309246791499</v>
      </c>
      <c r="Y4" s="103">
        <f>IRR(AF11:AF44)</f>
        <v>0.80575489139140943</v>
      </c>
      <c r="Z4" s="104">
        <f>NPV(Y4,AF11:AF44)</f>
        <v>1.2546719687623957E-11</v>
      </c>
      <c r="AA4" s="103">
        <f>XIRR(AG11:AG44,E11:E44,1)</f>
        <v>0.80531508475542068</v>
      </c>
      <c r="AB4" s="101">
        <f>XNPV(AA4,AG11:AG44,E11:E44)</f>
        <v>-5.125077938392536E-4</v>
      </c>
      <c r="AE4" s="103">
        <f>IRR(AE11:AE44)</f>
        <v>1.0873453387742731</v>
      </c>
      <c r="AF4" s="105">
        <f>NPV(AE4,AE11:AE44)</f>
        <v>1.4541235622666693E-9</v>
      </c>
      <c r="AJ4" s="106">
        <f>AVERAGEIF(AM12:AM44,"&gt;0")</f>
        <v>5.3607256984539022</v>
      </c>
      <c r="AK4" s="106">
        <f t="array" ref="AK4">MIN(IF(AM12:AM44&lt;&gt;0,AM12:AM44))</f>
        <v>5.244953113594736</v>
      </c>
      <c r="AN4" s="103">
        <f>XIRR(AP11:AP44,D11:D44,1)</f>
        <v>2.1958075612783432</v>
      </c>
      <c r="AO4" s="106">
        <f>XNPV(AN4,AP11:AP44,D11:D44)</f>
        <v>-1.8210029500043338E-4</v>
      </c>
      <c r="AP4" s="103">
        <f>IFERROR(IRR(AP11:AP44),"NEG IRR")</f>
        <v>2.1960217133194644</v>
      </c>
      <c r="AQ4" s="105">
        <f>NPV(AP4,AP11:AP44)</f>
        <v>3.750768636995834E-12</v>
      </c>
      <c r="AS4" s="103">
        <f>IRR(AO11:AO44)</f>
        <v>3.1290738493613963</v>
      </c>
      <c r="AT4" s="105">
        <f>NPV(AS4,AO11:AO44)</f>
        <v>2.2893265024913809E-10</v>
      </c>
      <c r="AU4" s="105">
        <f>IFERROR(MATCH(1,$AU$12:$AU$44,0),"NONE")</f>
        <v>1</v>
      </c>
      <c r="AV4" s="99">
        <f t="array" ref="AV4">MAX(($AV$12:$AV$44&gt;0)*($B$12:$B$44))</f>
        <v>25</v>
      </c>
    </row>
    <row r="6" spans="2:95" x14ac:dyDescent="0.3">
      <c r="G6" s="112"/>
      <c r="H6" s="111"/>
      <c r="T6" s="113"/>
      <c r="V6" s="114"/>
    </row>
    <row r="7" spans="2:95" x14ac:dyDescent="0.3">
      <c r="G7" s="117" t="s">
        <v>103</v>
      </c>
      <c r="H7" s="761"/>
      <c r="I7" s="117" t="s">
        <v>105</v>
      </c>
      <c r="J7" s="118"/>
      <c r="K7" s="105" t="s">
        <v>106</v>
      </c>
      <c r="L7" s="105" t="s">
        <v>107</v>
      </c>
      <c r="M7" s="119" t="s">
        <v>108</v>
      </c>
      <c r="N7" s="105" t="s">
        <v>109</v>
      </c>
      <c r="O7" s="120" t="s">
        <v>110</v>
      </c>
      <c r="P7" s="121" t="s">
        <v>111</v>
      </c>
      <c r="Q7" s="123"/>
      <c r="T7" s="425" t="s">
        <v>112</v>
      </c>
      <c r="U7" s="427"/>
      <c r="V7" s="430" t="s">
        <v>13</v>
      </c>
      <c r="W7" s="431"/>
      <c r="X7" s="432"/>
      <c r="Y7" s="124" t="s">
        <v>113</v>
      </c>
      <c r="Z7" s="83"/>
      <c r="AA7" s="83"/>
      <c r="AB7" s="83"/>
      <c r="AC7" s="125" t="s">
        <v>114</v>
      </c>
      <c r="AD7" s="127" t="s">
        <v>110</v>
      </c>
      <c r="AE7" s="128" t="s">
        <v>115</v>
      </c>
      <c r="AF7" s="126"/>
      <c r="AG7" s="105" t="s">
        <v>116</v>
      </c>
      <c r="AH7" s="129" t="s">
        <v>117</v>
      </c>
      <c r="AI7" s="130"/>
      <c r="AJ7" s="131"/>
      <c r="AK7" s="131"/>
      <c r="AL7" s="131"/>
      <c r="AM7" s="132"/>
      <c r="AN7" s="133" t="s">
        <v>118</v>
      </c>
      <c r="AO7" s="133"/>
      <c r="AP7" s="134"/>
      <c r="AQ7" s="126"/>
      <c r="AR7" s="126"/>
      <c r="AS7" s="126"/>
      <c r="AT7" s="126"/>
      <c r="AU7" s="126"/>
      <c r="AV7" s="127"/>
      <c r="BI7" s="135"/>
      <c r="BS7" s="136"/>
      <c r="CD7" s="136"/>
      <c r="CJ7" s="136"/>
      <c r="CQ7" s="136"/>
    </row>
    <row r="8" spans="2:95" s="163" customFormat="1" ht="43.2" x14ac:dyDescent="0.3">
      <c r="B8" s="34" t="s">
        <v>51</v>
      </c>
      <c r="C8" s="137" t="s">
        <v>52</v>
      </c>
      <c r="D8" s="36" t="s">
        <v>56</v>
      </c>
      <c r="E8" s="138" t="s">
        <v>57</v>
      </c>
      <c r="F8" s="449" t="s">
        <v>119</v>
      </c>
      <c r="G8" s="593" t="s">
        <v>120</v>
      </c>
      <c r="H8" s="147" t="s">
        <v>121</v>
      </c>
      <c r="I8" s="142" t="s">
        <v>105</v>
      </c>
      <c r="J8" s="144" t="s">
        <v>123</v>
      </c>
      <c r="K8" s="139" t="s">
        <v>124</v>
      </c>
      <c r="L8" s="139" t="s">
        <v>107</v>
      </c>
      <c r="M8" s="146" t="s">
        <v>125</v>
      </c>
      <c r="N8" s="147" t="s">
        <v>126</v>
      </c>
      <c r="O8" s="147" t="s">
        <v>110</v>
      </c>
      <c r="P8" s="148" t="s">
        <v>111</v>
      </c>
      <c r="Q8" s="149" t="s">
        <v>127</v>
      </c>
      <c r="R8" s="150"/>
      <c r="S8" s="150"/>
      <c r="T8" s="428" t="s">
        <v>128</v>
      </c>
      <c r="U8" s="156" t="s">
        <v>130</v>
      </c>
      <c r="V8" s="433" t="s">
        <v>215</v>
      </c>
      <c r="W8" s="429" t="s">
        <v>131</v>
      </c>
      <c r="X8" s="156" t="s">
        <v>132</v>
      </c>
      <c r="Y8" s="152" t="s">
        <v>133</v>
      </c>
      <c r="Z8" s="152" t="s">
        <v>134</v>
      </c>
      <c r="AA8" s="152" t="s">
        <v>131</v>
      </c>
      <c r="AB8" s="151" t="s">
        <v>135</v>
      </c>
      <c r="AC8" s="153" t="s">
        <v>136</v>
      </c>
      <c r="AD8" s="155" t="s">
        <v>137</v>
      </c>
      <c r="AE8" s="156" t="s">
        <v>138</v>
      </c>
      <c r="AF8" s="154" t="s">
        <v>139</v>
      </c>
      <c r="AG8" s="42" t="s">
        <v>116</v>
      </c>
      <c r="AH8" s="157" t="s">
        <v>140</v>
      </c>
      <c r="AI8" s="158" t="s">
        <v>141</v>
      </c>
      <c r="AJ8" s="159" t="s">
        <v>142</v>
      </c>
      <c r="AK8" s="159" t="s">
        <v>63</v>
      </c>
      <c r="AL8" s="159" t="s">
        <v>131</v>
      </c>
      <c r="AM8" s="160" t="s">
        <v>143</v>
      </c>
      <c r="AN8" s="152" t="s">
        <v>144</v>
      </c>
      <c r="AO8" s="152" t="s">
        <v>145</v>
      </c>
      <c r="AP8" s="41" t="s">
        <v>146</v>
      </c>
      <c r="AQ8" s="161" t="s">
        <v>147</v>
      </c>
      <c r="AR8" s="161" t="s">
        <v>64</v>
      </c>
      <c r="AS8" s="161" t="s">
        <v>65</v>
      </c>
      <c r="AT8" s="161" t="s">
        <v>148</v>
      </c>
      <c r="AU8" s="161" t="s">
        <v>100</v>
      </c>
      <c r="AV8" s="144" t="s">
        <v>149</v>
      </c>
      <c r="AW8" s="162"/>
      <c r="AX8" s="162"/>
      <c r="AY8" s="162"/>
      <c r="AZ8" s="162"/>
      <c r="BA8" s="162"/>
      <c r="BB8" s="162"/>
      <c r="BC8" s="162"/>
      <c r="BD8" s="162"/>
      <c r="BE8" s="162"/>
      <c r="BF8" s="162"/>
      <c r="BG8" s="162"/>
      <c r="BH8" s="162"/>
      <c r="BI8" s="102"/>
      <c r="BJ8" s="162"/>
      <c r="BK8" s="162"/>
      <c r="BL8" s="162"/>
      <c r="BM8" s="162"/>
      <c r="BN8" s="162"/>
      <c r="BO8" s="162"/>
      <c r="BS8" s="164"/>
      <c r="CD8" s="75"/>
      <c r="CJ8" s="75"/>
      <c r="CQ8" s="75"/>
    </row>
    <row r="9" spans="2:95" s="163" customFormat="1" x14ac:dyDescent="0.3">
      <c r="B9" s="165"/>
      <c r="C9" s="166"/>
      <c r="D9" s="167"/>
      <c r="E9" s="170"/>
      <c r="F9" s="171"/>
      <c r="G9" s="177">
        <f t="shared" ref="G9:I9" si="0">SUM(G12:G44)</f>
        <v>0</v>
      </c>
      <c r="H9" s="178">
        <f t="shared" si="0"/>
        <v>4852278.6239495808</v>
      </c>
      <c r="I9" s="176">
        <f t="shared" si="0"/>
        <v>4852278.6239495808</v>
      </c>
      <c r="J9" s="175"/>
      <c r="K9" s="178">
        <f t="shared" ref="K9:P9" si="1">SUM(K12:K44)</f>
        <v>178500</v>
      </c>
      <c r="L9" s="178">
        <f t="shared" si="1"/>
        <v>4673778.6239495818</v>
      </c>
      <c r="M9" s="178">
        <f t="shared" si="1"/>
        <v>140342.58740817566</v>
      </c>
      <c r="N9" s="178">
        <f t="shared" si="1"/>
        <v>4533436.0365414061</v>
      </c>
      <c r="O9" s="178">
        <f t="shared" si="1"/>
        <v>1360030.8109624214</v>
      </c>
      <c r="P9" s="176">
        <f t="shared" si="1"/>
        <v>3173405.2255789842</v>
      </c>
      <c r="Q9" s="179"/>
      <c r="R9" s="162"/>
      <c r="S9" s="162"/>
      <c r="T9" s="180">
        <f>SUM(T12:T44)</f>
        <v>4852278.6239495808</v>
      </c>
      <c r="U9" s="183">
        <f>SUM(U12:U44)</f>
        <v>4852278.6239495808</v>
      </c>
      <c r="V9" s="180">
        <f t="shared" ref="V9:AA9" si="2">SUM(V10:V44)</f>
        <v>178500</v>
      </c>
      <c r="W9" s="181">
        <f t="shared" si="2"/>
        <v>178500</v>
      </c>
      <c r="X9" s="183">
        <f t="shared" si="2"/>
        <v>4673778.6239495818</v>
      </c>
      <c r="Y9" s="102">
        <f t="shared" si="2"/>
        <v>53550</v>
      </c>
      <c r="Z9" s="102">
        <f t="shared" si="2"/>
        <v>124949.99999999999</v>
      </c>
      <c r="AA9" s="102">
        <f t="shared" si="2"/>
        <v>178500</v>
      </c>
      <c r="AB9" s="176">
        <f t="shared" ref="AB9:AL9" si="3">SUM(AB12:AB44)</f>
        <v>4852278.6239495808</v>
      </c>
      <c r="AC9" s="180">
        <f>SUM(AC10:AC44)</f>
        <v>0</v>
      </c>
      <c r="AD9" s="182">
        <f>SUM(AD10:AD44)</f>
        <v>1360030.8109624214</v>
      </c>
      <c r="AE9" s="183">
        <f>SUM(AE12:AE44)</f>
        <v>4852278.6239495808</v>
      </c>
      <c r="AF9" s="183">
        <f>SUM(AF12:AF44)</f>
        <v>3492247.8129871604</v>
      </c>
      <c r="AG9" s="182">
        <f>SUM(AG12:AG44)</f>
        <v>3492247.8129871604</v>
      </c>
      <c r="AH9" s="180">
        <f t="shared" si="3"/>
        <v>840374.77489925537</v>
      </c>
      <c r="AI9" s="181">
        <f t="shared" si="3"/>
        <v>715424.77489925525</v>
      </c>
      <c r="AJ9" s="181">
        <f t="shared" si="3"/>
        <v>140342.58740817566</v>
      </c>
      <c r="AK9" s="181">
        <f t="shared" si="3"/>
        <v>124949.99999999997</v>
      </c>
      <c r="AL9" s="181">
        <f t="shared" si="3"/>
        <v>265292.58740817558</v>
      </c>
      <c r="AM9" s="182"/>
      <c r="AN9" s="180">
        <f t="shared" ref="AN9:AS9" si="4">SUM(AN10:AN44)</f>
        <v>3226955.2255789842</v>
      </c>
      <c r="AO9" s="181">
        <f t="shared" si="4"/>
        <v>4533436.0365414061</v>
      </c>
      <c r="AP9" s="181">
        <f t="shared" si="4"/>
        <v>3173405.2255789842</v>
      </c>
      <c r="AQ9" s="181">
        <f t="shared" si="4"/>
        <v>0</v>
      </c>
      <c r="AR9" s="181">
        <f t="shared" si="4"/>
        <v>0</v>
      </c>
      <c r="AS9" s="181">
        <f t="shared" si="4"/>
        <v>0</v>
      </c>
      <c r="AT9" s="181"/>
      <c r="AU9" s="181"/>
      <c r="AV9" s="182">
        <f>SUM(AV11:AV44)</f>
        <v>1.1858204557611158E-11</v>
      </c>
      <c r="AW9" s="162"/>
      <c r="AX9" s="162"/>
      <c r="AY9" s="162"/>
      <c r="AZ9" s="162"/>
      <c r="BA9" s="162"/>
      <c r="BB9" s="162"/>
      <c r="BC9" s="162"/>
      <c r="BD9" s="162"/>
      <c r="BE9" s="162"/>
      <c r="BF9" s="162"/>
      <c r="BG9" s="162"/>
      <c r="BH9" s="162"/>
      <c r="BI9" s="102"/>
      <c r="BJ9" s="162"/>
      <c r="BK9" s="162"/>
      <c r="BL9" s="162"/>
      <c r="BM9" s="162"/>
      <c r="BN9" s="162"/>
      <c r="BO9" s="162"/>
      <c r="BS9" s="164"/>
      <c r="CD9" s="75"/>
      <c r="CJ9" s="75"/>
      <c r="CQ9" s="75"/>
    </row>
    <row r="10" spans="2:95" s="163" customFormat="1" x14ac:dyDescent="0.3">
      <c r="B10" s="186"/>
      <c r="C10" s="187"/>
      <c r="D10" s="186"/>
      <c r="E10" s="169"/>
      <c r="F10" s="190"/>
      <c r="G10" s="194"/>
      <c r="H10" s="195"/>
      <c r="I10" s="192"/>
      <c r="J10" s="194"/>
      <c r="K10" s="195"/>
      <c r="L10" s="195"/>
      <c r="M10" s="195"/>
      <c r="N10" s="195"/>
      <c r="O10" s="195"/>
      <c r="P10" s="192"/>
      <c r="Q10" s="179"/>
      <c r="R10" s="162"/>
      <c r="S10" s="162"/>
      <c r="T10" s="196"/>
      <c r="U10" s="197"/>
      <c r="V10" s="196"/>
      <c r="W10" s="198"/>
      <c r="X10" s="197"/>
      <c r="Y10" s="162"/>
      <c r="Z10" s="162"/>
      <c r="AA10" s="79"/>
      <c r="AB10" s="196"/>
      <c r="AC10" s="196"/>
      <c r="AD10" s="200"/>
      <c r="AE10" s="197"/>
      <c r="AF10" s="200"/>
      <c r="AG10" s="200"/>
      <c r="AH10" s="196"/>
      <c r="AI10" s="86"/>
      <c r="AJ10" s="201"/>
      <c r="AK10" s="201"/>
      <c r="AL10" s="202"/>
      <c r="AM10" s="203"/>
      <c r="AN10" s="196"/>
      <c r="AO10" s="86"/>
      <c r="AP10" s="193"/>
      <c r="AQ10" s="86"/>
      <c r="AR10" s="86"/>
      <c r="AS10" s="86"/>
      <c r="AT10" s="86"/>
      <c r="AU10" s="86"/>
      <c r="AV10" s="175"/>
      <c r="AW10" s="162"/>
      <c r="AX10" s="162"/>
      <c r="AY10" s="162"/>
      <c r="AZ10" s="162"/>
      <c r="BA10" s="162"/>
      <c r="BB10" s="162"/>
      <c r="BC10" s="162"/>
      <c r="BD10" s="162"/>
      <c r="BE10" s="162"/>
      <c r="BF10" s="162"/>
      <c r="BG10" s="162"/>
      <c r="BH10" s="162"/>
      <c r="BI10" s="102"/>
      <c r="BJ10" s="162"/>
      <c r="BK10" s="162"/>
      <c r="BL10" s="162"/>
      <c r="BM10" s="162"/>
      <c r="BN10" s="162"/>
      <c r="BO10" s="162"/>
      <c r="BS10" s="164"/>
      <c r="CD10" s="75"/>
      <c r="CJ10" s="75"/>
      <c r="CQ10" s="75"/>
    </row>
    <row r="11" spans="2:95" s="163" customFormat="1" x14ac:dyDescent="0.3">
      <c r="B11" s="73">
        <v>0</v>
      </c>
      <c r="C11" s="74">
        <f>YEAR(D11)</f>
        <v>2021</v>
      </c>
      <c r="D11" s="205">
        <f>Fish_Inputs!G6</f>
        <v>44197</v>
      </c>
      <c r="E11" s="206">
        <f>EDATE(D11,12)-1</f>
        <v>44561</v>
      </c>
      <c r="F11" s="443">
        <v>0</v>
      </c>
      <c r="G11" s="207"/>
      <c r="H11" s="454"/>
      <c r="I11" s="176"/>
      <c r="J11" s="175"/>
      <c r="K11" s="190"/>
      <c r="L11" s="190"/>
      <c r="M11" s="208"/>
      <c r="N11" s="178"/>
      <c r="O11" s="178"/>
      <c r="P11" s="209"/>
      <c r="Q11" s="179"/>
      <c r="R11" s="162"/>
      <c r="S11" s="162"/>
      <c r="T11" s="196"/>
      <c r="U11" s="197"/>
      <c r="V11" s="196">
        <f>IF(B11=0,Milk_Retrofit!$C$29,0)</f>
        <v>178500</v>
      </c>
      <c r="W11" s="198">
        <f t="shared" ref="W11:W12" si="5">SUM(V11:V11)</f>
        <v>178500</v>
      </c>
      <c r="X11" s="197">
        <f t="shared" ref="X11:X12" si="6">U11-W11</f>
        <v>-178500</v>
      </c>
      <c r="Y11" s="162">
        <f>IF(B11=0,Milk_Retrofit!$G$15+Milk_Retrofit!$G$16,0)</f>
        <v>53550</v>
      </c>
      <c r="Z11" s="162">
        <f>IF(B11=0,Milk_Retrofit!$G$14,0)</f>
        <v>124949.99999999999</v>
      </c>
      <c r="AA11" s="79">
        <f t="shared" ref="AA11:AA12" si="7">SUM(Y11:Z11)</f>
        <v>178500</v>
      </c>
      <c r="AB11" s="196">
        <f t="shared" ref="AB11:AB12" si="8">X11+AA11</f>
        <v>0</v>
      </c>
      <c r="AC11" s="233">
        <f>Milk_Retrofit!$G$20*AVERAGE(AR11,AS11)</f>
        <v>0</v>
      </c>
      <c r="AD11" s="231">
        <f>O11</f>
        <v>0</v>
      </c>
      <c r="AE11" s="210">
        <f>X11</f>
        <v>-178500</v>
      </c>
      <c r="AF11" s="211">
        <f>X11</f>
        <v>-178500</v>
      </c>
      <c r="AG11" s="211">
        <f>X11</f>
        <v>-178500</v>
      </c>
      <c r="AH11" s="212"/>
      <c r="AI11" s="483">
        <f>Milk_Retrofit!$G$14</f>
        <v>124949.99999999999</v>
      </c>
      <c r="AJ11" s="201"/>
      <c r="AK11" s="201"/>
      <c r="AL11" s="202"/>
      <c r="AM11" s="203"/>
      <c r="AN11" s="196"/>
      <c r="AO11" s="86">
        <f>-Milk_Retrofit!G15</f>
        <v>-53550</v>
      </c>
      <c r="AP11" s="86">
        <f>-Milk_Retrofit!G15</f>
        <v>-53550</v>
      </c>
      <c r="AQ11" s="213">
        <f>AB11</f>
        <v>0</v>
      </c>
      <c r="AR11" s="86"/>
      <c r="AS11" s="213">
        <f t="shared" ref="AS11:AS12" si="9">AQ11+AR11</f>
        <v>0</v>
      </c>
      <c r="AT11" s="86">
        <f>-Milk_Retrofit!G15</f>
        <v>-53550</v>
      </c>
      <c r="AU11" s="86"/>
      <c r="AV11" s="214">
        <f>AP11/((1+$AP$4)^B11)</f>
        <v>-53550</v>
      </c>
      <c r="AW11" s="162"/>
      <c r="AX11" s="162"/>
      <c r="AY11" s="162"/>
      <c r="AZ11" s="162"/>
      <c r="BA11" s="162"/>
      <c r="BB11" s="162"/>
      <c r="BC11" s="162"/>
      <c r="BD11" s="162"/>
      <c r="BE11" s="162"/>
      <c r="BF11" s="162"/>
      <c r="BG11" s="162"/>
      <c r="BH11" s="162"/>
      <c r="BI11" s="102"/>
      <c r="BJ11" s="162"/>
      <c r="BK11" s="162"/>
      <c r="BL11" s="162"/>
      <c r="BM11" s="162"/>
      <c r="BN11" s="162"/>
      <c r="BO11" s="162"/>
      <c r="BS11" s="164"/>
      <c r="CD11" s="75"/>
      <c r="CJ11" s="75"/>
      <c r="CQ11" s="75"/>
    </row>
    <row r="12" spans="2:95" s="162" customFormat="1" x14ac:dyDescent="0.3">
      <c r="B12" s="184">
        <f>B11+1</f>
        <v>1</v>
      </c>
      <c r="C12" s="346">
        <f t="shared" ref="C12" si="10">YEAR(D12)</f>
        <v>2022</v>
      </c>
      <c r="D12" s="347">
        <f>EDATE(D11,12)</f>
        <v>44562</v>
      </c>
      <c r="E12" s="440">
        <f>EDATE(E11,12)</f>
        <v>44926</v>
      </c>
      <c r="F12" s="732">
        <f>IF(AND(B12&gt;0,B12&lt;=Milk_Retrofit!$J$10),1,0)</f>
        <v>1</v>
      </c>
      <c r="G12" s="217">
        <f>AC11</f>
        <v>0</v>
      </c>
      <c r="H12" s="438">
        <f>(Milk_Retrofit!$M$16*F12)+IF(B12=Milk_Retrofit!$J$10,Milk_Retrofit!$J$12,0)</f>
        <v>194091.1449579832</v>
      </c>
      <c r="I12" s="122">
        <f>H12</f>
        <v>194091.1449579832</v>
      </c>
      <c r="J12" s="219">
        <f>IFERROR(I12/H12,0)</f>
        <v>1</v>
      </c>
      <c r="K12" s="220">
        <f>Deprec!AD11</f>
        <v>7140</v>
      </c>
      <c r="L12" s="122">
        <f>I12-K12</f>
        <v>186951.1449579832</v>
      </c>
      <c r="M12" s="221">
        <f>AJ12</f>
        <v>20866.649999999998</v>
      </c>
      <c r="N12" s="122">
        <f>L12-M12</f>
        <v>166084.4949579832</v>
      </c>
      <c r="O12" s="438">
        <f>IF(N12&lt;0,0,(N12*Milk_Retrofit!$J$7))</f>
        <v>49825.348487394956</v>
      </c>
      <c r="P12" s="122">
        <f>N12-O12</f>
        <v>116259.14647058825</v>
      </c>
      <c r="Q12" s="123">
        <f>IFERROR(P12/H12,0)</f>
        <v>0.59899253258439999</v>
      </c>
      <c r="R12" s="185"/>
      <c r="S12" s="185"/>
      <c r="T12" s="218">
        <f t="shared" ref="T12" si="11">H12</f>
        <v>194091.1449579832</v>
      </c>
      <c r="U12" s="438">
        <f>T12</f>
        <v>194091.1449579832</v>
      </c>
      <c r="V12" s="218">
        <f>IF(B12=0,Milk_Retrofit!$C$29,0)</f>
        <v>0</v>
      </c>
      <c r="W12" s="435">
        <f t="shared" si="5"/>
        <v>0</v>
      </c>
      <c r="X12" s="438">
        <f t="shared" si="6"/>
        <v>194091.1449579832</v>
      </c>
      <c r="Y12" s="184">
        <f>IF(B12=0,Milk_Retrofit!$G$15+Milk_Retrofit!$G$16,0)</f>
        <v>0</v>
      </c>
      <c r="Z12" s="185">
        <f>IF(B12=0,Milk_Retrofit!$G$14,0)</f>
        <v>0</v>
      </c>
      <c r="AA12" s="132">
        <f t="shared" si="7"/>
        <v>0</v>
      </c>
      <c r="AB12" s="218">
        <f t="shared" si="8"/>
        <v>194091.1449579832</v>
      </c>
      <c r="AC12" s="218">
        <f>Milk_Retrofit!$G$20*AVERAGE(AR12,AS12)</f>
        <v>0</v>
      </c>
      <c r="AD12" s="132">
        <f>O12</f>
        <v>49825.348487394956</v>
      </c>
      <c r="AE12" s="132">
        <f>AG12+AD12-G12</f>
        <v>194091.1449579832</v>
      </c>
      <c r="AF12" s="122">
        <f>AG12-G12</f>
        <v>144265.79647058825</v>
      </c>
      <c r="AG12" s="438">
        <f t="shared" ref="AG12" si="12">AB12-AD12</f>
        <v>144265.79647058825</v>
      </c>
      <c r="AH12" s="122">
        <f>AI11</f>
        <v>124949.99999999999</v>
      </c>
      <c r="AI12" s="122">
        <f>AH12-AK12</f>
        <v>119287.39125918242</v>
      </c>
      <c r="AJ12" s="122">
        <f>-Debt_Calc!DI10</f>
        <v>20866.649999999998</v>
      </c>
      <c r="AK12" s="122">
        <f>Debt_Calc!DJ10</f>
        <v>5662.6087408175626</v>
      </c>
      <c r="AL12" s="122">
        <f t="shared" ref="AL12" si="13">SUM(AJ12:AK12)</f>
        <v>26529.25874081756</v>
      </c>
      <c r="AM12" s="217">
        <f>IFERROR(AG12/AL12,0)</f>
        <v>5.4379882182166979</v>
      </c>
      <c r="AN12" s="122">
        <f>AG12-AL12</f>
        <v>117736.53772977069</v>
      </c>
      <c r="AO12" s="122">
        <f t="shared" ref="AO12" si="14">AN12+AD12</f>
        <v>167561.88621716565</v>
      </c>
      <c r="AP12" s="122">
        <f>AN12+AR12</f>
        <v>117736.53772977069</v>
      </c>
      <c r="AQ12" s="122">
        <f t="shared" ref="AQ12" si="15">AN12-AP12</f>
        <v>0</v>
      </c>
      <c r="AR12" s="122">
        <f t="shared" ref="AR12" si="16">AS11</f>
        <v>0</v>
      </c>
      <c r="AS12" s="122">
        <f t="shared" si="9"/>
        <v>0</v>
      </c>
      <c r="AT12" s="122">
        <f t="shared" ref="AT12" si="17">AP12+AT11</f>
        <v>64186.537729770687</v>
      </c>
      <c r="AU12" s="122">
        <f>IF(AU11&gt;=1,2,IF(AT12&gt;0,1,0))</f>
        <v>1</v>
      </c>
      <c r="AV12" s="222">
        <f>AP12/((1+$AP$4)^B12)</f>
        <v>36838.466159069583</v>
      </c>
      <c r="AW12" s="102"/>
      <c r="AX12" s="102"/>
      <c r="AY12" s="102"/>
      <c r="AZ12" s="102"/>
      <c r="BA12" s="102"/>
      <c r="BI12" s="102"/>
      <c r="BS12" s="349"/>
      <c r="BT12" s="102"/>
      <c r="BU12" s="102"/>
      <c r="BV12" s="102"/>
      <c r="BW12" s="102"/>
      <c r="BX12" s="102"/>
      <c r="BY12" s="102"/>
      <c r="BZ12" s="102"/>
      <c r="CA12" s="102"/>
      <c r="CB12" s="102"/>
      <c r="CC12" s="102"/>
      <c r="CD12" s="79"/>
      <c r="CJ12" s="79"/>
      <c r="CQ12" s="79"/>
    </row>
    <row r="13" spans="2:95" s="193" customFormat="1" x14ac:dyDescent="0.3">
      <c r="B13" s="184">
        <f t="shared" ref="B13:B44" si="18">B12+1</f>
        <v>2</v>
      </c>
      <c r="C13" s="346">
        <f t="shared" ref="C13:C44" si="19">YEAR(D13)</f>
        <v>2023</v>
      </c>
      <c r="D13" s="347">
        <f t="shared" ref="D13:D44" si="20">EDATE(D12,12)</f>
        <v>44927</v>
      </c>
      <c r="E13" s="440">
        <f t="shared" ref="E13:E44" si="21">EDATE(E12,12)</f>
        <v>45291</v>
      </c>
      <c r="F13" s="732">
        <f>IF(AND(B13&gt;0,B13&lt;=Milk_Retrofit!$J$10),1,0)</f>
        <v>1</v>
      </c>
      <c r="G13" s="217">
        <f t="shared" ref="G13:G44" si="22">AC12</f>
        <v>0</v>
      </c>
      <c r="H13" s="438">
        <f>(Milk_Retrofit!$M$16*F13)+IF(B13=Milk_Retrofit!$J$10,Milk_Retrofit!$J$12,0)</f>
        <v>194091.1449579832</v>
      </c>
      <c r="I13" s="122">
        <f t="shared" ref="I13:I44" si="23">H13</f>
        <v>194091.1449579832</v>
      </c>
      <c r="J13" s="219">
        <f t="shared" ref="J13:J44" si="24">IFERROR(I13/H13,0)</f>
        <v>1</v>
      </c>
      <c r="K13" s="220">
        <f>Deprec!AD12</f>
        <v>7140</v>
      </c>
      <c r="L13" s="122">
        <f t="shared" ref="L13:L44" si="25">I13-K13</f>
        <v>186951.1449579832</v>
      </c>
      <c r="M13" s="221">
        <f t="shared" ref="M13:M44" si="26">AJ13</f>
        <v>19920.994340283465</v>
      </c>
      <c r="N13" s="122">
        <f t="shared" ref="N13:N44" si="27">L13-M13</f>
        <v>167030.15061769972</v>
      </c>
      <c r="O13" s="438">
        <f>IF(N13&lt;0,0,(N13*Milk_Retrofit!$J$7))</f>
        <v>50109.045185309915</v>
      </c>
      <c r="P13" s="122">
        <f t="shared" ref="P13:P44" si="28">N13-O13</f>
        <v>116921.1054323898</v>
      </c>
      <c r="Q13" s="123">
        <f t="shared" ref="Q13:Q44" si="29">IFERROR(P13/H13,0)</f>
        <v>0.60240308983545254</v>
      </c>
      <c r="T13" s="218">
        <f t="shared" ref="T13:T44" si="30">H13</f>
        <v>194091.1449579832</v>
      </c>
      <c r="U13" s="438">
        <f t="shared" ref="U13:U44" si="31">T13</f>
        <v>194091.1449579832</v>
      </c>
      <c r="V13" s="218">
        <f>IF(B13=0,Milk_Retrofit!$C$29,0)</f>
        <v>0</v>
      </c>
      <c r="W13" s="435">
        <f t="shared" ref="W13:W44" si="32">SUM(V13:V13)</f>
        <v>0</v>
      </c>
      <c r="X13" s="438">
        <f t="shared" ref="X13:X44" si="33">U13-W13</f>
        <v>194091.1449579832</v>
      </c>
      <c r="Y13" s="184">
        <f>IF(B13=0,Milk_Retrofit!$G$15+Milk_Retrofit!$G$16,0)</f>
        <v>0</v>
      </c>
      <c r="Z13" s="185">
        <f>IF(B13=0,Milk_Retrofit!$G$14,0)</f>
        <v>0</v>
      </c>
      <c r="AA13" s="132">
        <f t="shared" ref="AA13:AA44" si="34">SUM(Y13:Z13)</f>
        <v>0</v>
      </c>
      <c r="AB13" s="218">
        <f t="shared" ref="AB13:AB44" si="35">X13+AA13</f>
        <v>194091.1449579832</v>
      </c>
      <c r="AC13" s="218">
        <f>Milk_Retrofit!$G$20*AVERAGE(AR13,AS13)</f>
        <v>0</v>
      </c>
      <c r="AD13" s="132">
        <f t="shared" ref="AD13:AD44" si="36">O13</f>
        <v>50109.045185309915</v>
      </c>
      <c r="AE13" s="132">
        <f t="shared" ref="AE13:AE44" si="37">AG13+AD13-G13</f>
        <v>194091.1449579832</v>
      </c>
      <c r="AF13" s="122">
        <f t="shared" ref="AF13:AF44" si="38">AG13-G13</f>
        <v>143982.09977267327</v>
      </c>
      <c r="AG13" s="438">
        <f t="shared" ref="AG13:AG44" si="39">AB13-AD13</f>
        <v>143982.09977267327</v>
      </c>
      <c r="AH13" s="122">
        <f t="shared" ref="AH13:AH44" si="40">AI12</f>
        <v>119287.39125918242</v>
      </c>
      <c r="AI13" s="122">
        <f t="shared" ref="AI13:AI44" si="41">AH13-AK13</f>
        <v>112679.12685864832</v>
      </c>
      <c r="AJ13" s="122">
        <f>-Debt_Calc!DI11</f>
        <v>19920.994340283465</v>
      </c>
      <c r="AK13" s="122">
        <f>Debt_Calc!DJ11</f>
        <v>6608.2644005340953</v>
      </c>
      <c r="AL13" s="122">
        <f t="shared" ref="AL13:AL44" si="42">SUM(AJ13:AK13)</f>
        <v>26529.25874081756</v>
      </c>
      <c r="AM13" s="217">
        <f t="shared" ref="AM13:AM44" si="43">IFERROR(AG13/AL13,0)</f>
        <v>5.4272944894289248</v>
      </c>
      <c r="AN13" s="122">
        <f t="shared" ref="AN13:AN44" si="44">AG13-AL13</f>
        <v>117452.84103185571</v>
      </c>
      <c r="AO13" s="122">
        <f t="shared" ref="AO13:AO44" si="45">AN13+AD13</f>
        <v>167561.88621716562</v>
      </c>
      <c r="AP13" s="122">
        <f t="shared" ref="AP13:AP44" si="46">AN13+AR13</f>
        <v>117452.84103185571</v>
      </c>
      <c r="AQ13" s="122">
        <f t="shared" ref="AQ13:AQ44" si="47">AN13-AP13</f>
        <v>0</v>
      </c>
      <c r="AR13" s="122">
        <f t="shared" ref="AR13:AR44" si="48">AS12</f>
        <v>0</v>
      </c>
      <c r="AS13" s="122">
        <f t="shared" ref="AS13:AS44" si="49">AQ13+AR13</f>
        <v>0</v>
      </c>
      <c r="AT13" s="122">
        <f t="shared" ref="AT13:AT44" si="50">AP13+AT12</f>
        <v>181639.3787616264</v>
      </c>
      <c r="AU13" s="122">
        <f t="shared" ref="AU13:AU44" si="51">IF(AU12&gt;=1,2,IF(AT13&gt;0,1,0))</f>
        <v>2</v>
      </c>
      <c r="AV13" s="222">
        <f t="shared" ref="AV13:AV44" si="52">AP13/((1+$AP$4)^B13)</f>
        <v>11498.576631429425</v>
      </c>
      <c r="AW13" s="102"/>
      <c r="AX13" s="102"/>
      <c r="AY13" s="102"/>
      <c r="AZ13" s="102"/>
      <c r="BA13" s="102"/>
      <c r="BI13" s="102"/>
      <c r="BS13" s="102"/>
      <c r="BT13" s="102"/>
      <c r="BU13" s="102"/>
      <c r="BV13" s="102"/>
      <c r="BW13" s="102"/>
      <c r="BX13" s="102"/>
      <c r="BY13" s="102"/>
      <c r="BZ13" s="102"/>
      <c r="CA13" s="102"/>
      <c r="CB13" s="102"/>
      <c r="CC13" s="102"/>
      <c r="CD13" s="86"/>
      <c r="CJ13" s="86"/>
      <c r="CQ13" s="86"/>
    </row>
    <row r="14" spans="2:95" s="193" customFormat="1" x14ac:dyDescent="0.3">
      <c r="B14" s="184">
        <f t="shared" si="18"/>
        <v>3</v>
      </c>
      <c r="C14" s="346">
        <f t="shared" si="19"/>
        <v>2024</v>
      </c>
      <c r="D14" s="347">
        <f t="shared" si="20"/>
        <v>45292</v>
      </c>
      <c r="E14" s="440">
        <f t="shared" si="21"/>
        <v>45657</v>
      </c>
      <c r="F14" s="732">
        <f>IF(AND(B14&gt;0,B14&lt;=Milk_Retrofit!$J$10),1,0)</f>
        <v>1</v>
      </c>
      <c r="G14" s="217">
        <f t="shared" si="22"/>
        <v>0</v>
      </c>
      <c r="H14" s="438">
        <f>(Milk_Retrofit!$M$16*F14)+IF(B14=Milk_Retrofit!$J$10,Milk_Retrofit!$J$12,0)</f>
        <v>194091.1449579832</v>
      </c>
      <c r="I14" s="122">
        <f t="shared" si="23"/>
        <v>194091.1449579832</v>
      </c>
      <c r="J14" s="219">
        <f t="shared" si="24"/>
        <v>1</v>
      </c>
      <c r="K14" s="220">
        <f>Deprec!AD13</f>
        <v>7140</v>
      </c>
      <c r="L14" s="122">
        <f t="shared" si="25"/>
        <v>186951.1449579832</v>
      </c>
      <c r="M14" s="221">
        <f t="shared" si="26"/>
        <v>18817.414185394271</v>
      </c>
      <c r="N14" s="122">
        <f t="shared" si="27"/>
        <v>168133.73077258893</v>
      </c>
      <c r="O14" s="438">
        <f>IF(N14&lt;0,0,(N14*Milk_Retrofit!$J$7))</f>
        <v>50440.119231776676</v>
      </c>
      <c r="P14" s="122">
        <f t="shared" si="28"/>
        <v>117693.61154081224</v>
      </c>
      <c r="Q14" s="123">
        <f t="shared" si="29"/>
        <v>0.60638321014743113</v>
      </c>
      <c r="T14" s="218">
        <f t="shared" si="30"/>
        <v>194091.1449579832</v>
      </c>
      <c r="U14" s="438">
        <f t="shared" si="31"/>
        <v>194091.1449579832</v>
      </c>
      <c r="V14" s="218">
        <f>IF(B14=0,Milk_Retrofit!$C$29,0)</f>
        <v>0</v>
      </c>
      <c r="W14" s="435">
        <f t="shared" si="32"/>
        <v>0</v>
      </c>
      <c r="X14" s="438">
        <f t="shared" si="33"/>
        <v>194091.1449579832</v>
      </c>
      <c r="Y14" s="184">
        <f>IF(B14=0,Milk_Retrofit!$G$15+Milk_Retrofit!$G$16,0)</f>
        <v>0</v>
      </c>
      <c r="Z14" s="185">
        <f>IF(B14=0,Milk_Retrofit!$G$14,0)</f>
        <v>0</v>
      </c>
      <c r="AA14" s="132">
        <f t="shared" si="34"/>
        <v>0</v>
      </c>
      <c r="AB14" s="218">
        <f t="shared" si="35"/>
        <v>194091.1449579832</v>
      </c>
      <c r="AC14" s="218">
        <f>Milk_Retrofit!$G$20*AVERAGE(AR14,AS14)</f>
        <v>0</v>
      </c>
      <c r="AD14" s="132">
        <f t="shared" si="36"/>
        <v>50440.119231776676</v>
      </c>
      <c r="AE14" s="132">
        <f t="shared" si="37"/>
        <v>194091.1449579832</v>
      </c>
      <c r="AF14" s="122">
        <f t="shared" si="38"/>
        <v>143651.02572620651</v>
      </c>
      <c r="AG14" s="438">
        <f t="shared" si="39"/>
        <v>143651.02572620651</v>
      </c>
      <c r="AH14" s="122">
        <f t="shared" si="40"/>
        <v>112679.12685864832</v>
      </c>
      <c r="AI14" s="122">
        <f t="shared" si="41"/>
        <v>104967.28230322503</v>
      </c>
      <c r="AJ14" s="122">
        <f>-Debt_Calc!DI12</f>
        <v>18817.414185394271</v>
      </c>
      <c r="AK14" s="122">
        <f>Debt_Calc!DJ12</f>
        <v>7711.8445554232931</v>
      </c>
      <c r="AL14" s="122">
        <f t="shared" si="42"/>
        <v>26529.258740817564</v>
      </c>
      <c r="AM14" s="217">
        <f t="shared" si="43"/>
        <v>5.4148149079335921</v>
      </c>
      <c r="AN14" s="122">
        <f t="shared" si="44"/>
        <v>117121.76698538895</v>
      </c>
      <c r="AO14" s="122">
        <f t="shared" si="45"/>
        <v>167561.88621716562</v>
      </c>
      <c r="AP14" s="122">
        <f t="shared" si="46"/>
        <v>117121.76698538895</v>
      </c>
      <c r="AQ14" s="122">
        <f t="shared" si="47"/>
        <v>0</v>
      </c>
      <c r="AR14" s="122">
        <f t="shared" si="48"/>
        <v>0</v>
      </c>
      <c r="AS14" s="122">
        <f t="shared" si="49"/>
        <v>0</v>
      </c>
      <c r="AT14" s="122">
        <f t="shared" si="50"/>
        <v>298761.14574701537</v>
      </c>
      <c r="AU14" s="122">
        <f t="shared" si="51"/>
        <v>2</v>
      </c>
      <c r="AV14" s="222">
        <f t="shared" si="52"/>
        <v>3587.6366527085574</v>
      </c>
      <c r="AW14" s="102"/>
      <c r="AX14" s="102"/>
      <c r="AY14" s="102"/>
      <c r="AZ14" s="102"/>
      <c r="BA14" s="102"/>
      <c r="BI14" s="102"/>
      <c r="BS14" s="102"/>
      <c r="BT14" s="102"/>
      <c r="BU14" s="102"/>
      <c r="BV14" s="102"/>
      <c r="BW14" s="102"/>
      <c r="BX14" s="102"/>
      <c r="BY14" s="102"/>
      <c r="BZ14" s="102"/>
      <c r="CA14" s="102"/>
      <c r="CB14" s="102"/>
      <c r="CC14" s="102"/>
      <c r="CD14" s="86"/>
      <c r="CJ14" s="86"/>
      <c r="CQ14" s="86"/>
    </row>
    <row r="15" spans="2:95" s="86" customFormat="1" x14ac:dyDescent="0.3">
      <c r="B15" s="184">
        <f t="shared" si="18"/>
        <v>4</v>
      </c>
      <c r="C15" s="346">
        <f t="shared" si="19"/>
        <v>2025</v>
      </c>
      <c r="D15" s="347">
        <f t="shared" si="20"/>
        <v>45658</v>
      </c>
      <c r="E15" s="440">
        <f t="shared" si="21"/>
        <v>46022</v>
      </c>
      <c r="F15" s="732">
        <f>IF(AND(B15&gt;0,B15&lt;=Milk_Retrofit!$J$10),1,0)</f>
        <v>1</v>
      </c>
      <c r="G15" s="217">
        <f t="shared" si="22"/>
        <v>0</v>
      </c>
      <c r="H15" s="438">
        <f>(Milk_Retrofit!$M$16*F15)+IF(B15=Milk_Retrofit!$J$10,Milk_Retrofit!$J$12,0)</f>
        <v>194091.1449579832</v>
      </c>
      <c r="I15" s="122">
        <f t="shared" si="23"/>
        <v>194091.1449579832</v>
      </c>
      <c r="J15" s="219">
        <f t="shared" si="24"/>
        <v>1</v>
      </c>
      <c r="K15" s="220">
        <f>Deprec!AD14</f>
        <v>7140</v>
      </c>
      <c r="L15" s="122">
        <f t="shared" si="25"/>
        <v>186951.1449579832</v>
      </c>
      <c r="M15" s="221">
        <f t="shared" si="26"/>
        <v>17529.53614463858</v>
      </c>
      <c r="N15" s="122">
        <f t="shared" si="27"/>
        <v>169421.60881334462</v>
      </c>
      <c r="O15" s="438">
        <f>IF(N15&lt;0,0,(N15*Milk_Retrofit!$J$7))</f>
        <v>50826.482644003387</v>
      </c>
      <c r="P15" s="122">
        <f t="shared" si="28"/>
        <v>118595.12616934124</v>
      </c>
      <c r="Q15" s="123">
        <f t="shared" si="29"/>
        <v>0.61102801055151013</v>
      </c>
      <c r="T15" s="218">
        <f t="shared" si="30"/>
        <v>194091.1449579832</v>
      </c>
      <c r="U15" s="438">
        <f t="shared" si="31"/>
        <v>194091.1449579832</v>
      </c>
      <c r="V15" s="218">
        <f>IF(B15=0,Milk_Retrofit!$C$29,0)</f>
        <v>0</v>
      </c>
      <c r="W15" s="435">
        <f t="shared" si="32"/>
        <v>0</v>
      </c>
      <c r="X15" s="438">
        <f t="shared" si="33"/>
        <v>194091.1449579832</v>
      </c>
      <c r="Y15" s="184">
        <f>IF(B15=0,Milk_Retrofit!$G$15+Milk_Retrofit!$G$16,0)</f>
        <v>0</v>
      </c>
      <c r="Z15" s="185">
        <f>IF(B15=0,Milk_Retrofit!$G$14,0)</f>
        <v>0</v>
      </c>
      <c r="AA15" s="132">
        <f t="shared" si="34"/>
        <v>0</v>
      </c>
      <c r="AB15" s="218">
        <f t="shared" si="35"/>
        <v>194091.1449579832</v>
      </c>
      <c r="AC15" s="218">
        <f>Milk_Retrofit!$G$20*AVERAGE(AR15,AS15)</f>
        <v>0</v>
      </c>
      <c r="AD15" s="132">
        <f t="shared" si="36"/>
        <v>50826.482644003387</v>
      </c>
      <c r="AE15" s="132">
        <f t="shared" si="37"/>
        <v>194091.1449579832</v>
      </c>
      <c r="AF15" s="122">
        <f t="shared" si="38"/>
        <v>143264.66231397982</v>
      </c>
      <c r="AG15" s="438">
        <f t="shared" si="39"/>
        <v>143264.66231397982</v>
      </c>
      <c r="AH15" s="122">
        <f t="shared" si="40"/>
        <v>104967.28230322503</v>
      </c>
      <c r="AI15" s="122">
        <f t="shared" si="41"/>
        <v>95967.55970704605</v>
      </c>
      <c r="AJ15" s="122">
        <f>-Debt_Calc!DI13</f>
        <v>17529.53614463858</v>
      </c>
      <c r="AK15" s="122">
        <f>Debt_Calc!DJ13</f>
        <v>8999.7225961789773</v>
      </c>
      <c r="AL15" s="122">
        <f t="shared" si="42"/>
        <v>26529.258740817557</v>
      </c>
      <c r="AM15" s="217">
        <f t="shared" si="43"/>
        <v>5.4002512363285433</v>
      </c>
      <c r="AN15" s="122">
        <f t="shared" si="44"/>
        <v>116735.40357316226</v>
      </c>
      <c r="AO15" s="122">
        <f t="shared" si="45"/>
        <v>167561.88621716565</v>
      </c>
      <c r="AP15" s="122">
        <f t="shared" si="46"/>
        <v>116735.40357316226</v>
      </c>
      <c r="AQ15" s="122">
        <f t="shared" si="47"/>
        <v>0</v>
      </c>
      <c r="AR15" s="122">
        <f t="shared" si="48"/>
        <v>0</v>
      </c>
      <c r="AS15" s="122">
        <f t="shared" si="49"/>
        <v>0</v>
      </c>
      <c r="AT15" s="122">
        <f t="shared" si="50"/>
        <v>415496.54932017764</v>
      </c>
      <c r="AU15" s="122">
        <f t="shared" si="51"/>
        <v>2</v>
      </c>
      <c r="AV15" s="222">
        <f t="shared" si="52"/>
        <v>1118.8289731742959</v>
      </c>
    </row>
    <row r="16" spans="2:95" s="86" customFormat="1" x14ac:dyDescent="0.3">
      <c r="B16" s="184">
        <f t="shared" si="18"/>
        <v>5</v>
      </c>
      <c r="C16" s="346">
        <f t="shared" si="19"/>
        <v>2026</v>
      </c>
      <c r="D16" s="347">
        <f t="shared" si="20"/>
        <v>46023</v>
      </c>
      <c r="E16" s="440">
        <f t="shared" si="21"/>
        <v>46387</v>
      </c>
      <c r="F16" s="732">
        <f>IF(AND(B16&gt;0,B16&lt;=Milk_Retrofit!$J$10),1,0)</f>
        <v>1</v>
      </c>
      <c r="G16" s="217">
        <f t="shared" si="22"/>
        <v>0</v>
      </c>
      <c r="H16" s="438">
        <f>(Milk_Retrofit!$M$16*F16)+IF(B16=Milk_Retrofit!$J$10,Milk_Retrofit!$J$12,0)</f>
        <v>194091.1449579832</v>
      </c>
      <c r="I16" s="122">
        <f t="shared" si="23"/>
        <v>194091.1449579832</v>
      </c>
      <c r="J16" s="219">
        <f t="shared" si="24"/>
        <v>1</v>
      </c>
      <c r="K16" s="220">
        <f>Deprec!AD15</f>
        <v>7140</v>
      </c>
      <c r="L16" s="122">
        <f t="shared" si="25"/>
        <v>186951.1449579832</v>
      </c>
      <c r="M16" s="221">
        <f t="shared" si="26"/>
        <v>16026.582471076692</v>
      </c>
      <c r="N16" s="122">
        <f t="shared" si="27"/>
        <v>170924.56248690651</v>
      </c>
      <c r="O16" s="438">
        <f>IF(N16&lt;0,0,(N16*Milk_Retrofit!$J$7))</f>
        <v>51277.368746071952</v>
      </c>
      <c r="P16" s="122">
        <f t="shared" si="28"/>
        <v>119647.19374083455</v>
      </c>
      <c r="Q16" s="123">
        <f t="shared" si="29"/>
        <v>0.61644849262307022</v>
      </c>
      <c r="T16" s="218">
        <f t="shared" si="30"/>
        <v>194091.1449579832</v>
      </c>
      <c r="U16" s="438">
        <f t="shared" si="31"/>
        <v>194091.1449579832</v>
      </c>
      <c r="V16" s="218">
        <f>IF(B16=0,Milk_Retrofit!$C$29,0)</f>
        <v>0</v>
      </c>
      <c r="W16" s="435">
        <f t="shared" si="32"/>
        <v>0</v>
      </c>
      <c r="X16" s="438">
        <f t="shared" si="33"/>
        <v>194091.1449579832</v>
      </c>
      <c r="Y16" s="184">
        <f>IF(B16=0,Milk_Retrofit!$G$15+Milk_Retrofit!$G$16,0)</f>
        <v>0</v>
      </c>
      <c r="Z16" s="185">
        <f>IF(B16=0,Milk_Retrofit!$G$14,0)</f>
        <v>0</v>
      </c>
      <c r="AA16" s="132">
        <f t="shared" si="34"/>
        <v>0</v>
      </c>
      <c r="AB16" s="218">
        <f t="shared" si="35"/>
        <v>194091.1449579832</v>
      </c>
      <c r="AC16" s="218">
        <f>Milk_Retrofit!$G$20*AVERAGE(AR16,AS16)</f>
        <v>0</v>
      </c>
      <c r="AD16" s="132">
        <f t="shared" si="36"/>
        <v>51277.368746071952</v>
      </c>
      <c r="AE16" s="132">
        <f t="shared" si="37"/>
        <v>194091.14495798317</v>
      </c>
      <c r="AF16" s="122">
        <f t="shared" si="38"/>
        <v>142813.77621191123</v>
      </c>
      <c r="AG16" s="438">
        <f t="shared" si="39"/>
        <v>142813.77621191123</v>
      </c>
      <c r="AH16" s="122">
        <f t="shared" si="40"/>
        <v>95967.55970704605</v>
      </c>
      <c r="AI16" s="122">
        <f t="shared" si="41"/>
        <v>85464.88343730518</v>
      </c>
      <c r="AJ16" s="122">
        <f>-Debt_Calc!DI14</f>
        <v>16026.582471076692</v>
      </c>
      <c r="AK16" s="122">
        <f>Debt_Calc!DJ14</f>
        <v>10502.676269740869</v>
      </c>
      <c r="AL16" s="122">
        <f t="shared" si="42"/>
        <v>26529.25874081756</v>
      </c>
      <c r="AM16" s="217">
        <f t="shared" si="43"/>
        <v>5.3832554315654466</v>
      </c>
      <c r="AN16" s="122">
        <f t="shared" si="44"/>
        <v>116284.51747109367</v>
      </c>
      <c r="AO16" s="122">
        <f t="shared" si="45"/>
        <v>167561.88621716562</v>
      </c>
      <c r="AP16" s="122">
        <f t="shared" si="46"/>
        <v>116284.51747109367</v>
      </c>
      <c r="AQ16" s="122">
        <f t="shared" si="47"/>
        <v>0</v>
      </c>
      <c r="AR16" s="122">
        <f t="shared" si="48"/>
        <v>0</v>
      </c>
      <c r="AS16" s="122">
        <f t="shared" si="49"/>
        <v>0</v>
      </c>
      <c r="AT16" s="122">
        <f t="shared" si="50"/>
        <v>531781.06679127133</v>
      </c>
      <c r="AU16" s="122">
        <f t="shared" si="51"/>
        <v>2</v>
      </c>
      <c r="AV16" s="222">
        <f t="shared" si="52"/>
        <v>348.71713597451452</v>
      </c>
    </row>
    <row r="17" spans="2:48" s="86" customFormat="1" x14ac:dyDescent="0.3">
      <c r="B17" s="184">
        <f t="shared" si="18"/>
        <v>6</v>
      </c>
      <c r="C17" s="346">
        <f t="shared" si="19"/>
        <v>2027</v>
      </c>
      <c r="D17" s="347">
        <f t="shared" si="20"/>
        <v>46388</v>
      </c>
      <c r="E17" s="440">
        <f t="shared" si="21"/>
        <v>46752</v>
      </c>
      <c r="F17" s="732">
        <f>IF(AND(B17&gt;0,B17&lt;=Milk_Retrofit!$J$10),1,0)</f>
        <v>1</v>
      </c>
      <c r="G17" s="217">
        <f t="shared" si="22"/>
        <v>0</v>
      </c>
      <c r="H17" s="438">
        <f>(Milk_Retrofit!$M$16*F17)+IF(B17=Milk_Retrofit!$J$10,Milk_Retrofit!$J$12,0)</f>
        <v>194091.1449579832</v>
      </c>
      <c r="I17" s="122">
        <f t="shared" si="23"/>
        <v>194091.1449579832</v>
      </c>
      <c r="J17" s="219">
        <f t="shared" si="24"/>
        <v>1</v>
      </c>
      <c r="K17" s="220">
        <f>Deprec!AD16</f>
        <v>7140</v>
      </c>
      <c r="L17" s="122">
        <f t="shared" si="25"/>
        <v>186951.1449579832</v>
      </c>
      <c r="M17" s="221">
        <f t="shared" si="26"/>
        <v>14272.635534029965</v>
      </c>
      <c r="N17" s="122">
        <f t="shared" si="27"/>
        <v>172678.50942395322</v>
      </c>
      <c r="O17" s="438">
        <f>IF(N17&lt;0,0,(N17*Milk_Retrofit!$J$7))</f>
        <v>51803.552827185966</v>
      </c>
      <c r="P17" s="122">
        <f t="shared" si="28"/>
        <v>120874.95659676725</v>
      </c>
      <c r="Q17" s="123">
        <f t="shared" si="29"/>
        <v>0.62277419520058086</v>
      </c>
      <c r="T17" s="218">
        <f t="shared" si="30"/>
        <v>194091.1449579832</v>
      </c>
      <c r="U17" s="438">
        <f t="shared" si="31"/>
        <v>194091.1449579832</v>
      </c>
      <c r="V17" s="218">
        <f>IF(B17=0,Milk_Retrofit!$C$29,0)</f>
        <v>0</v>
      </c>
      <c r="W17" s="435">
        <f t="shared" si="32"/>
        <v>0</v>
      </c>
      <c r="X17" s="438">
        <f t="shared" si="33"/>
        <v>194091.1449579832</v>
      </c>
      <c r="Y17" s="184">
        <f>IF(B17=0,Milk_Retrofit!$G$15+Milk_Retrofit!$G$16,0)</f>
        <v>0</v>
      </c>
      <c r="Z17" s="185">
        <f>IF(B17=0,Milk_Retrofit!$G$14,0)</f>
        <v>0</v>
      </c>
      <c r="AA17" s="132">
        <f t="shared" si="34"/>
        <v>0</v>
      </c>
      <c r="AB17" s="218">
        <f t="shared" si="35"/>
        <v>194091.1449579832</v>
      </c>
      <c r="AC17" s="218">
        <f>Milk_Retrofit!$G$20*AVERAGE(AR17,AS17)</f>
        <v>0</v>
      </c>
      <c r="AD17" s="132">
        <f t="shared" si="36"/>
        <v>51803.552827185966</v>
      </c>
      <c r="AE17" s="132">
        <f t="shared" si="37"/>
        <v>194091.14495798317</v>
      </c>
      <c r="AF17" s="122">
        <f t="shared" si="38"/>
        <v>142287.59213079722</v>
      </c>
      <c r="AG17" s="438">
        <f t="shared" si="39"/>
        <v>142287.59213079722</v>
      </c>
      <c r="AH17" s="122">
        <f t="shared" si="40"/>
        <v>85464.88343730518</v>
      </c>
      <c r="AI17" s="122">
        <f t="shared" si="41"/>
        <v>73208.260230517582</v>
      </c>
      <c r="AJ17" s="122">
        <f>-Debt_Calc!DI15</f>
        <v>14272.635534029965</v>
      </c>
      <c r="AK17" s="122">
        <f>Debt_Calc!DJ15</f>
        <v>12256.623206787595</v>
      </c>
      <c r="AL17" s="122">
        <f t="shared" si="42"/>
        <v>26529.25874081756</v>
      </c>
      <c r="AM17" s="217">
        <f t="shared" si="43"/>
        <v>5.3634213274069147</v>
      </c>
      <c r="AN17" s="122">
        <f t="shared" si="44"/>
        <v>115758.33338997966</v>
      </c>
      <c r="AO17" s="122">
        <f t="shared" si="45"/>
        <v>167561.88621716562</v>
      </c>
      <c r="AP17" s="122">
        <f t="shared" si="46"/>
        <v>115758.33338997966</v>
      </c>
      <c r="AQ17" s="122">
        <f t="shared" si="47"/>
        <v>0</v>
      </c>
      <c r="AR17" s="122">
        <f t="shared" si="48"/>
        <v>0</v>
      </c>
      <c r="AS17" s="122">
        <f t="shared" si="49"/>
        <v>0</v>
      </c>
      <c r="AT17" s="122">
        <f t="shared" si="50"/>
        <v>647539.400181251</v>
      </c>
      <c r="AU17" s="122">
        <f t="shared" si="51"/>
        <v>2</v>
      </c>
      <c r="AV17" s="222">
        <f t="shared" si="52"/>
        <v>108.61603335324921</v>
      </c>
    </row>
    <row r="18" spans="2:48" s="86" customFormat="1" x14ac:dyDescent="0.3">
      <c r="B18" s="184">
        <f t="shared" si="18"/>
        <v>7</v>
      </c>
      <c r="C18" s="346">
        <f t="shared" si="19"/>
        <v>2028</v>
      </c>
      <c r="D18" s="347">
        <f t="shared" si="20"/>
        <v>46753</v>
      </c>
      <c r="E18" s="440">
        <f t="shared" si="21"/>
        <v>47118</v>
      </c>
      <c r="F18" s="732">
        <f>IF(AND(B18&gt;0,B18&lt;=Milk_Retrofit!$J$10),1,0)</f>
        <v>1</v>
      </c>
      <c r="G18" s="217">
        <f t="shared" si="22"/>
        <v>0</v>
      </c>
      <c r="H18" s="438">
        <f>(Milk_Retrofit!$M$16*F18)+IF(B18=Milk_Retrofit!$J$10,Milk_Retrofit!$J$12,0)</f>
        <v>194091.1449579832</v>
      </c>
      <c r="I18" s="122">
        <f t="shared" si="23"/>
        <v>194091.1449579832</v>
      </c>
      <c r="J18" s="219">
        <f t="shared" si="24"/>
        <v>1</v>
      </c>
      <c r="K18" s="220">
        <f>Deprec!AD17</f>
        <v>7140</v>
      </c>
      <c r="L18" s="122">
        <f t="shared" si="25"/>
        <v>186951.1449579832</v>
      </c>
      <c r="M18" s="221">
        <f t="shared" si="26"/>
        <v>12225.779458496438</v>
      </c>
      <c r="N18" s="122">
        <f t="shared" si="27"/>
        <v>174725.36549948677</v>
      </c>
      <c r="O18" s="438">
        <f>IF(N18&lt;0,0,(N18*Milk_Retrofit!$J$7))</f>
        <v>52417.609649846032</v>
      </c>
      <c r="P18" s="122">
        <f t="shared" si="28"/>
        <v>122307.75584964073</v>
      </c>
      <c r="Q18" s="123">
        <f t="shared" si="29"/>
        <v>0.6301562901085358</v>
      </c>
      <c r="T18" s="218">
        <f t="shared" si="30"/>
        <v>194091.1449579832</v>
      </c>
      <c r="U18" s="438">
        <f t="shared" si="31"/>
        <v>194091.1449579832</v>
      </c>
      <c r="V18" s="218">
        <f>IF(B18=0,Milk_Retrofit!$C$29,0)</f>
        <v>0</v>
      </c>
      <c r="W18" s="435">
        <f t="shared" si="32"/>
        <v>0</v>
      </c>
      <c r="X18" s="438">
        <f t="shared" si="33"/>
        <v>194091.1449579832</v>
      </c>
      <c r="Y18" s="184">
        <f>IF(B18=0,Milk_Retrofit!$G$15+Milk_Retrofit!$G$16,0)</f>
        <v>0</v>
      </c>
      <c r="Z18" s="185">
        <f>IF(B18=0,Milk_Retrofit!$G$14,0)</f>
        <v>0</v>
      </c>
      <c r="AA18" s="132">
        <f t="shared" si="34"/>
        <v>0</v>
      </c>
      <c r="AB18" s="218">
        <f t="shared" si="35"/>
        <v>194091.1449579832</v>
      </c>
      <c r="AC18" s="218">
        <f>Milk_Retrofit!$G$20*AVERAGE(AR18,AS18)</f>
        <v>0</v>
      </c>
      <c r="AD18" s="132">
        <f t="shared" si="36"/>
        <v>52417.609649846032</v>
      </c>
      <c r="AE18" s="132">
        <f t="shared" si="37"/>
        <v>194091.1449579832</v>
      </c>
      <c r="AF18" s="122">
        <f t="shared" si="38"/>
        <v>141673.53530813716</v>
      </c>
      <c r="AG18" s="438">
        <f t="shared" si="39"/>
        <v>141673.53530813716</v>
      </c>
      <c r="AH18" s="122">
        <f t="shared" si="40"/>
        <v>73208.260230517582</v>
      </c>
      <c r="AI18" s="122">
        <f t="shared" si="41"/>
        <v>58904.780948196458</v>
      </c>
      <c r="AJ18" s="122">
        <f>-Debt_Calc!DI16</f>
        <v>12225.779458496438</v>
      </c>
      <c r="AK18" s="122">
        <f>Debt_Calc!DJ16</f>
        <v>14303.479282321123</v>
      </c>
      <c r="AL18" s="122">
        <f t="shared" si="42"/>
        <v>26529.25874081756</v>
      </c>
      <c r="AM18" s="217">
        <f t="shared" si="43"/>
        <v>5.3402749278539083</v>
      </c>
      <c r="AN18" s="122">
        <f t="shared" si="44"/>
        <v>115144.2765673196</v>
      </c>
      <c r="AO18" s="122">
        <f t="shared" si="45"/>
        <v>167561.88621716562</v>
      </c>
      <c r="AP18" s="122">
        <f t="shared" si="46"/>
        <v>115144.2765673196</v>
      </c>
      <c r="AQ18" s="122">
        <f t="shared" si="47"/>
        <v>0</v>
      </c>
      <c r="AR18" s="122">
        <f t="shared" si="48"/>
        <v>0</v>
      </c>
      <c r="AS18" s="122">
        <f t="shared" si="49"/>
        <v>0</v>
      </c>
      <c r="AT18" s="122">
        <f t="shared" si="50"/>
        <v>762683.67674857064</v>
      </c>
      <c r="AU18" s="122">
        <f t="shared" si="51"/>
        <v>2</v>
      </c>
      <c r="AV18" s="222">
        <f t="shared" si="52"/>
        <v>33.804483694191738</v>
      </c>
    </row>
    <row r="19" spans="2:48" s="86" customFormat="1" x14ac:dyDescent="0.3">
      <c r="B19" s="184">
        <f t="shared" si="18"/>
        <v>8</v>
      </c>
      <c r="C19" s="346">
        <f t="shared" si="19"/>
        <v>2029</v>
      </c>
      <c r="D19" s="347">
        <f t="shared" si="20"/>
        <v>47119</v>
      </c>
      <c r="E19" s="440">
        <f t="shared" si="21"/>
        <v>47483</v>
      </c>
      <c r="F19" s="732">
        <f>IF(AND(B19&gt;0,B19&lt;=Milk_Retrofit!$J$10),1,0)</f>
        <v>1</v>
      </c>
      <c r="G19" s="217">
        <f t="shared" si="22"/>
        <v>0</v>
      </c>
      <c r="H19" s="438">
        <f>(Milk_Retrofit!$M$16*F19)+IF(B19=Milk_Retrofit!$J$10,Milk_Retrofit!$J$12,0)</f>
        <v>194091.1449579832</v>
      </c>
      <c r="I19" s="122">
        <f t="shared" si="23"/>
        <v>194091.1449579832</v>
      </c>
      <c r="J19" s="219">
        <f t="shared" si="24"/>
        <v>1</v>
      </c>
      <c r="K19" s="220">
        <f>Deprec!AD18</f>
        <v>7140</v>
      </c>
      <c r="L19" s="122">
        <f t="shared" si="25"/>
        <v>186951.1449579832</v>
      </c>
      <c r="M19" s="221">
        <f t="shared" si="26"/>
        <v>9837.098418348809</v>
      </c>
      <c r="N19" s="122">
        <f t="shared" si="27"/>
        <v>177114.04653963438</v>
      </c>
      <c r="O19" s="438">
        <f>IF(N19&lt;0,0,(N19*Milk_Retrofit!$J$7))</f>
        <v>53134.213961890309</v>
      </c>
      <c r="P19" s="122">
        <f t="shared" si="28"/>
        <v>123979.83257774406</v>
      </c>
      <c r="Q19" s="123">
        <f t="shared" si="29"/>
        <v>0.63877119486611911</v>
      </c>
      <c r="T19" s="218">
        <f t="shared" si="30"/>
        <v>194091.1449579832</v>
      </c>
      <c r="U19" s="438">
        <f t="shared" si="31"/>
        <v>194091.1449579832</v>
      </c>
      <c r="V19" s="218">
        <f>IF(B19=0,Milk_Retrofit!$C$29,0)</f>
        <v>0</v>
      </c>
      <c r="W19" s="435">
        <f t="shared" si="32"/>
        <v>0</v>
      </c>
      <c r="X19" s="438">
        <f t="shared" si="33"/>
        <v>194091.1449579832</v>
      </c>
      <c r="Y19" s="184">
        <f>IF(B19=0,Milk_Retrofit!$G$15+Milk_Retrofit!$G$16,0)</f>
        <v>0</v>
      </c>
      <c r="Z19" s="185">
        <f>IF(B19=0,Milk_Retrofit!$G$14,0)</f>
        <v>0</v>
      </c>
      <c r="AA19" s="132">
        <f t="shared" si="34"/>
        <v>0</v>
      </c>
      <c r="AB19" s="218">
        <f t="shared" si="35"/>
        <v>194091.1449579832</v>
      </c>
      <c r="AC19" s="218">
        <f>Milk_Retrofit!$G$20*AVERAGE(AR19,AS19)</f>
        <v>0</v>
      </c>
      <c r="AD19" s="132">
        <f t="shared" si="36"/>
        <v>53134.213961890309</v>
      </c>
      <c r="AE19" s="132">
        <f t="shared" si="37"/>
        <v>194091.1449579832</v>
      </c>
      <c r="AF19" s="122">
        <f t="shared" si="38"/>
        <v>140956.93099609288</v>
      </c>
      <c r="AG19" s="438">
        <f t="shared" si="39"/>
        <v>140956.93099609288</v>
      </c>
      <c r="AH19" s="122">
        <f t="shared" si="40"/>
        <v>58904.780948196458</v>
      </c>
      <c r="AI19" s="122">
        <f t="shared" si="41"/>
        <v>42212.620625727708</v>
      </c>
      <c r="AJ19" s="122">
        <f>-Debt_Calc!DI17</f>
        <v>9837.098418348809</v>
      </c>
      <c r="AK19" s="122">
        <f>Debt_Calc!DJ17</f>
        <v>16692.16032246875</v>
      </c>
      <c r="AL19" s="122">
        <f t="shared" si="42"/>
        <v>26529.25874081756</v>
      </c>
      <c r="AM19" s="217">
        <f t="shared" si="43"/>
        <v>5.3132630795755498</v>
      </c>
      <c r="AN19" s="122">
        <f t="shared" si="44"/>
        <v>114427.67225527532</v>
      </c>
      <c r="AO19" s="122">
        <f t="shared" si="45"/>
        <v>167561.88621716562</v>
      </c>
      <c r="AP19" s="122">
        <f t="shared" si="46"/>
        <v>114427.67225527532</v>
      </c>
      <c r="AQ19" s="122">
        <f t="shared" si="47"/>
        <v>0</v>
      </c>
      <c r="AR19" s="122">
        <f t="shared" si="48"/>
        <v>0</v>
      </c>
      <c r="AS19" s="122">
        <f t="shared" si="49"/>
        <v>0</v>
      </c>
      <c r="AT19" s="122">
        <f t="shared" si="50"/>
        <v>877111.34900384594</v>
      </c>
      <c r="AU19" s="122">
        <f t="shared" si="51"/>
        <v>2</v>
      </c>
      <c r="AV19" s="222">
        <f t="shared" si="52"/>
        <v>10.511224064259681</v>
      </c>
    </row>
    <row r="20" spans="2:48" s="86" customFormat="1" x14ac:dyDescent="0.3">
      <c r="B20" s="184">
        <f t="shared" si="18"/>
        <v>9</v>
      </c>
      <c r="C20" s="346">
        <f t="shared" si="19"/>
        <v>2030</v>
      </c>
      <c r="D20" s="347">
        <f t="shared" si="20"/>
        <v>47484</v>
      </c>
      <c r="E20" s="440">
        <f t="shared" si="21"/>
        <v>47848</v>
      </c>
      <c r="F20" s="732">
        <f>IF(AND(B20&gt;0,B20&lt;=Milk_Retrofit!$J$10),1,0)</f>
        <v>1</v>
      </c>
      <c r="G20" s="217">
        <f t="shared" si="22"/>
        <v>0</v>
      </c>
      <c r="H20" s="438">
        <f>(Milk_Retrofit!$M$16*F20)+IF(B20=Milk_Retrofit!$J$10,Milk_Retrofit!$J$12,0)</f>
        <v>194091.1449579832</v>
      </c>
      <c r="I20" s="122">
        <f t="shared" si="23"/>
        <v>194091.1449579832</v>
      </c>
      <c r="J20" s="219">
        <f t="shared" si="24"/>
        <v>1</v>
      </c>
      <c r="K20" s="220">
        <f>Deprec!AD19</f>
        <v>7140</v>
      </c>
      <c r="L20" s="122">
        <f t="shared" si="25"/>
        <v>186951.1449579832</v>
      </c>
      <c r="M20" s="221">
        <f t="shared" si="26"/>
        <v>7049.507644496528</v>
      </c>
      <c r="N20" s="122">
        <f t="shared" si="27"/>
        <v>179901.63731348666</v>
      </c>
      <c r="O20" s="438">
        <f>IF(N20&lt;0,0,(N20*Milk_Retrofit!$J$7))</f>
        <v>53970.491194045993</v>
      </c>
      <c r="P20" s="122">
        <f t="shared" si="28"/>
        <v>125931.14611944067</v>
      </c>
      <c r="Q20" s="123">
        <f t="shared" si="29"/>
        <v>0.64882478871821903</v>
      </c>
      <c r="T20" s="218">
        <f t="shared" si="30"/>
        <v>194091.1449579832</v>
      </c>
      <c r="U20" s="438">
        <f t="shared" si="31"/>
        <v>194091.1449579832</v>
      </c>
      <c r="V20" s="218">
        <f>IF(B20=0,Milk_Retrofit!$C$29,0)</f>
        <v>0</v>
      </c>
      <c r="W20" s="435">
        <f t="shared" si="32"/>
        <v>0</v>
      </c>
      <c r="X20" s="438">
        <f t="shared" si="33"/>
        <v>194091.1449579832</v>
      </c>
      <c r="Y20" s="184">
        <f>IF(B20=0,Milk_Retrofit!$G$15+Milk_Retrofit!$G$16,0)</f>
        <v>0</v>
      </c>
      <c r="Z20" s="185">
        <f>IF(B20=0,Milk_Retrofit!$G$14,0)</f>
        <v>0</v>
      </c>
      <c r="AA20" s="132">
        <f t="shared" si="34"/>
        <v>0</v>
      </c>
      <c r="AB20" s="218">
        <f t="shared" si="35"/>
        <v>194091.1449579832</v>
      </c>
      <c r="AC20" s="218">
        <f>Milk_Retrofit!$G$20*AVERAGE(AR20,AS20)</f>
        <v>0</v>
      </c>
      <c r="AD20" s="132">
        <f t="shared" si="36"/>
        <v>53970.491194045993</v>
      </c>
      <c r="AE20" s="132">
        <f t="shared" si="37"/>
        <v>194091.1449579832</v>
      </c>
      <c r="AF20" s="122">
        <f t="shared" si="38"/>
        <v>140120.65376393721</v>
      </c>
      <c r="AG20" s="438">
        <f t="shared" si="39"/>
        <v>140120.65376393721</v>
      </c>
      <c r="AH20" s="122">
        <f t="shared" si="40"/>
        <v>42212.620625727708</v>
      </c>
      <c r="AI20" s="122">
        <f t="shared" si="41"/>
        <v>22732.869529406671</v>
      </c>
      <c r="AJ20" s="122">
        <f>-Debt_Calc!DI18</f>
        <v>7049.507644496528</v>
      </c>
      <c r="AK20" s="122">
        <f>Debt_Calc!DJ18</f>
        <v>19479.751096321037</v>
      </c>
      <c r="AL20" s="122">
        <f t="shared" si="42"/>
        <v>26529.258740817564</v>
      </c>
      <c r="AM20" s="217">
        <f t="shared" si="43"/>
        <v>5.2817402526347044</v>
      </c>
      <c r="AN20" s="122">
        <f t="shared" si="44"/>
        <v>113591.39502311965</v>
      </c>
      <c r="AO20" s="122">
        <f t="shared" si="45"/>
        <v>167561.88621716565</v>
      </c>
      <c r="AP20" s="122">
        <f t="shared" si="46"/>
        <v>113591.39502311965</v>
      </c>
      <c r="AQ20" s="122">
        <f t="shared" si="47"/>
        <v>0</v>
      </c>
      <c r="AR20" s="122">
        <f t="shared" si="48"/>
        <v>0</v>
      </c>
      <c r="AS20" s="122">
        <f t="shared" si="49"/>
        <v>0</v>
      </c>
      <c r="AT20" s="122">
        <f t="shared" si="50"/>
        <v>990702.74402696558</v>
      </c>
      <c r="AU20" s="122">
        <f t="shared" si="51"/>
        <v>2</v>
      </c>
      <c r="AV20" s="222">
        <f t="shared" si="52"/>
        <v>3.2648102292345387</v>
      </c>
    </row>
    <row r="21" spans="2:48" s="86" customFormat="1" x14ac:dyDescent="0.3">
      <c r="B21" s="184">
        <f t="shared" si="18"/>
        <v>10</v>
      </c>
      <c r="C21" s="346">
        <f t="shared" si="19"/>
        <v>2031</v>
      </c>
      <c r="D21" s="347">
        <f t="shared" si="20"/>
        <v>47849</v>
      </c>
      <c r="E21" s="440">
        <f t="shared" si="21"/>
        <v>48213</v>
      </c>
      <c r="F21" s="732">
        <f>IF(AND(B21&gt;0,B21&lt;=Milk_Retrofit!$J$10),1,0)</f>
        <v>1</v>
      </c>
      <c r="G21" s="217">
        <f t="shared" si="22"/>
        <v>0</v>
      </c>
      <c r="H21" s="438">
        <f>(Milk_Retrofit!$M$16*F21)+IF(B21=Milk_Retrofit!$J$10,Milk_Retrofit!$J$12,0)</f>
        <v>194091.1449579832</v>
      </c>
      <c r="I21" s="122">
        <f t="shared" si="23"/>
        <v>194091.1449579832</v>
      </c>
      <c r="J21" s="219">
        <f t="shared" si="24"/>
        <v>1</v>
      </c>
      <c r="K21" s="220">
        <f>Deprec!AD20</f>
        <v>7140</v>
      </c>
      <c r="L21" s="122">
        <f t="shared" si="25"/>
        <v>186951.1449579832</v>
      </c>
      <c r="M21" s="221">
        <f t="shared" si="26"/>
        <v>3796.3892114109144</v>
      </c>
      <c r="N21" s="122">
        <f t="shared" si="27"/>
        <v>183154.75574657228</v>
      </c>
      <c r="O21" s="438">
        <f>IF(N21&lt;0,0,(N21*Milk_Retrofit!$J$7))</f>
        <v>54946.426723971679</v>
      </c>
      <c r="P21" s="122">
        <f t="shared" si="28"/>
        <v>128208.32902260061</v>
      </c>
      <c r="Q21" s="123">
        <f t="shared" si="29"/>
        <v>0.66055733274361961</v>
      </c>
      <c r="T21" s="218">
        <f t="shared" si="30"/>
        <v>194091.1449579832</v>
      </c>
      <c r="U21" s="438">
        <f t="shared" si="31"/>
        <v>194091.1449579832</v>
      </c>
      <c r="V21" s="218">
        <f>IF(B21=0,Milk_Retrofit!$C$29,0)</f>
        <v>0</v>
      </c>
      <c r="W21" s="435">
        <f t="shared" si="32"/>
        <v>0</v>
      </c>
      <c r="X21" s="438">
        <f t="shared" si="33"/>
        <v>194091.1449579832</v>
      </c>
      <c r="Y21" s="184">
        <f>IF(B21=0,Milk_Retrofit!$G$15+Milk_Retrofit!$G$16,0)</f>
        <v>0</v>
      </c>
      <c r="Z21" s="185">
        <f>IF(B21=0,Milk_Retrofit!$G$14,0)</f>
        <v>0</v>
      </c>
      <c r="AA21" s="132">
        <f t="shared" si="34"/>
        <v>0</v>
      </c>
      <c r="AB21" s="218">
        <f t="shared" si="35"/>
        <v>194091.1449579832</v>
      </c>
      <c r="AC21" s="218">
        <f>Milk_Retrofit!$G$20*AVERAGE(AR21,AS21)</f>
        <v>0</v>
      </c>
      <c r="AD21" s="132">
        <f t="shared" si="36"/>
        <v>54946.426723971679</v>
      </c>
      <c r="AE21" s="132">
        <f t="shared" si="37"/>
        <v>194091.1449579832</v>
      </c>
      <c r="AF21" s="122">
        <f t="shared" si="38"/>
        <v>139144.71823401153</v>
      </c>
      <c r="AG21" s="438">
        <f t="shared" si="39"/>
        <v>139144.71823401153</v>
      </c>
      <c r="AH21" s="122">
        <f t="shared" si="40"/>
        <v>22732.869529406671</v>
      </c>
      <c r="AI21" s="122">
        <f t="shared" si="41"/>
        <v>0</v>
      </c>
      <c r="AJ21" s="122">
        <f>-Debt_Calc!DI19</f>
        <v>3796.3892114109144</v>
      </c>
      <c r="AK21" s="122">
        <f>Debt_Calc!DJ19</f>
        <v>22732.869529406664</v>
      </c>
      <c r="AL21" s="122">
        <f t="shared" si="42"/>
        <v>26529.258740817579</v>
      </c>
      <c r="AM21" s="217">
        <f t="shared" si="43"/>
        <v>5.244953113594736</v>
      </c>
      <c r="AN21" s="122">
        <f t="shared" si="44"/>
        <v>112615.45949319395</v>
      </c>
      <c r="AO21" s="122">
        <f t="shared" si="45"/>
        <v>167561.88621716562</v>
      </c>
      <c r="AP21" s="122">
        <f t="shared" si="46"/>
        <v>112615.45949319395</v>
      </c>
      <c r="AQ21" s="122">
        <f t="shared" si="47"/>
        <v>0</v>
      </c>
      <c r="AR21" s="122">
        <f t="shared" si="48"/>
        <v>0</v>
      </c>
      <c r="AS21" s="122">
        <f t="shared" si="49"/>
        <v>0</v>
      </c>
      <c r="AT21" s="122">
        <f t="shared" si="50"/>
        <v>1103318.2035201595</v>
      </c>
      <c r="AU21" s="122">
        <f t="shared" si="51"/>
        <v>2</v>
      </c>
      <c r="AV21" s="222">
        <f t="shared" si="52"/>
        <v>1.0127466174033515</v>
      </c>
    </row>
    <row r="22" spans="2:48" s="86" customFormat="1" x14ac:dyDescent="0.3">
      <c r="B22" s="184">
        <f t="shared" si="18"/>
        <v>11</v>
      </c>
      <c r="C22" s="346">
        <f t="shared" si="19"/>
        <v>2032</v>
      </c>
      <c r="D22" s="347">
        <f t="shared" si="20"/>
        <v>48214</v>
      </c>
      <c r="E22" s="440">
        <f t="shared" si="21"/>
        <v>48579</v>
      </c>
      <c r="F22" s="732">
        <f>IF(AND(B22&gt;0,B22&lt;=Milk_Retrofit!$J$10),1,0)</f>
        <v>1</v>
      </c>
      <c r="G22" s="217">
        <f t="shared" si="22"/>
        <v>0</v>
      </c>
      <c r="H22" s="438">
        <f>(Milk_Retrofit!$M$16*F22)+IF(B22=Milk_Retrofit!$J$10,Milk_Retrofit!$J$12,0)</f>
        <v>194091.1449579832</v>
      </c>
      <c r="I22" s="122">
        <f t="shared" si="23"/>
        <v>194091.1449579832</v>
      </c>
      <c r="J22" s="219">
        <f t="shared" si="24"/>
        <v>1</v>
      </c>
      <c r="K22" s="220">
        <f>Deprec!AD21</f>
        <v>7140</v>
      </c>
      <c r="L22" s="122">
        <f t="shared" si="25"/>
        <v>186951.1449579832</v>
      </c>
      <c r="M22" s="221">
        <f t="shared" si="26"/>
        <v>0</v>
      </c>
      <c r="N22" s="122">
        <f t="shared" si="27"/>
        <v>186951.1449579832</v>
      </c>
      <c r="O22" s="438">
        <f>IF(N22&lt;0,0,(N22*Milk_Retrofit!$J$7))</f>
        <v>56085.343487394959</v>
      </c>
      <c r="P22" s="122">
        <f t="shared" si="28"/>
        <v>130865.80147058824</v>
      </c>
      <c r="Q22" s="123">
        <f t="shared" si="29"/>
        <v>0.67424921162126195</v>
      </c>
      <c r="T22" s="218">
        <f t="shared" si="30"/>
        <v>194091.1449579832</v>
      </c>
      <c r="U22" s="438">
        <f t="shared" si="31"/>
        <v>194091.1449579832</v>
      </c>
      <c r="V22" s="218">
        <f>IF(B22=0,Milk_Retrofit!$C$29,0)</f>
        <v>0</v>
      </c>
      <c r="W22" s="435">
        <f t="shared" si="32"/>
        <v>0</v>
      </c>
      <c r="X22" s="438">
        <f t="shared" si="33"/>
        <v>194091.1449579832</v>
      </c>
      <c r="Y22" s="184">
        <f>IF(B22=0,Milk_Retrofit!$G$15+Milk_Retrofit!$G$16,0)</f>
        <v>0</v>
      </c>
      <c r="Z22" s="185">
        <f>IF(B22=0,Milk_Retrofit!$G$14,0)</f>
        <v>0</v>
      </c>
      <c r="AA22" s="132">
        <f t="shared" si="34"/>
        <v>0</v>
      </c>
      <c r="AB22" s="218">
        <f t="shared" si="35"/>
        <v>194091.1449579832</v>
      </c>
      <c r="AC22" s="218">
        <f>Milk_Retrofit!$G$20*AVERAGE(AR22,AS22)</f>
        <v>0</v>
      </c>
      <c r="AD22" s="132">
        <f t="shared" si="36"/>
        <v>56085.343487394959</v>
      </c>
      <c r="AE22" s="132">
        <f t="shared" si="37"/>
        <v>194091.14495798323</v>
      </c>
      <c r="AF22" s="122">
        <f t="shared" si="38"/>
        <v>138005.80147058825</v>
      </c>
      <c r="AG22" s="438">
        <f t="shared" si="39"/>
        <v>138005.80147058825</v>
      </c>
      <c r="AH22" s="122">
        <f t="shared" si="40"/>
        <v>0</v>
      </c>
      <c r="AI22" s="122">
        <f t="shared" si="41"/>
        <v>0</v>
      </c>
      <c r="AJ22" s="122">
        <f>-Debt_Calc!DI20</f>
        <v>0</v>
      </c>
      <c r="AK22" s="122">
        <f>Debt_Calc!DJ20</f>
        <v>0</v>
      </c>
      <c r="AL22" s="122">
        <f t="shared" si="42"/>
        <v>0</v>
      </c>
      <c r="AM22" s="217">
        <f t="shared" si="43"/>
        <v>0</v>
      </c>
      <c r="AN22" s="122">
        <f t="shared" si="44"/>
        <v>138005.80147058825</v>
      </c>
      <c r="AO22" s="122">
        <f t="shared" si="45"/>
        <v>194091.14495798323</v>
      </c>
      <c r="AP22" s="122">
        <f t="shared" si="46"/>
        <v>138005.80147058825</v>
      </c>
      <c r="AQ22" s="122">
        <f t="shared" si="47"/>
        <v>0</v>
      </c>
      <c r="AR22" s="122">
        <f t="shared" si="48"/>
        <v>0</v>
      </c>
      <c r="AS22" s="122">
        <f t="shared" si="49"/>
        <v>0</v>
      </c>
      <c r="AT22" s="122">
        <f t="shared" si="50"/>
        <v>1241324.0049907477</v>
      </c>
      <c r="AU22" s="122">
        <f t="shared" si="51"/>
        <v>2</v>
      </c>
      <c r="AV22" s="222">
        <f t="shared" si="52"/>
        <v>0.38832058258108726</v>
      </c>
    </row>
    <row r="23" spans="2:48" s="86" customFormat="1" x14ac:dyDescent="0.3">
      <c r="B23" s="184">
        <f t="shared" si="18"/>
        <v>12</v>
      </c>
      <c r="C23" s="346">
        <f t="shared" si="19"/>
        <v>2033</v>
      </c>
      <c r="D23" s="347">
        <f t="shared" si="20"/>
        <v>48580</v>
      </c>
      <c r="E23" s="440">
        <f t="shared" si="21"/>
        <v>48944</v>
      </c>
      <c r="F23" s="732">
        <f>IF(AND(B23&gt;0,B23&lt;=Milk_Retrofit!$J$10),1,0)</f>
        <v>1</v>
      </c>
      <c r="G23" s="217">
        <f t="shared" si="22"/>
        <v>0</v>
      </c>
      <c r="H23" s="438">
        <f>(Milk_Retrofit!$M$16*F23)+IF(B23=Milk_Retrofit!$J$10,Milk_Retrofit!$J$12,0)</f>
        <v>194091.1449579832</v>
      </c>
      <c r="I23" s="122">
        <f t="shared" si="23"/>
        <v>194091.1449579832</v>
      </c>
      <c r="J23" s="219">
        <f t="shared" si="24"/>
        <v>1</v>
      </c>
      <c r="K23" s="220">
        <f>Deprec!AD22</f>
        <v>7140</v>
      </c>
      <c r="L23" s="122">
        <f t="shared" si="25"/>
        <v>186951.1449579832</v>
      </c>
      <c r="M23" s="221">
        <f t="shared" si="26"/>
        <v>0</v>
      </c>
      <c r="N23" s="122">
        <f t="shared" si="27"/>
        <v>186951.1449579832</v>
      </c>
      <c r="O23" s="438">
        <f>IF(N23&lt;0,0,(N23*Milk_Retrofit!$J$7))</f>
        <v>56085.343487394959</v>
      </c>
      <c r="P23" s="122">
        <f t="shared" si="28"/>
        <v>130865.80147058824</v>
      </c>
      <c r="Q23" s="123">
        <f t="shared" si="29"/>
        <v>0.67424921162126195</v>
      </c>
      <c r="T23" s="218">
        <f t="shared" si="30"/>
        <v>194091.1449579832</v>
      </c>
      <c r="U23" s="438">
        <f t="shared" si="31"/>
        <v>194091.1449579832</v>
      </c>
      <c r="V23" s="218">
        <f>IF(B23=0,Milk_Retrofit!$C$29,0)</f>
        <v>0</v>
      </c>
      <c r="W23" s="435">
        <f t="shared" si="32"/>
        <v>0</v>
      </c>
      <c r="X23" s="438">
        <f t="shared" si="33"/>
        <v>194091.1449579832</v>
      </c>
      <c r="Y23" s="184">
        <f>IF(B23=0,Milk_Retrofit!$G$15+Milk_Retrofit!$G$16,0)</f>
        <v>0</v>
      </c>
      <c r="Z23" s="185">
        <f>IF(B23=0,Milk_Retrofit!$G$14,0)</f>
        <v>0</v>
      </c>
      <c r="AA23" s="132">
        <f t="shared" si="34"/>
        <v>0</v>
      </c>
      <c r="AB23" s="218">
        <f t="shared" si="35"/>
        <v>194091.1449579832</v>
      </c>
      <c r="AC23" s="218">
        <f>Milk_Retrofit!$G$20*AVERAGE(AR23,AS23)</f>
        <v>0</v>
      </c>
      <c r="AD23" s="132">
        <f t="shared" si="36"/>
        <v>56085.343487394959</v>
      </c>
      <c r="AE23" s="132">
        <f t="shared" si="37"/>
        <v>194091.14495798323</v>
      </c>
      <c r="AF23" s="122">
        <f t="shared" si="38"/>
        <v>138005.80147058825</v>
      </c>
      <c r="AG23" s="438">
        <f t="shared" si="39"/>
        <v>138005.80147058825</v>
      </c>
      <c r="AH23" s="122">
        <f t="shared" si="40"/>
        <v>0</v>
      </c>
      <c r="AI23" s="122">
        <f t="shared" si="41"/>
        <v>0</v>
      </c>
      <c r="AJ23" s="122">
        <f>-Debt_Calc!DI21</f>
        <v>0</v>
      </c>
      <c r="AK23" s="122">
        <f>Debt_Calc!DJ21</f>
        <v>0</v>
      </c>
      <c r="AL23" s="122">
        <f t="shared" si="42"/>
        <v>0</v>
      </c>
      <c r="AM23" s="217">
        <f t="shared" si="43"/>
        <v>0</v>
      </c>
      <c r="AN23" s="122">
        <f t="shared" si="44"/>
        <v>138005.80147058825</v>
      </c>
      <c r="AO23" s="122">
        <f t="shared" si="45"/>
        <v>194091.14495798323</v>
      </c>
      <c r="AP23" s="122">
        <f t="shared" si="46"/>
        <v>138005.80147058825</v>
      </c>
      <c r="AQ23" s="122">
        <f t="shared" si="47"/>
        <v>0</v>
      </c>
      <c r="AR23" s="122">
        <f t="shared" si="48"/>
        <v>0</v>
      </c>
      <c r="AS23" s="122">
        <f t="shared" si="49"/>
        <v>0</v>
      </c>
      <c r="AT23" s="122">
        <f t="shared" si="50"/>
        <v>1379329.8064613359</v>
      </c>
      <c r="AU23" s="122">
        <f t="shared" si="51"/>
        <v>2</v>
      </c>
      <c r="AV23" s="222">
        <f t="shared" si="52"/>
        <v>0.12150123416332119</v>
      </c>
    </row>
    <row r="24" spans="2:48" s="86" customFormat="1" x14ac:dyDescent="0.3">
      <c r="B24" s="184">
        <f t="shared" si="18"/>
        <v>13</v>
      </c>
      <c r="C24" s="346">
        <f t="shared" si="19"/>
        <v>2034</v>
      </c>
      <c r="D24" s="347">
        <f t="shared" si="20"/>
        <v>48945</v>
      </c>
      <c r="E24" s="440">
        <f t="shared" si="21"/>
        <v>49309</v>
      </c>
      <c r="F24" s="732">
        <f>IF(AND(B24&gt;0,B24&lt;=Milk_Retrofit!$J$10),1,0)</f>
        <v>1</v>
      </c>
      <c r="G24" s="217">
        <f t="shared" si="22"/>
        <v>0</v>
      </c>
      <c r="H24" s="438">
        <f>(Milk_Retrofit!$M$16*F24)+IF(B24=Milk_Retrofit!$J$10,Milk_Retrofit!$J$12,0)</f>
        <v>194091.1449579832</v>
      </c>
      <c r="I24" s="122">
        <f t="shared" si="23"/>
        <v>194091.1449579832</v>
      </c>
      <c r="J24" s="219">
        <f t="shared" si="24"/>
        <v>1</v>
      </c>
      <c r="K24" s="220">
        <f>Deprec!AD23</f>
        <v>7140</v>
      </c>
      <c r="L24" s="122">
        <f t="shared" si="25"/>
        <v>186951.1449579832</v>
      </c>
      <c r="M24" s="221">
        <f t="shared" si="26"/>
        <v>0</v>
      </c>
      <c r="N24" s="122">
        <f t="shared" si="27"/>
        <v>186951.1449579832</v>
      </c>
      <c r="O24" s="438">
        <f>IF(N24&lt;0,0,(N24*Milk_Retrofit!$J$7))</f>
        <v>56085.343487394959</v>
      </c>
      <c r="P24" s="122">
        <f t="shared" si="28"/>
        <v>130865.80147058824</v>
      </c>
      <c r="Q24" s="123">
        <f t="shared" si="29"/>
        <v>0.67424921162126195</v>
      </c>
      <c r="T24" s="218">
        <f t="shared" si="30"/>
        <v>194091.1449579832</v>
      </c>
      <c r="U24" s="438">
        <f t="shared" si="31"/>
        <v>194091.1449579832</v>
      </c>
      <c r="V24" s="218">
        <f>IF(B24=0,Milk_Retrofit!$C$29,0)</f>
        <v>0</v>
      </c>
      <c r="W24" s="435">
        <f t="shared" si="32"/>
        <v>0</v>
      </c>
      <c r="X24" s="438">
        <f t="shared" si="33"/>
        <v>194091.1449579832</v>
      </c>
      <c r="Y24" s="184">
        <f>IF(B24=0,Milk_Retrofit!$G$15+Milk_Retrofit!$G$16,0)</f>
        <v>0</v>
      </c>
      <c r="Z24" s="185">
        <f>IF(B24=0,Milk_Retrofit!$G$14,0)</f>
        <v>0</v>
      </c>
      <c r="AA24" s="132">
        <f t="shared" si="34"/>
        <v>0</v>
      </c>
      <c r="AB24" s="218">
        <f t="shared" si="35"/>
        <v>194091.1449579832</v>
      </c>
      <c r="AC24" s="218">
        <f>Milk_Retrofit!$G$20*AVERAGE(AR24,AS24)</f>
        <v>0</v>
      </c>
      <c r="AD24" s="132">
        <f t="shared" si="36"/>
        <v>56085.343487394959</v>
      </c>
      <c r="AE24" s="132">
        <f t="shared" si="37"/>
        <v>194091.14495798323</v>
      </c>
      <c r="AF24" s="122">
        <f t="shared" si="38"/>
        <v>138005.80147058825</v>
      </c>
      <c r="AG24" s="438">
        <f t="shared" si="39"/>
        <v>138005.80147058825</v>
      </c>
      <c r="AH24" s="122">
        <f t="shared" si="40"/>
        <v>0</v>
      </c>
      <c r="AI24" s="122">
        <f t="shared" si="41"/>
        <v>0</v>
      </c>
      <c r="AJ24" s="122">
        <f>-Debt_Calc!DI22</f>
        <v>0</v>
      </c>
      <c r="AK24" s="122">
        <f>Debt_Calc!DJ22</f>
        <v>0</v>
      </c>
      <c r="AL24" s="122">
        <f t="shared" si="42"/>
        <v>0</v>
      </c>
      <c r="AM24" s="217">
        <f t="shared" si="43"/>
        <v>0</v>
      </c>
      <c r="AN24" s="122">
        <f t="shared" si="44"/>
        <v>138005.80147058825</v>
      </c>
      <c r="AO24" s="122">
        <f t="shared" si="45"/>
        <v>194091.14495798323</v>
      </c>
      <c r="AP24" s="122">
        <f t="shared" si="46"/>
        <v>138005.80147058825</v>
      </c>
      <c r="AQ24" s="122">
        <f t="shared" si="47"/>
        <v>0</v>
      </c>
      <c r="AR24" s="122">
        <f t="shared" si="48"/>
        <v>0</v>
      </c>
      <c r="AS24" s="122">
        <f t="shared" si="49"/>
        <v>0</v>
      </c>
      <c r="AT24" s="122">
        <f t="shared" si="50"/>
        <v>1517335.6079319241</v>
      </c>
      <c r="AU24" s="122">
        <f t="shared" si="51"/>
        <v>2</v>
      </c>
      <c r="AV24" s="222">
        <f t="shared" si="52"/>
        <v>3.8016398216871659E-2</v>
      </c>
    </row>
    <row r="25" spans="2:48" s="86" customFormat="1" x14ac:dyDescent="0.3">
      <c r="B25" s="184">
        <f t="shared" si="18"/>
        <v>14</v>
      </c>
      <c r="C25" s="346">
        <f t="shared" si="19"/>
        <v>2035</v>
      </c>
      <c r="D25" s="347">
        <f t="shared" si="20"/>
        <v>49310</v>
      </c>
      <c r="E25" s="440">
        <f t="shared" si="21"/>
        <v>49674</v>
      </c>
      <c r="F25" s="732">
        <f>IF(AND(B25&gt;0,B25&lt;=Milk_Retrofit!$J$10),1,0)</f>
        <v>1</v>
      </c>
      <c r="G25" s="217">
        <f t="shared" si="22"/>
        <v>0</v>
      </c>
      <c r="H25" s="438">
        <f>(Milk_Retrofit!$M$16*F25)+IF(B25=Milk_Retrofit!$J$10,Milk_Retrofit!$J$12,0)</f>
        <v>194091.1449579832</v>
      </c>
      <c r="I25" s="122">
        <f t="shared" si="23"/>
        <v>194091.1449579832</v>
      </c>
      <c r="J25" s="219">
        <f t="shared" si="24"/>
        <v>1</v>
      </c>
      <c r="K25" s="220">
        <f>Deprec!AD24</f>
        <v>7140</v>
      </c>
      <c r="L25" s="122">
        <f t="shared" si="25"/>
        <v>186951.1449579832</v>
      </c>
      <c r="M25" s="221">
        <f t="shared" si="26"/>
        <v>0</v>
      </c>
      <c r="N25" s="122">
        <f t="shared" si="27"/>
        <v>186951.1449579832</v>
      </c>
      <c r="O25" s="438">
        <f>IF(N25&lt;0,0,(N25*Milk_Retrofit!$J$7))</f>
        <v>56085.343487394959</v>
      </c>
      <c r="P25" s="122">
        <f t="shared" si="28"/>
        <v>130865.80147058824</v>
      </c>
      <c r="Q25" s="123">
        <f t="shared" si="29"/>
        <v>0.67424921162126195</v>
      </c>
      <c r="T25" s="218">
        <f t="shared" si="30"/>
        <v>194091.1449579832</v>
      </c>
      <c r="U25" s="438">
        <f t="shared" si="31"/>
        <v>194091.1449579832</v>
      </c>
      <c r="V25" s="218">
        <f>IF(B25=0,Milk_Retrofit!$C$29,0)</f>
        <v>0</v>
      </c>
      <c r="W25" s="435">
        <f t="shared" si="32"/>
        <v>0</v>
      </c>
      <c r="X25" s="438">
        <f t="shared" si="33"/>
        <v>194091.1449579832</v>
      </c>
      <c r="Y25" s="184">
        <f>IF(B25=0,Milk_Retrofit!$G$15+Milk_Retrofit!$G$16,0)</f>
        <v>0</v>
      </c>
      <c r="Z25" s="185">
        <f>IF(B25=0,Milk_Retrofit!$G$14,0)</f>
        <v>0</v>
      </c>
      <c r="AA25" s="132">
        <f t="shared" si="34"/>
        <v>0</v>
      </c>
      <c r="AB25" s="218">
        <f t="shared" si="35"/>
        <v>194091.1449579832</v>
      </c>
      <c r="AC25" s="218">
        <f>Milk_Retrofit!$G$20*AVERAGE(AR25,AS25)</f>
        <v>0</v>
      </c>
      <c r="AD25" s="132">
        <f t="shared" si="36"/>
        <v>56085.343487394959</v>
      </c>
      <c r="AE25" s="132">
        <f t="shared" si="37"/>
        <v>194091.14495798323</v>
      </c>
      <c r="AF25" s="122">
        <f t="shared" si="38"/>
        <v>138005.80147058825</v>
      </c>
      <c r="AG25" s="438">
        <f t="shared" si="39"/>
        <v>138005.80147058825</v>
      </c>
      <c r="AH25" s="122">
        <f t="shared" si="40"/>
        <v>0</v>
      </c>
      <c r="AI25" s="122">
        <f t="shared" si="41"/>
        <v>0</v>
      </c>
      <c r="AJ25" s="122">
        <f>-Debt_Calc!DI23</f>
        <v>0</v>
      </c>
      <c r="AK25" s="122">
        <f>Debt_Calc!DJ23</f>
        <v>0</v>
      </c>
      <c r="AL25" s="122">
        <f t="shared" si="42"/>
        <v>0</v>
      </c>
      <c r="AM25" s="217">
        <f t="shared" si="43"/>
        <v>0</v>
      </c>
      <c r="AN25" s="122">
        <f t="shared" si="44"/>
        <v>138005.80147058825</v>
      </c>
      <c r="AO25" s="122">
        <f t="shared" si="45"/>
        <v>194091.14495798323</v>
      </c>
      <c r="AP25" s="122">
        <f t="shared" si="46"/>
        <v>138005.80147058825</v>
      </c>
      <c r="AQ25" s="122">
        <f t="shared" si="47"/>
        <v>0</v>
      </c>
      <c r="AR25" s="122">
        <f t="shared" si="48"/>
        <v>0</v>
      </c>
      <c r="AS25" s="122">
        <f t="shared" si="49"/>
        <v>0</v>
      </c>
      <c r="AT25" s="122">
        <f t="shared" si="50"/>
        <v>1655341.4094025122</v>
      </c>
      <c r="AU25" s="122">
        <f t="shared" si="51"/>
        <v>2</v>
      </c>
      <c r="AV25" s="222">
        <f t="shared" si="52"/>
        <v>1.189491237135148E-2</v>
      </c>
    </row>
    <row r="26" spans="2:48" s="86" customFormat="1" x14ac:dyDescent="0.3">
      <c r="B26" s="184">
        <f t="shared" si="18"/>
        <v>15</v>
      </c>
      <c r="C26" s="346">
        <f t="shared" si="19"/>
        <v>2036</v>
      </c>
      <c r="D26" s="347">
        <f t="shared" si="20"/>
        <v>49675</v>
      </c>
      <c r="E26" s="440">
        <f t="shared" si="21"/>
        <v>50040</v>
      </c>
      <c r="F26" s="732">
        <f>IF(AND(B26&gt;0,B26&lt;=Milk_Retrofit!$J$10),1,0)</f>
        <v>1</v>
      </c>
      <c r="G26" s="217">
        <f t="shared" si="22"/>
        <v>0</v>
      </c>
      <c r="H26" s="438">
        <f>(Milk_Retrofit!$M$16*F26)+IF(B26=Milk_Retrofit!$J$10,Milk_Retrofit!$J$12,0)</f>
        <v>194091.1449579832</v>
      </c>
      <c r="I26" s="122">
        <f t="shared" si="23"/>
        <v>194091.1449579832</v>
      </c>
      <c r="J26" s="219">
        <f t="shared" si="24"/>
        <v>1</v>
      </c>
      <c r="K26" s="220">
        <f>Deprec!AD25</f>
        <v>7140</v>
      </c>
      <c r="L26" s="122">
        <f t="shared" si="25"/>
        <v>186951.1449579832</v>
      </c>
      <c r="M26" s="221">
        <f t="shared" si="26"/>
        <v>0</v>
      </c>
      <c r="N26" s="122">
        <f t="shared" si="27"/>
        <v>186951.1449579832</v>
      </c>
      <c r="O26" s="438">
        <f>IF(N26&lt;0,0,(N26*Milk_Retrofit!$J$7))</f>
        <v>56085.343487394959</v>
      </c>
      <c r="P26" s="122">
        <f t="shared" si="28"/>
        <v>130865.80147058824</v>
      </c>
      <c r="Q26" s="123">
        <f t="shared" si="29"/>
        <v>0.67424921162126195</v>
      </c>
      <c r="T26" s="218">
        <f t="shared" si="30"/>
        <v>194091.1449579832</v>
      </c>
      <c r="U26" s="438">
        <f t="shared" si="31"/>
        <v>194091.1449579832</v>
      </c>
      <c r="V26" s="218">
        <f>IF(B26=0,Milk_Retrofit!$C$29,0)</f>
        <v>0</v>
      </c>
      <c r="W26" s="435">
        <f t="shared" si="32"/>
        <v>0</v>
      </c>
      <c r="X26" s="438">
        <f t="shared" si="33"/>
        <v>194091.1449579832</v>
      </c>
      <c r="Y26" s="184">
        <f>IF(B26=0,Milk_Retrofit!$G$15+Milk_Retrofit!$G$16,0)</f>
        <v>0</v>
      </c>
      <c r="Z26" s="185">
        <f>IF(B26=0,Milk_Retrofit!$G$14,0)</f>
        <v>0</v>
      </c>
      <c r="AA26" s="132">
        <f t="shared" si="34"/>
        <v>0</v>
      </c>
      <c r="AB26" s="218">
        <f t="shared" si="35"/>
        <v>194091.1449579832</v>
      </c>
      <c r="AC26" s="218">
        <f>Milk_Retrofit!$G$20*AVERAGE(AR26,AS26)</f>
        <v>0</v>
      </c>
      <c r="AD26" s="132">
        <f t="shared" si="36"/>
        <v>56085.343487394959</v>
      </c>
      <c r="AE26" s="132">
        <f t="shared" si="37"/>
        <v>194091.14495798323</v>
      </c>
      <c r="AF26" s="122">
        <f t="shared" si="38"/>
        <v>138005.80147058825</v>
      </c>
      <c r="AG26" s="438">
        <f t="shared" si="39"/>
        <v>138005.80147058825</v>
      </c>
      <c r="AH26" s="122">
        <f t="shared" si="40"/>
        <v>0</v>
      </c>
      <c r="AI26" s="122">
        <f t="shared" si="41"/>
        <v>0</v>
      </c>
      <c r="AJ26" s="122">
        <f>-Debt_Calc!DI24</f>
        <v>0</v>
      </c>
      <c r="AK26" s="122">
        <f>Debt_Calc!DJ24</f>
        <v>0</v>
      </c>
      <c r="AL26" s="122">
        <f t="shared" si="42"/>
        <v>0</v>
      </c>
      <c r="AM26" s="217">
        <f t="shared" si="43"/>
        <v>0</v>
      </c>
      <c r="AN26" s="122">
        <f t="shared" si="44"/>
        <v>138005.80147058825</v>
      </c>
      <c r="AO26" s="122">
        <f t="shared" si="45"/>
        <v>194091.14495798323</v>
      </c>
      <c r="AP26" s="122">
        <f t="shared" si="46"/>
        <v>138005.80147058825</v>
      </c>
      <c r="AQ26" s="122">
        <f t="shared" si="47"/>
        <v>0</v>
      </c>
      <c r="AR26" s="122">
        <f t="shared" si="48"/>
        <v>0</v>
      </c>
      <c r="AS26" s="122">
        <f t="shared" si="49"/>
        <v>0</v>
      </c>
      <c r="AT26" s="122">
        <f t="shared" si="50"/>
        <v>1793347.2108731004</v>
      </c>
      <c r="AU26" s="122">
        <f t="shared" si="51"/>
        <v>2</v>
      </c>
      <c r="AV26" s="222">
        <f t="shared" si="52"/>
        <v>3.7217870960573481E-3</v>
      </c>
    </row>
    <row r="27" spans="2:48" s="86" customFormat="1" x14ac:dyDescent="0.3">
      <c r="B27" s="184">
        <f t="shared" si="18"/>
        <v>16</v>
      </c>
      <c r="C27" s="346">
        <f t="shared" si="19"/>
        <v>2037</v>
      </c>
      <c r="D27" s="347">
        <f t="shared" si="20"/>
        <v>50041</v>
      </c>
      <c r="E27" s="440">
        <f t="shared" si="21"/>
        <v>50405</v>
      </c>
      <c r="F27" s="732">
        <f>IF(AND(B27&gt;0,B27&lt;=Milk_Retrofit!$J$10),1,0)</f>
        <v>1</v>
      </c>
      <c r="G27" s="217">
        <f t="shared" si="22"/>
        <v>0</v>
      </c>
      <c r="H27" s="438">
        <f>(Milk_Retrofit!$M$16*F27)+IF(B27=Milk_Retrofit!$J$10,Milk_Retrofit!$J$12,0)</f>
        <v>194091.1449579832</v>
      </c>
      <c r="I27" s="122">
        <f t="shared" si="23"/>
        <v>194091.1449579832</v>
      </c>
      <c r="J27" s="219">
        <f t="shared" si="24"/>
        <v>1</v>
      </c>
      <c r="K27" s="220">
        <f>Deprec!AD26</f>
        <v>7140</v>
      </c>
      <c r="L27" s="122">
        <f t="shared" si="25"/>
        <v>186951.1449579832</v>
      </c>
      <c r="M27" s="221">
        <f t="shared" si="26"/>
        <v>0</v>
      </c>
      <c r="N27" s="122">
        <f t="shared" si="27"/>
        <v>186951.1449579832</v>
      </c>
      <c r="O27" s="438">
        <f>IF(N27&lt;0,0,(N27*Milk_Retrofit!$J$7))</f>
        <v>56085.343487394959</v>
      </c>
      <c r="P27" s="122">
        <f t="shared" si="28"/>
        <v>130865.80147058824</v>
      </c>
      <c r="Q27" s="123">
        <f t="shared" si="29"/>
        <v>0.67424921162126195</v>
      </c>
      <c r="T27" s="218">
        <f t="shared" si="30"/>
        <v>194091.1449579832</v>
      </c>
      <c r="U27" s="438">
        <f t="shared" si="31"/>
        <v>194091.1449579832</v>
      </c>
      <c r="V27" s="218">
        <f>IF(B27=0,Milk_Retrofit!$C$29,0)</f>
        <v>0</v>
      </c>
      <c r="W27" s="435">
        <f t="shared" si="32"/>
        <v>0</v>
      </c>
      <c r="X27" s="438">
        <f t="shared" si="33"/>
        <v>194091.1449579832</v>
      </c>
      <c r="Y27" s="184">
        <f>IF(B27=0,Milk_Retrofit!$G$15+Milk_Retrofit!$G$16,0)</f>
        <v>0</v>
      </c>
      <c r="Z27" s="185">
        <f>IF(B27=0,Milk_Retrofit!$G$14,0)</f>
        <v>0</v>
      </c>
      <c r="AA27" s="132">
        <f t="shared" si="34"/>
        <v>0</v>
      </c>
      <c r="AB27" s="218">
        <f t="shared" si="35"/>
        <v>194091.1449579832</v>
      </c>
      <c r="AC27" s="218">
        <f>Milk_Retrofit!$G$20*AVERAGE(AR27,AS27)</f>
        <v>0</v>
      </c>
      <c r="AD27" s="132">
        <f t="shared" si="36"/>
        <v>56085.343487394959</v>
      </c>
      <c r="AE27" s="132">
        <f t="shared" si="37"/>
        <v>194091.14495798323</v>
      </c>
      <c r="AF27" s="122">
        <f t="shared" si="38"/>
        <v>138005.80147058825</v>
      </c>
      <c r="AG27" s="438">
        <f t="shared" si="39"/>
        <v>138005.80147058825</v>
      </c>
      <c r="AH27" s="122">
        <f t="shared" si="40"/>
        <v>0</v>
      </c>
      <c r="AI27" s="122">
        <f t="shared" si="41"/>
        <v>0</v>
      </c>
      <c r="AJ27" s="122">
        <f>-Debt_Calc!DI25</f>
        <v>0</v>
      </c>
      <c r="AK27" s="122">
        <f>Debt_Calc!DJ25</f>
        <v>0</v>
      </c>
      <c r="AL27" s="122">
        <f t="shared" si="42"/>
        <v>0</v>
      </c>
      <c r="AM27" s="217">
        <f t="shared" si="43"/>
        <v>0</v>
      </c>
      <c r="AN27" s="122">
        <f t="shared" si="44"/>
        <v>138005.80147058825</v>
      </c>
      <c r="AO27" s="122">
        <f t="shared" si="45"/>
        <v>194091.14495798323</v>
      </c>
      <c r="AP27" s="122">
        <f t="shared" si="46"/>
        <v>138005.80147058825</v>
      </c>
      <c r="AQ27" s="122">
        <f t="shared" si="47"/>
        <v>0</v>
      </c>
      <c r="AR27" s="122">
        <f t="shared" si="48"/>
        <v>0</v>
      </c>
      <c r="AS27" s="122">
        <f t="shared" si="49"/>
        <v>0</v>
      </c>
      <c r="AT27" s="122">
        <f t="shared" si="50"/>
        <v>1931353.0123436886</v>
      </c>
      <c r="AU27" s="122">
        <f t="shared" si="51"/>
        <v>2</v>
      </c>
      <c r="AV27" s="222">
        <f t="shared" si="52"/>
        <v>1.1645061986114641E-3</v>
      </c>
    </row>
    <row r="28" spans="2:48" s="86" customFormat="1" x14ac:dyDescent="0.3">
      <c r="B28" s="184">
        <f t="shared" si="18"/>
        <v>17</v>
      </c>
      <c r="C28" s="346">
        <f t="shared" si="19"/>
        <v>2038</v>
      </c>
      <c r="D28" s="347">
        <f t="shared" si="20"/>
        <v>50406</v>
      </c>
      <c r="E28" s="440">
        <f t="shared" si="21"/>
        <v>50770</v>
      </c>
      <c r="F28" s="732">
        <f>IF(AND(B28&gt;0,B28&lt;=Milk_Retrofit!$J$10),1,0)</f>
        <v>1</v>
      </c>
      <c r="G28" s="217">
        <f t="shared" si="22"/>
        <v>0</v>
      </c>
      <c r="H28" s="438">
        <f>(Milk_Retrofit!$M$16*F28)+IF(B28=Milk_Retrofit!$J$10,Milk_Retrofit!$J$12,0)</f>
        <v>194091.1449579832</v>
      </c>
      <c r="I28" s="122">
        <f t="shared" si="23"/>
        <v>194091.1449579832</v>
      </c>
      <c r="J28" s="219">
        <f t="shared" si="24"/>
        <v>1</v>
      </c>
      <c r="K28" s="220">
        <f>Deprec!AD27</f>
        <v>7140</v>
      </c>
      <c r="L28" s="122">
        <f t="shared" si="25"/>
        <v>186951.1449579832</v>
      </c>
      <c r="M28" s="221">
        <f t="shared" si="26"/>
        <v>0</v>
      </c>
      <c r="N28" s="122">
        <f t="shared" si="27"/>
        <v>186951.1449579832</v>
      </c>
      <c r="O28" s="438">
        <f>IF(N28&lt;0,0,(N28*Milk_Retrofit!$J$7))</f>
        <v>56085.343487394959</v>
      </c>
      <c r="P28" s="122">
        <f t="shared" si="28"/>
        <v>130865.80147058824</v>
      </c>
      <c r="Q28" s="123">
        <f t="shared" si="29"/>
        <v>0.67424921162126195</v>
      </c>
      <c r="T28" s="218">
        <f t="shared" si="30"/>
        <v>194091.1449579832</v>
      </c>
      <c r="U28" s="438">
        <f t="shared" si="31"/>
        <v>194091.1449579832</v>
      </c>
      <c r="V28" s="218">
        <f>IF(B28=0,Milk_Retrofit!$C$29,0)</f>
        <v>0</v>
      </c>
      <c r="W28" s="435">
        <f t="shared" si="32"/>
        <v>0</v>
      </c>
      <c r="X28" s="438">
        <f t="shared" si="33"/>
        <v>194091.1449579832</v>
      </c>
      <c r="Y28" s="184">
        <f>IF(B28=0,Milk_Retrofit!$G$15+Milk_Retrofit!$G$16,0)</f>
        <v>0</v>
      </c>
      <c r="Z28" s="185">
        <f>IF(B28=0,Milk_Retrofit!$G$14,0)</f>
        <v>0</v>
      </c>
      <c r="AA28" s="132">
        <f t="shared" si="34"/>
        <v>0</v>
      </c>
      <c r="AB28" s="218">
        <f t="shared" si="35"/>
        <v>194091.1449579832</v>
      </c>
      <c r="AC28" s="218">
        <f>Milk_Retrofit!$G$20*AVERAGE(AR28,AS28)</f>
        <v>0</v>
      </c>
      <c r="AD28" s="132">
        <f t="shared" si="36"/>
        <v>56085.343487394959</v>
      </c>
      <c r="AE28" s="132">
        <f t="shared" si="37"/>
        <v>194091.14495798323</v>
      </c>
      <c r="AF28" s="122">
        <f t="shared" si="38"/>
        <v>138005.80147058825</v>
      </c>
      <c r="AG28" s="438">
        <f t="shared" si="39"/>
        <v>138005.80147058825</v>
      </c>
      <c r="AH28" s="122">
        <f t="shared" si="40"/>
        <v>0</v>
      </c>
      <c r="AI28" s="122">
        <f t="shared" si="41"/>
        <v>0</v>
      </c>
      <c r="AJ28" s="122">
        <f>-Debt_Calc!DI26</f>
        <v>0</v>
      </c>
      <c r="AK28" s="122">
        <f>Debt_Calc!DJ26</f>
        <v>0</v>
      </c>
      <c r="AL28" s="122">
        <f t="shared" si="42"/>
        <v>0</v>
      </c>
      <c r="AM28" s="217">
        <f t="shared" si="43"/>
        <v>0</v>
      </c>
      <c r="AN28" s="122">
        <f t="shared" si="44"/>
        <v>138005.80147058825</v>
      </c>
      <c r="AO28" s="122">
        <f t="shared" si="45"/>
        <v>194091.14495798323</v>
      </c>
      <c r="AP28" s="122">
        <f t="shared" si="46"/>
        <v>138005.80147058825</v>
      </c>
      <c r="AQ28" s="122">
        <f t="shared" si="47"/>
        <v>0</v>
      </c>
      <c r="AR28" s="122">
        <f t="shared" si="48"/>
        <v>0</v>
      </c>
      <c r="AS28" s="122">
        <f t="shared" si="49"/>
        <v>0</v>
      </c>
      <c r="AT28" s="122">
        <f t="shared" si="50"/>
        <v>2069358.8138142768</v>
      </c>
      <c r="AU28" s="122">
        <f t="shared" si="51"/>
        <v>2</v>
      </c>
      <c r="AV28" s="222">
        <f t="shared" si="52"/>
        <v>3.6436116618306081E-4</v>
      </c>
    </row>
    <row r="29" spans="2:48" s="86" customFormat="1" x14ac:dyDescent="0.3">
      <c r="B29" s="184">
        <f t="shared" si="18"/>
        <v>18</v>
      </c>
      <c r="C29" s="346">
        <f t="shared" si="19"/>
        <v>2039</v>
      </c>
      <c r="D29" s="347">
        <f t="shared" si="20"/>
        <v>50771</v>
      </c>
      <c r="E29" s="440">
        <f t="shared" si="21"/>
        <v>51135</v>
      </c>
      <c r="F29" s="732">
        <f>IF(AND(B29&gt;0,B29&lt;=Milk_Retrofit!$J$10),1,0)</f>
        <v>1</v>
      </c>
      <c r="G29" s="217">
        <f t="shared" si="22"/>
        <v>0</v>
      </c>
      <c r="H29" s="438">
        <f>(Milk_Retrofit!$M$16*F29)+IF(B29=Milk_Retrofit!$J$10,Milk_Retrofit!$J$12,0)</f>
        <v>194091.1449579832</v>
      </c>
      <c r="I29" s="122">
        <f t="shared" si="23"/>
        <v>194091.1449579832</v>
      </c>
      <c r="J29" s="219">
        <f t="shared" si="24"/>
        <v>1</v>
      </c>
      <c r="K29" s="220">
        <f>Deprec!AD28</f>
        <v>7140</v>
      </c>
      <c r="L29" s="122">
        <f t="shared" si="25"/>
        <v>186951.1449579832</v>
      </c>
      <c r="M29" s="221">
        <f t="shared" si="26"/>
        <v>0</v>
      </c>
      <c r="N29" s="122">
        <f t="shared" si="27"/>
        <v>186951.1449579832</v>
      </c>
      <c r="O29" s="438">
        <f>IF(N29&lt;0,0,(N29*Milk_Retrofit!$J$7))</f>
        <v>56085.343487394959</v>
      </c>
      <c r="P29" s="122">
        <f t="shared" si="28"/>
        <v>130865.80147058824</v>
      </c>
      <c r="Q29" s="123">
        <f t="shared" si="29"/>
        <v>0.67424921162126195</v>
      </c>
      <c r="T29" s="218">
        <f t="shared" si="30"/>
        <v>194091.1449579832</v>
      </c>
      <c r="U29" s="438">
        <f t="shared" si="31"/>
        <v>194091.1449579832</v>
      </c>
      <c r="V29" s="218">
        <f>IF(B29=0,Milk_Retrofit!$C$29,0)</f>
        <v>0</v>
      </c>
      <c r="W29" s="435">
        <f t="shared" si="32"/>
        <v>0</v>
      </c>
      <c r="X29" s="438">
        <f t="shared" si="33"/>
        <v>194091.1449579832</v>
      </c>
      <c r="Y29" s="184">
        <f>IF(B29=0,Milk_Retrofit!$G$15+Milk_Retrofit!$G$16,0)</f>
        <v>0</v>
      </c>
      <c r="Z29" s="185">
        <f>IF(B29=0,Milk_Retrofit!$G$14,0)</f>
        <v>0</v>
      </c>
      <c r="AA29" s="132">
        <f t="shared" si="34"/>
        <v>0</v>
      </c>
      <c r="AB29" s="218">
        <f t="shared" si="35"/>
        <v>194091.1449579832</v>
      </c>
      <c r="AC29" s="218">
        <f>Milk_Retrofit!$G$20*AVERAGE(AR29,AS29)</f>
        <v>0</v>
      </c>
      <c r="AD29" s="132">
        <f t="shared" si="36"/>
        <v>56085.343487394959</v>
      </c>
      <c r="AE29" s="132">
        <f t="shared" si="37"/>
        <v>194091.14495798323</v>
      </c>
      <c r="AF29" s="122">
        <f t="shared" si="38"/>
        <v>138005.80147058825</v>
      </c>
      <c r="AG29" s="438">
        <f t="shared" si="39"/>
        <v>138005.80147058825</v>
      </c>
      <c r="AH29" s="122">
        <f t="shared" si="40"/>
        <v>0</v>
      </c>
      <c r="AI29" s="122">
        <f t="shared" si="41"/>
        <v>0</v>
      </c>
      <c r="AJ29" s="122">
        <f>-Debt_Calc!DI27</f>
        <v>0</v>
      </c>
      <c r="AK29" s="122">
        <f>Debt_Calc!DJ27</f>
        <v>0</v>
      </c>
      <c r="AL29" s="122">
        <f t="shared" si="42"/>
        <v>0</v>
      </c>
      <c r="AM29" s="217">
        <f t="shared" si="43"/>
        <v>0</v>
      </c>
      <c r="AN29" s="122">
        <f t="shared" si="44"/>
        <v>138005.80147058825</v>
      </c>
      <c r="AO29" s="122">
        <f t="shared" si="45"/>
        <v>194091.14495798323</v>
      </c>
      <c r="AP29" s="122">
        <f t="shared" si="46"/>
        <v>138005.80147058825</v>
      </c>
      <c r="AQ29" s="122">
        <f t="shared" si="47"/>
        <v>0</v>
      </c>
      <c r="AR29" s="122">
        <f t="shared" si="48"/>
        <v>0</v>
      </c>
      <c r="AS29" s="122">
        <f t="shared" si="49"/>
        <v>0</v>
      </c>
      <c r="AT29" s="122">
        <f t="shared" si="50"/>
        <v>2207364.6152848653</v>
      </c>
      <c r="AU29" s="122">
        <f t="shared" si="51"/>
        <v>2</v>
      </c>
      <c r="AV29" s="222">
        <f t="shared" si="52"/>
        <v>1.1400459660977288E-4</v>
      </c>
    </row>
    <row r="30" spans="2:48" s="86" customFormat="1" x14ac:dyDescent="0.3">
      <c r="B30" s="184">
        <f t="shared" si="18"/>
        <v>19</v>
      </c>
      <c r="C30" s="346">
        <f t="shared" si="19"/>
        <v>2040</v>
      </c>
      <c r="D30" s="347">
        <f t="shared" si="20"/>
        <v>51136</v>
      </c>
      <c r="E30" s="440">
        <f t="shared" si="21"/>
        <v>51501</v>
      </c>
      <c r="F30" s="732">
        <f>IF(AND(B30&gt;0,B30&lt;=Milk_Retrofit!$J$10),1,0)</f>
        <v>1</v>
      </c>
      <c r="G30" s="217">
        <f t="shared" si="22"/>
        <v>0</v>
      </c>
      <c r="H30" s="438">
        <f>(Milk_Retrofit!$M$16*F30)+IF(B30=Milk_Retrofit!$J$10,Milk_Retrofit!$J$12,0)</f>
        <v>194091.1449579832</v>
      </c>
      <c r="I30" s="122">
        <f t="shared" si="23"/>
        <v>194091.1449579832</v>
      </c>
      <c r="J30" s="219">
        <f t="shared" si="24"/>
        <v>1</v>
      </c>
      <c r="K30" s="220">
        <f>Deprec!AD29</f>
        <v>7140</v>
      </c>
      <c r="L30" s="122">
        <f t="shared" si="25"/>
        <v>186951.1449579832</v>
      </c>
      <c r="M30" s="221">
        <f t="shared" si="26"/>
        <v>0</v>
      </c>
      <c r="N30" s="122">
        <f t="shared" si="27"/>
        <v>186951.1449579832</v>
      </c>
      <c r="O30" s="438">
        <f>IF(N30&lt;0,0,(N30*Milk_Retrofit!$J$7))</f>
        <v>56085.343487394959</v>
      </c>
      <c r="P30" s="122">
        <f t="shared" si="28"/>
        <v>130865.80147058824</v>
      </c>
      <c r="Q30" s="123">
        <f t="shared" si="29"/>
        <v>0.67424921162126195</v>
      </c>
      <c r="T30" s="218">
        <f t="shared" si="30"/>
        <v>194091.1449579832</v>
      </c>
      <c r="U30" s="438">
        <f t="shared" si="31"/>
        <v>194091.1449579832</v>
      </c>
      <c r="V30" s="218">
        <f>IF(B30=0,Milk_Retrofit!$C$29,0)</f>
        <v>0</v>
      </c>
      <c r="W30" s="435">
        <f t="shared" si="32"/>
        <v>0</v>
      </c>
      <c r="X30" s="438">
        <f t="shared" si="33"/>
        <v>194091.1449579832</v>
      </c>
      <c r="Y30" s="184">
        <f>IF(B30=0,Milk_Retrofit!$G$15+Milk_Retrofit!$G$16,0)</f>
        <v>0</v>
      </c>
      <c r="Z30" s="185">
        <f>IF(B30=0,Milk_Retrofit!$G$14,0)</f>
        <v>0</v>
      </c>
      <c r="AA30" s="132">
        <f t="shared" si="34"/>
        <v>0</v>
      </c>
      <c r="AB30" s="218">
        <f t="shared" si="35"/>
        <v>194091.1449579832</v>
      </c>
      <c r="AC30" s="218">
        <f>Milk_Retrofit!$G$20*AVERAGE(AR30,AS30)</f>
        <v>0</v>
      </c>
      <c r="AD30" s="132">
        <f t="shared" si="36"/>
        <v>56085.343487394959</v>
      </c>
      <c r="AE30" s="132">
        <f t="shared" si="37"/>
        <v>194091.14495798323</v>
      </c>
      <c r="AF30" s="122">
        <f t="shared" si="38"/>
        <v>138005.80147058825</v>
      </c>
      <c r="AG30" s="438">
        <f t="shared" si="39"/>
        <v>138005.80147058825</v>
      </c>
      <c r="AH30" s="122">
        <f t="shared" si="40"/>
        <v>0</v>
      </c>
      <c r="AI30" s="122">
        <f t="shared" si="41"/>
        <v>0</v>
      </c>
      <c r="AJ30" s="122">
        <f>-Debt_Calc!DI28</f>
        <v>0</v>
      </c>
      <c r="AK30" s="122">
        <f>Debt_Calc!DJ28</f>
        <v>0</v>
      </c>
      <c r="AL30" s="122">
        <f t="shared" si="42"/>
        <v>0</v>
      </c>
      <c r="AM30" s="217">
        <f t="shared" si="43"/>
        <v>0</v>
      </c>
      <c r="AN30" s="122">
        <f t="shared" si="44"/>
        <v>138005.80147058825</v>
      </c>
      <c r="AO30" s="122">
        <f t="shared" si="45"/>
        <v>194091.14495798323</v>
      </c>
      <c r="AP30" s="122">
        <f t="shared" si="46"/>
        <v>138005.80147058825</v>
      </c>
      <c r="AQ30" s="122">
        <f t="shared" si="47"/>
        <v>0</v>
      </c>
      <c r="AR30" s="122">
        <f t="shared" si="48"/>
        <v>0</v>
      </c>
      <c r="AS30" s="122">
        <f t="shared" si="49"/>
        <v>0</v>
      </c>
      <c r="AT30" s="122">
        <f t="shared" si="50"/>
        <v>2345370.4167554537</v>
      </c>
      <c r="AU30" s="122">
        <f t="shared" si="51"/>
        <v>2</v>
      </c>
      <c r="AV30" s="222">
        <f t="shared" si="52"/>
        <v>3.5670782878181704E-5</v>
      </c>
    </row>
    <row r="31" spans="2:48" s="86" customFormat="1" x14ac:dyDescent="0.3">
      <c r="B31" s="184">
        <f t="shared" si="18"/>
        <v>20</v>
      </c>
      <c r="C31" s="346">
        <f t="shared" si="19"/>
        <v>2041</v>
      </c>
      <c r="D31" s="347">
        <f t="shared" si="20"/>
        <v>51502</v>
      </c>
      <c r="E31" s="440">
        <f t="shared" si="21"/>
        <v>51866</v>
      </c>
      <c r="F31" s="732">
        <f>IF(AND(B31&gt;0,B31&lt;=Milk_Retrofit!$J$10),1,0)</f>
        <v>1</v>
      </c>
      <c r="G31" s="217">
        <f t="shared" si="22"/>
        <v>0</v>
      </c>
      <c r="H31" s="438">
        <f>(Milk_Retrofit!$M$16*F31)+IF(B31=Milk_Retrofit!$J$10,Milk_Retrofit!$J$12,0)</f>
        <v>194091.1449579832</v>
      </c>
      <c r="I31" s="122">
        <f t="shared" si="23"/>
        <v>194091.1449579832</v>
      </c>
      <c r="J31" s="219">
        <f t="shared" si="24"/>
        <v>1</v>
      </c>
      <c r="K31" s="220">
        <f>Deprec!AD30</f>
        <v>7140</v>
      </c>
      <c r="L31" s="122">
        <f t="shared" si="25"/>
        <v>186951.1449579832</v>
      </c>
      <c r="M31" s="221">
        <f t="shared" si="26"/>
        <v>0</v>
      </c>
      <c r="N31" s="122">
        <f t="shared" si="27"/>
        <v>186951.1449579832</v>
      </c>
      <c r="O31" s="438">
        <f>IF(N31&lt;0,0,(N31*Milk_Retrofit!$J$7))</f>
        <v>56085.343487394959</v>
      </c>
      <c r="P31" s="122">
        <f t="shared" si="28"/>
        <v>130865.80147058824</v>
      </c>
      <c r="Q31" s="123">
        <f t="shared" si="29"/>
        <v>0.67424921162126195</v>
      </c>
      <c r="T31" s="218">
        <f t="shared" si="30"/>
        <v>194091.1449579832</v>
      </c>
      <c r="U31" s="438">
        <f t="shared" si="31"/>
        <v>194091.1449579832</v>
      </c>
      <c r="V31" s="218">
        <f>IF(B31=0,Milk_Retrofit!$C$29,0)</f>
        <v>0</v>
      </c>
      <c r="W31" s="435">
        <f t="shared" si="32"/>
        <v>0</v>
      </c>
      <c r="X31" s="438">
        <f t="shared" si="33"/>
        <v>194091.1449579832</v>
      </c>
      <c r="Y31" s="184">
        <f>IF(B31=0,Milk_Retrofit!$G$15+Milk_Retrofit!$G$16,0)</f>
        <v>0</v>
      </c>
      <c r="Z31" s="185">
        <f>IF(B31=0,Milk_Retrofit!$G$14,0)</f>
        <v>0</v>
      </c>
      <c r="AA31" s="132">
        <f t="shared" si="34"/>
        <v>0</v>
      </c>
      <c r="AB31" s="218">
        <f t="shared" si="35"/>
        <v>194091.1449579832</v>
      </c>
      <c r="AC31" s="218">
        <f>Milk_Retrofit!$G$20*AVERAGE(AR31,AS31)</f>
        <v>0</v>
      </c>
      <c r="AD31" s="132">
        <f t="shared" si="36"/>
        <v>56085.343487394959</v>
      </c>
      <c r="AE31" s="132">
        <f t="shared" si="37"/>
        <v>194091.14495798323</v>
      </c>
      <c r="AF31" s="122">
        <f t="shared" si="38"/>
        <v>138005.80147058825</v>
      </c>
      <c r="AG31" s="438">
        <f t="shared" si="39"/>
        <v>138005.80147058825</v>
      </c>
      <c r="AH31" s="122">
        <f t="shared" si="40"/>
        <v>0</v>
      </c>
      <c r="AI31" s="122">
        <f t="shared" si="41"/>
        <v>0</v>
      </c>
      <c r="AJ31" s="122">
        <f>-Debt_Calc!DI29</f>
        <v>0</v>
      </c>
      <c r="AK31" s="122">
        <f>Debt_Calc!DJ29</f>
        <v>0</v>
      </c>
      <c r="AL31" s="122">
        <f t="shared" si="42"/>
        <v>0</v>
      </c>
      <c r="AM31" s="217">
        <f t="shared" si="43"/>
        <v>0</v>
      </c>
      <c r="AN31" s="122">
        <f t="shared" si="44"/>
        <v>138005.80147058825</v>
      </c>
      <c r="AO31" s="122">
        <f t="shared" si="45"/>
        <v>194091.14495798323</v>
      </c>
      <c r="AP31" s="122">
        <f t="shared" si="46"/>
        <v>138005.80147058825</v>
      </c>
      <c r="AQ31" s="122">
        <f t="shared" si="47"/>
        <v>0</v>
      </c>
      <c r="AR31" s="122">
        <f t="shared" si="48"/>
        <v>0</v>
      </c>
      <c r="AS31" s="122">
        <f t="shared" si="49"/>
        <v>0</v>
      </c>
      <c r="AT31" s="122">
        <f t="shared" si="50"/>
        <v>2483376.2182260421</v>
      </c>
      <c r="AU31" s="122">
        <f t="shared" si="51"/>
        <v>2</v>
      </c>
      <c r="AV31" s="222">
        <f t="shared" si="52"/>
        <v>1.1160995161429355E-5</v>
      </c>
    </row>
    <row r="32" spans="2:48" s="86" customFormat="1" x14ac:dyDescent="0.3">
      <c r="B32" s="184">
        <f t="shared" si="18"/>
        <v>21</v>
      </c>
      <c r="C32" s="346">
        <f t="shared" si="19"/>
        <v>2042</v>
      </c>
      <c r="D32" s="347">
        <f t="shared" si="20"/>
        <v>51867</v>
      </c>
      <c r="E32" s="440">
        <f t="shared" si="21"/>
        <v>52231</v>
      </c>
      <c r="F32" s="732">
        <f>IF(AND(B32&gt;0,B32&lt;=Milk_Retrofit!$J$10),1,0)</f>
        <v>1</v>
      </c>
      <c r="G32" s="217">
        <f t="shared" si="22"/>
        <v>0</v>
      </c>
      <c r="H32" s="438">
        <f>(Milk_Retrofit!$M$16*F32)+IF(B32=Milk_Retrofit!$J$10,Milk_Retrofit!$J$12,0)</f>
        <v>194091.1449579832</v>
      </c>
      <c r="I32" s="122">
        <f t="shared" si="23"/>
        <v>194091.1449579832</v>
      </c>
      <c r="J32" s="219">
        <f t="shared" si="24"/>
        <v>1</v>
      </c>
      <c r="K32" s="220">
        <f>Deprec!AD31</f>
        <v>7140</v>
      </c>
      <c r="L32" s="122">
        <f t="shared" si="25"/>
        <v>186951.1449579832</v>
      </c>
      <c r="M32" s="221">
        <f t="shared" si="26"/>
        <v>0</v>
      </c>
      <c r="N32" s="122">
        <f t="shared" si="27"/>
        <v>186951.1449579832</v>
      </c>
      <c r="O32" s="438">
        <f>IF(N32&lt;0,0,(N32*Milk_Retrofit!$J$7))</f>
        <v>56085.343487394959</v>
      </c>
      <c r="P32" s="122">
        <f t="shared" si="28"/>
        <v>130865.80147058824</v>
      </c>
      <c r="Q32" s="123">
        <f t="shared" si="29"/>
        <v>0.67424921162126195</v>
      </c>
      <c r="T32" s="218">
        <f t="shared" si="30"/>
        <v>194091.1449579832</v>
      </c>
      <c r="U32" s="438">
        <f t="shared" si="31"/>
        <v>194091.1449579832</v>
      </c>
      <c r="V32" s="218">
        <f>IF(B32=0,Milk_Retrofit!$C$29,0)</f>
        <v>0</v>
      </c>
      <c r="W32" s="435">
        <f t="shared" si="32"/>
        <v>0</v>
      </c>
      <c r="X32" s="438">
        <f t="shared" si="33"/>
        <v>194091.1449579832</v>
      </c>
      <c r="Y32" s="184">
        <f>IF(B32=0,Milk_Retrofit!$G$15+Milk_Retrofit!$G$16,0)</f>
        <v>0</v>
      </c>
      <c r="Z32" s="185">
        <f>IF(B32=0,Milk_Retrofit!$G$14,0)</f>
        <v>0</v>
      </c>
      <c r="AA32" s="132">
        <f t="shared" si="34"/>
        <v>0</v>
      </c>
      <c r="AB32" s="218">
        <f t="shared" si="35"/>
        <v>194091.1449579832</v>
      </c>
      <c r="AC32" s="218">
        <f>Milk_Retrofit!$G$20*AVERAGE(AR32,AS32)</f>
        <v>0</v>
      </c>
      <c r="AD32" s="132">
        <f t="shared" si="36"/>
        <v>56085.343487394959</v>
      </c>
      <c r="AE32" s="132">
        <f t="shared" si="37"/>
        <v>194091.14495798323</v>
      </c>
      <c r="AF32" s="122">
        <f t="shared" si="38"/>
        <v>138005.80147058825</v>
      </c>
      <c r="AG32" s="438">
        <f t="shared" si="39"/>
        <v>138005.80147058825</v>
      </c>
      <c r="AH32" s="122">
        <f t="shared" si="40"/>
        <v>0</v>
      </c>
      <c r="AI32" s="122">
        <f t="shared" si="41"/>
        <v>0</v>
      </c>
      <c r="AJ32" s="122">
        <f>-Debt_Calc!DI30</f>
        <v>0</v>
      </c>
      <c r="AK32" s="122">
        <f>Debt_Calc!DJ30</f>
        <v>0</v>
      </c>
      <c r="AL32" s="122">
        <f t="shared" si="42"/>
        <v>0</v>
      </c>
      <c r="AM32" s="217">
        <f t="shared" si="43"/>
        <v>0</v>
      </c>
      <c r="AN32" s="122">
        <f t="shared" si="44"/>
        <v>138005.80147058825</v>
      </c>
      <c r="AO32" s="122">
        <f t="shared" si="45"/>
        <v>194091.14495798323</v>
      </c>
      <c r="AP32" s="122">
        <f t="shared" si="46"/>
        <v>138005.80147058825</v>
      </c>
      <c r="AQ32" s="122">
        <f t="shared" si="47"/>
        <v>0</v>
      </c>
      <c r="AR32" s="122">
        <f t="shared" si="48"/>
        <v>0</v>
      </c>
      <c r="AS32" s="122">
        <f t="shared" si="49"/>
        <v>0</v>
      </c>
      <c r="AT32" s="122">
        <f t="shared" si="50"/>
        <v>2621382.0196966305</v>
      </c>
      <c r="AU32" s="122">
        <f t="shared" si="51"/>
        <v>2</v>
      </c>
      <c r="AV32" s="222">
        <f t="shared" si="52"/>
        <v>3.4921524828557188E-6</v>
      </c>
    </row>
    <row r="33" spans="2:67" s="86" customFormat="1" x14ac:dyDescent="0.3">
      <c r="B33" s="184">
        <f t="shared" si="18"/>
        <v>22</v>
      </c>
      <c r="C33" s="346">
        <f t="shared" si="19"/>
        <v>2043</v>
      </c>
      <c r="D33" s="347">
        <f t="shared" si="20"/>
        <v>52232</v>
      </c>
      <c r="E33" s="440">
        <f t="shared" si="21"/>
        <v>52596</v>
      </c>
      <c r="F33" s="732">
        <f>IF(AND(B33&gt;0,B33&lt;=Milk_Retrofit!$J$10),1,0)</f>
        <v>1</v>
      </c>
      <c r="G33" s="217">
        <f t="shared" si="22"/>
        <v>0</v>
      </c>
      <c r="H33" s="438">
        <f>(Milk_Retrofit!$M$16*F33)+IF(B33=Milk_Retrofit!$J$10,Milk_Retrofit!$J$12,0)</f>
        <v>194091.1449579832</v>
      </c>
      <c r="I33" s="122">
        <f t="shared" si="23"/>
        <v>194091.1449579832</v>
      </c>
      <c r="J33" s="219">
        <f t="shared" si="24"/>
        <v>1</v>
      </c>
      <c r="K33" s="220">
        <f>Deprec!AD32</f>
        <v>7140</v>
      </c>
      <c r="L33" s="122">
        <f t="shared" si="25"/>
        <v>186951.1449579832</v>
      </c>
      <c r="M33" s="221">
        <f t="shared" si="26"/>
        <v>0</v>
      </c>
      <c r="N33" s="122">
        <f t="shared" si="27"/>
        <v>186951.1449579832</v>
      </c>
      <c r="O33" s="438">
        <f>IF(N33&lt;0,0,(N33*Milk_Retrofit!$J$7))</f>
        <v>56085.343487394959</v>
      </c>
      <c r="P33" s="122">
        <f t="shared" si="28"/>
        <v>130865.80147058824</v>
      </c>
      <c r="Q33" s="123">
        <f t="shared" si="29"/>
        <v>0.67424921162126195</v>
      </c>
      <c r="T33" s="218">
        <f t="shared" si="30"/>
        <v>194091.1449579832</v>
      </c>
      <c r="U33" s="438">
        <f t="shared" si="31"/>
        <v>194091.1449579832</v>
      </c>
      <c r="V33" s="218">
        <f>IF(B33=0,Milk_Retrofit!$C$29,0)</f>
        <v>0</v>
      </c>
      <c r="W33" s="435">
        <f t="shared" si="32"/>
        <v>0</v>
      </c>
      <c r="X33" s="438">
        <f t="shared" si="33"/>
        <v>194091.1449579832</v>
      </c>
      <c r="Y33" s="184">
        <f>IF(B33=0,Milk_Retrofit!$G$15+Milk_Retrofit!$G$16,0)</f>
        <v>0</v>
      </c>
      <c r="Z33" s="185">
        <f>IF(B33=0,Milk_Retrofit!$G$14,0)</f>
        <v>0</v>
      </c>
      <c r="AA33" s="132">
        <f t="shared" si="34"/>
        <v>0</v>
      </c>
      <c r="AB33" s="218">
        <f t="shared" si="35"/>
        <v>194091.1449579832</v>
      </c>
      <c r="AC33" s="218">
        <f>Milk_Retrofit!$G$20*AVERAGE(AR33,AS33)</f>
        <v>0</v>
      </c>
      <c r="AD33" s="132">
        <f t="shared" si="36"/>
        <v>56085.343487394959</v>
      </c>
      <c r="AE33" s="132">
        <f t="shared" si="37"/>
        <v>194091.14495798323</v>
      </c>
      <c r="AF33" s="122">
        <f t="shared" si="38"/>
        <v>138005.80147058825</v>
      </c>
      <c r="AG33" s="438">
        <f t="shared" si="39"/>
        <v>138005.80147058825</v>
      </c>
      <c r="AH33" s="122">
        <f t="shared" si="40"/>
        <v>0</v>
      </c>
      <c r="AI33" s="122">
        <f t="shared" si="41"/>
        <v>0</v>
      </c>
      <c r="AJ33" s="122">
        <f>-Debt_Calc!DI31</f>
        <v>0</v>
      </c>
      <c r="AK33" s="122">
        <f>Debt_Calc!DJ31</f>
        <v>0</v>
      </c>
      <c r="AL33" s="122">
        <f t="shared" si="42"/>
        <v>0</v>
      </c>
      <c r="AM33" s="217">
        <f t="shared" si="43"/>
        <v>0</v>
      </c>
      <c r="AN33" s="122">
        <f t="shared" si="44"/>
        <v>138005.80147058825</v>
      </c>
      <c r="AO33" s="122">
        <f t="shared" si="45"/>
        <v>194091.14495798323</v>
      </c>
      <c r="AP33" s="122">
        <f t="shared" si="46"/>
        <v>138005.80147058825</v>
      </c>
      <c r="AQ33" s="122">
        <f t="shared" si="47"/>
        <v>0</v>
      </c>
      <c r="AR33" s="122">
        <f t="shared" si="48"/>
        <v>0</v>
      </c>
      <c r="AS33" s="122">
        <f t="shared" si="49"/>
        <v>0</v>
      </c>
      <c r="AT33" s="122">
        <f t="shared" si="50"/>
        <v>2759387.821167219</v>
      </c>
      <c r="AU33" s="122">
        <f t="shared" si="51"/>
        <v>2</v>
      </c>
      <c r="AV33" s="222">
        <f t="shared" si="52"/>
        <v>1.0926560568415806E-6</v>
      </c>
    </row>
    <row r="34" spans="2:67" s="86" customFormat="1" x14ac:dyDescent="0.3">
      <c r="B34" s="184">
        <f t="shared" si="18"/>
        <v>23</v>
      </c>
      <c r="C34" s="346">
        <f t="shared" si="19"/>
        <v>2044</v>
      </c>
      <c r="D34" s="347">
        <f t="shared" si="20"/>
        <v>52597</v>
      </c>
      <c r="E34" s="440">
        <f t="shared" si="21"/>
        <v>52962</v>
      </c>
      <c r="F34" s="732">
        <f>IF(AND(B34&gt;0,B34&lt;=Milk_Retrofit!$J$10),1,0)</f>
        <v>1</v>
      </c>
      <c r="G34" s="217">
        <f t="shared" si="22"/>
        <v>0</v>
      </c>
      <c r="H34" s="438">
        <f>(Milk_Retrofit!$M$16*F34)+IF(B34=Milk_Retrofit!$J$10,Milk_Retrofit!$J$12,0)</f>
        <v>194091.1449579832</v>
      </c>
      <c r="I34" s="122">
        <f t="shared" si="23"/>
        <v>194091.1449579832</v>
      </c>
      <c r="J34" s="219">
        <f t="shared" si="24"/>
        <v>1</v>
      </c>
      <c r="K34" s="220">
        <f>Deprec!AD33</f>
        <v>7140</v>
      </c>
      <c r="L34" s="122">
        <f t="shared" si="25"/>
        <v>186951.1449579832</v>
      </c>
      <c r="M34" s="221">
        <f t="shared" si="26"/>
        <v>0</v>
      </c>
      <c r="N34" s="122">
        <f t="shared" si="27"/>
        <v>186951.1449579832</v>
      </c>
      <c r="O34" s="438">
        <f>IF(N34&lt;0,0,(N34*Milk_Retrofit!$J$7))</f>
        <v>56085.343487394959</v>
      </c>
      <c r="P34" s="122">
        <f t="shared" si="28"/>
        <v>130865.80147058824</v>
      </c>
      <c r="Q34" s="123">
        <f t="shared" si="29"/>
        <v>0.67424921162126195</v>
      </c>
      <c r="T34" s="218">
        <f t="shared" si="30"/>
        <v>194091.1449579832</v>
      </c>
      <c r="U34" s="438">
        <f t="shared" si="31"/>
        <v>194091.1449579832</v>
      </c>
      <c r="V34" s="218">
        <f>IF(B34=0,Milk_Retrofit!$C$29,0)</f>
        <v>0</v>
      </c>
      <c r="W34" s="435">
        <f t="shared" si="32"/>
        <v>0</v>
      </c>
      <c r="X34" s="438">
        <f t="shared" si="33"/>
        <v>194091.1449579832</v>
      </c>
      <c r="Y34" s="184">
        <f>IF(B34=0,Milk_Retrofit!$G$15+Milk_Retrofit!$G$16,0)</f>
        <v>0</v>
      </c>
      <c r="Z34" s="185">
        <f>IF(B34=0,Milk_Retrofit!$G$14,0)</f>
        <v>0</v>
      </c>
      <c r="AA34" s="132">
        <f t="shared" si="34"/>
        <v>0</v>
      </c>
      <c r="AB34" s="218">
        <f t="shared" si="35"/>
        <v>194091.1449579832</v>
      </c>
      <c r="AC34" s="218">
        <f>Milk_Retrofit!$G$20*AVERAGE(AR34,AS34)</f>
        <v>0</v>
      </c>
      <c r="AD34" s="132">
        <f t="shared" si="36"/>
        <v>56085.343487394959</v>
      </c>
      <c r="AE34" s="132">
        <f t="shared" si="37"/>
        <v>194091.14495798323</v>
      </c>
      <c r="AF34" s="122">
        <f t="shared" si="38"/>
        <v>138005.80147058825</v>
      </c>
      <c r="AG34" s="438">
        <f t="shared" si="39"/>
        <v>138005.80147058825</v>
      </c>
      <c r="AH34" s="122">
        <f t="shared" si="40"/>
        <v>0</v>
      </c>
      <c r="AI34" s="122">
        <f t="shared" si="41"/>
        <v>0</v>
      </c>
      <c r="AJ34" s="122">
        <f>-Debt_Calc!DI32</f>
        <v>0</v>
      </c>
      <c r="AK34" s="122">
        <f>Debt_Calc!DJ32</f>
        <v>0</v>
      </c>
      <c r="AL34" s="122">
        <f t="shared" si="42"/>
        <v>0</v>
      </c>
      <c r="AM34" s="217">
        <f t="shared" si="43"/>
        <v>0</v>
      </c>
      <c r="AN34" s="122">
        <f t="shared" si="44"/>
        <v>138005.80147058825</v>
      </c>
      <c r="AO34" s="122">
        <f t="shared" si="45"/>
        <v>194091.14495798323</v>
      </c>
      <c r="AP34" s="122">
        <f t="shared" si="46"/>
        <v>138005.80147058825</v>
      </c>
      <c r="AQ34" s="122">
        <f t="shared" si="47"/>
        <v>0</v>
      </c>
      <c r="AR34" s="122">
        <f t="shared" si="48"/>
        <v>0</v>
      </c>
      <c r="AS34" s="122">
        <f t="shared" si="49"/>
        <v>0</v>
      </c>
      <c r="AT34" s="122">
        <f t="shared" si="50"/>
        <v>2897393.6226378074</v>
      </c>
      <c r="AU34" s="122">
        <f t="shared" si="51"/>
        <v>2</v>
      </c>
      <c r="AV34" s="222">
        <f t="shared" si="52"/>
        <v>3.4188004802593218E-7</v>
      </c>
    </row>
    <row r="35" spans="2:67" s="86" customFormat="1" x14ac:dyDescent="0.3">
      <c r="B35" s="184">
        <f t="shared" si="18"/>
        <v>24</v>
      </c>
      <c r="C35" s="346">
        <f t="shared" si="19"/>
        <v>2045</v>
      </c>
      <c r="D35" s="347">
        <f t="shared" si="20"/>
        <v>52963</v>
      </c>
      <c r="E35" s="440">
        <f t="shared" si="21"/>
        <v>53327</v>
      </c>
      <c r="F35" s="732">
        <f>IF(AND(B35&gt;0,B35&lt;=Milk_Retrofit!$J$10),1,0)</f>
        <v>1</v>
      </c>
      <c r="G35" s="217">
        <f t="shared" si="22"/>
        <v>0</v>
      </c>
      <c r="H35" s="438">
        <f>(Milk_Retrofit!$M$16*F35)+IF(B35=Milk_Retrofit!$J$10,Milk_Retrofit!$J$12,0)</f>
        <v>194091.1449579832</v>
      </c>
      <c r="I35" s="122">
        <f t="shared" si="23"/>
        <v>194091.1449579832</v>
      </c>
      <c r="J35" s="219">
        <f t="shared" si="24"/>
        <v>1</v>
      </c>
      <c r="K35" s="220">
        <f>Deprec!AD34</f>
        <v>7140</v>
      </c>
      <c r="L35" s="122">
        <f t="shared" si="25"/>
        <v>186951.1449579832</v>
      </c>
      <c r="M35" s="221">
        <f t="shared" si="26"/>
        <v>0</v>
      </c>
      <c r="N35" s="122">
        <f t="shared" si="27"/>
        <v>186951.1449579832</v>
      </c>
      <c r="O35" s="438">
        <f>IF(N35&lt;0,0,(N35*Milk_Retrofit!$J$7))</f>
        <v>56085.343487394959</v>
      </c>
      <c r="P35" s="122">
        <f t="shared" si="28"/>
        <v>130865.80147058824</v>
      </c>
      <c r="Q35" s="123">
        <f t="shared" si="29"/>
        <v>0.67424921162126195</v>
      </c>
      <c r="T35" s="218">
        <f t="shared" si="30"/>
        <v>194091.1449579832</v>
      </c>
      <c r="U35" s="438">
        <f t="shared" si="31"/>
        <v>194091.1449579832</v>
      </c>
      <c r="V35" s="218">
        <f>IF(B35=0,Milk_Retrofit!$C$29,0)</f>
        <v>0</v>
      </c>
      <c r="W35" s="435">
        <f t="shared" si="32"/>
        <v>0</v>
      </c>
      <c r="X35" s="438">
        <f t="shared" si="33"/>
        <v>194091.1449579832</v>
      </c>
      <c r="Y35" s="184">
        <f>IF(B35=0,Milk_Retrofit!$G$15+Milk_Retrofit!$G$16,0)</f>
        <v>0</v>
      </c>
      <c r="Z35" s="185">
        <f>IF(B35=0,Milk_Retrofit!$G$14,0)</f>
        <v>0</v>
      </c>
      <c r="AA35" s="132">
        <f t="shared" si="34"/>
        <v>0</v>
      </c>
      <c r="AB35" s="218">
        <f t="shared" si="35"/>
        <v>194091.1449579832</v>
      </c>
      <c r="AC35" s="218">
        <f>Milk_Retrofit!$G$20*AVERAGE(AR35,AS35)</f>
        <v>0</v>
      </c>
      <c r="AD35" s="132">
        <f t="shared" si="36"/>
        <v>56085.343487394959</v>
      </c>
      <c r="AE35" s="132">
        <f t="shared" si="37"/>
        <v>194091.14495798323</v>
      </c>
      <c r="AF35" s="122">
        <f t="shared" si="38"/>
        <v>138005.80147058825</v>
      </c>
      <c r="AG35" s="438">
        <f t="shared" si="39"/>
        <v>138005.80147058825</v>
      </c>
      <c r="AH35" s="122">
        <f t="shared" si="40"/>
        <v>0</v>
      </c>
      <c r="AI35" s="122">
        <f t="shared" si="41"/>
        <v>0</v>
      </c>
      <c r="AJ35" s="122">
        <f>-Debt_Calc!DI33</f>
        <v>0</v>
      </c>
      <c r="AK35" s="122">
        <f>Debt_Calc!DJ33</f>
        <v>0</v>
      </c>
      <c r="AL35" s="122">
        <f t="shared" si="42"/>
        <v>0</v>
      </c>
      <c r="AM35" s="217">
        <f t="shared" si="43"/>
        <v>0</v>
      </c>
      <c r="AN35" s="122">
        <f t="shared" si="44"/>
        <v>138005.80147058825</v>
      </c>
      <c r="AO35" s="122">
        <f t="shared" si="45"/>
        <v>194091.14495798323</v>
      </c>
      <c r="AP35" s="122">
        <f t="shared" si="46"/>
        <v>138005.80147058825</v>
      </c>
      <c r="AQ35" s="122">
        <f t="shared" si="47"/>
        <v>0</v>
      </c>
      <c r="AR35" s="122">
        <f t="shared" si="48"/>
        <v>0</v>
      </c>
      <c r="AS35" s="122">
        <f t="shared" si="49"/>
        <v>0</v>
      </c>
      <c r="AT35" s="122">
        <f t="shared" si="50"/>
        <v>3035399.4241083958</v>
      </c>
      <c r="AU35" s="122">
        <f t="shared" si="51"/>
        <v>2</v>
      </c>
      <c r="AV35" s="222">
        <f t="shared" si="52"/>
        <v>1.0697050229700954E-7</v>
      </c>
    </row>
    <row r="36" spans="2:67" s="86" customFormat="1" x14ac:dyDescent="0.3">
      <c r="B36" s="184">
        <f t="shared" si="18"/>
        <v>25</v>
      </c>
      <c r="C36" s="346">
        <f t="shared" si="19"/>
        <v>2046</v>
      </c>
      <c r="D36" s="347">
        <f t="shared" si="20"/>
        <v>53328</v>
      </c>
      <c r="E36" s="440">
        <f t="shared" si="21"/>
        <v>53692</v>
      </c>
      <c r="F36" s="732">
        <f>IF(AND(B36&gt;0,B36&lt;=Milk_Retrofit!$J$10),1,0)</f>
        <v>1</v>
      </c>
      <c r="G36" s="217">
        <f t="shared" si="22"/>
        <v>0</v>
      </c>
      <c r="H36" s="438">
        <f>(Milk_Retrofit!$M$16*F36)+IF(B36=Milk_Retrofit!$J$10,Milk_Retrofit!$J$12,0)</f>
        <v>194091.1449579832</v>
      </c>
      <c r="I36" s="122">
        <f t="shared" si="23"/>
        <v>194091.1449579832</v>
      </c>
      <c r="J36" s="219">
        <f t="shared" si="24"/>
        <v>1</v>
      </c>
      <c r="K36" s="220">
        <f>Deprec!AD35</f>
        <v>7140</v>
      </c>
      <c r="L36" s="122">
        <f t="shared" si="25"/>
        <v>186951.1449579832</v>
      </c>
      <c r="M36" s="221">
        <f t="shared" si="26"/>
        <v>0</v>
      </c>
      <c r="N36" s="122">
        <f t="shared" si="27"/>
        <v>186951.1449579832</v>
      </c>
      <c r="O36" s="438">
        <f>IF(N36&lt;0,0,(N36*Milk_Retrofit!$J$7))</f>
        <v>56085.343487394959</v>
      </c>
      <c r="P36" s="122">
        <f t="shared" si="28"/>
        <v>130865.80147058824</v>
      </c>
      <c r="Q36" s="123">
        <f t="shared" si="29"/>
        <v>0.67424921162126195</v>
      </c>
      <c r="T36" s="218">
        <f t="shared" si="30"/>
        <v>194091.1449579832</v>
      </c>
      <c r="U36" s="438">
        <f t="shared" si="31"/>
        <v>194091.1449579832</v>
      </c>
      <c r="V36" s="218">
        <f>IF(B36=0,Milk_Retrofit!$C$29,0)</f>
        <v>0</v>
      </c>
      <c r="W36" s="435">
        <f t="shared" si="32"/>
        <v>0</v>
      </c>
      <c r="X36" s="438">
        <f t="shared" si="33"/>
        <v>194091.1449579832</v>
      </c>
      <c r="Y36" s="184">
        <f>IF(B36=0,Milk_Retrofit!$G$15+Milk_Retrofit!$G$16,0)</f>
        <v>0</v>
      </c>
      <c r="Z36" s="185">
        <f>IF(B36=0,Milk_Retrofit!$G$14,0)</f>
        <v>0</v>
      </c>
      <c r="AA36" s="132">
        <f t="shared" si="34"/>
        <v>0</v>
      </c>
      <c r="AB36" s="218">
        <f t="shared" si="35"/>
        <v>194091.1449579832</v>
      </c>
      <c r="AC36" s="218">
        <f>Milk_Retrofit!$G$20*AVERAGE(AR36,AS36)</f>
        <v>0</v>
      </c>
      <c r="AD36" s="132">
        <f t="shared" si="36"/>
        <v>56085.343487394959</v>
      </c>
      <c r="AE36" s="132">
        <f t="shared" si="37"/>
        <v>194091.14495798323</v>
      </c>
      <c r="AF36" s="122">
        <f t="shared" si="38"/>
        <v>138005.80147058825</v>
      </c>
      <c r="AG36" s="438">
        <f t="shared" si="39"/>
        <v>138005.80147058825</v>
      </c>
      <c r="AH36" s="122">
        <f t="shared" si="40"/>
        <v>0</v>
      </c>
      <c r="AI36" s="122">
        <f t="shared" si="41"/>
        <v>0</v>
      </c>
      <c r="AJ36" s="122">
        <f>-Debt_Calc!DI34</f>
        <v>0</v>
      </c>
      <c r="AK36" s="122">
        <f>Debt_Calc!DJ34</f>
        <v>0</v>
      </c>
      <c r="AL36" s="122">
        <f t="shared" si="42"/>
        <v>0</v>
      </c>
      <c r="AM36" s="217">
        <f t="shared" si="43"/>
        <v>0</v>
      </c>
      <c r="AN36" s="122">
        <f t="shared" si="44"/>
        <v>138005.80147058825</v>
      </c>
      <c r="AO36" s="122">
        <f t="shared" si="45"/>
        <v>194091.14495798323</v>
      </c>
      <c r="AP36" s="122">
        <f t="shared" si="46"/>
        <v>138005.80147058825</v>
      </c>
      <c r="AQ36" s="122">
        <f t="shared" si="47"/>
        <v>0</v>
      </c>
      <c r="AR36" s="122">
        <f t="shared" si="48"/>
        <v>0</v>
      </c>
      <c r="AS36" s="122">
        <f t="shared" si="49"/>
        <v>0</v>
      </c>
      <c r="AT36" s="122">
        <f t="shared" si="50"/>
        <v>3173405.2255789842</v>
      </c>
      <c r="AU36" s="122">
        <f t="shared" si="51"/>
        <v>2</v>
      </c>
      <c r="AV36" s="222">
        <f t="shared" si="52"/>
        <v>3.3469892226078599E-8</v>
      </c>
    </row>
    <row r="37" spans="2:67" s="86" customFormat="1" x14ac:dyDescent="0.3">
      <c r="B37" s="184">
        <f t="shared" si="18"/>
        <v>26</v>
      </c>
      <c r="C37" s="346">
        <f t="shared" si="19"/>
        <v>2047</v>
      </c>
      <c r="D37" s="347">
        <f t="shared" si="20"/>
        <v>53693</v>
      </c>
      <c r="E37" s="440">
        <f t="shared" si="21"/>
        <v>54057</v>
      </c>
      <c r="F37" s="732">
        <f>IF(AND(B37&gt;0,B37&lt;=Milk_Retrofit!$J$10),1,0)</f>
        <v>0</v>
      </c>
      <c r="G37" s="217">
        <f t="shared" si="22"/>
        <v>0</v>
      </c>
      <c r="H37" s="438">
        <f>(Milk_Retrofit!$M$16*F37)+IF(B37=Milk_Retrofit!$J$10,Milk_Retrofit!$J$12,0)</f>
        <v>0</v>
      </c>
      <c r="I37" s="122">
        <f t="shared" si="23"/>
        <v>0</v>
      </c>
      <c r="J37" s="219">
        <f t="shared" si="24"/>
        <v>0</v>
      </c>
      <c r="K37" s="220">
        <f>Deprec!AD36</f>
        <v>0</v>
      </c>
      <c r="L37" s="122">
        <f t="shared" si="25"/>
        <v>0</v>
      </c>
      <c r="M37" s="221">
        <f t="shared" si="26"/>
        <v>0</v>
      </c>
      <c r="N37" s="122">
        <f t="shared" si="27"/>
        <v>0</v>
      </c>
      <c r="O37" s="438">
        <f>IF(N37&lt;0,0,(N37*Milk_Retrofit!$J$7))</f>
        <v>0</v>
      </c>
      <c r="P37" s="122">
        <f t="shared" si="28"/>
        <v>0</v>
      </c>
      <c r="Q37" s="123">
        <f t="shared" si="29"/>
        <v>0</v>
      </c>
      <c r="T37" s="218">
        <f t="shared" si="30"/>
        <v>0</v>
      </c>
      <c r="U37" s="438">
        <f t="shared" si="31"/>
        <v>0</v>
      </c>
      <c r="V37" s="218">
        <f>IF(B37=0,Milk_Retrofit!$C$29,0)</f>
        <v>0</v>
      </c>
      <c r="W37" s="435">
        <f t="shared" si="32"/>
        <v>0</v>
      </c>
      <c r="X37" s="438">
        <f t="shared" si="33"/>
        <v>0</v>
      </c>
      <c r="Y37" s="184">
        <f>IF(B37=0,Milk_Retrofit!$G$15+Milk_Retrofit!$G$16,0)</f>
        <v>0</v>
      </c>
      <c r="Z37" s="185">
        <f>IF(B37=0,Milk_Retrofit!$G$14,0)</f>
        <v>0</v>
      </c>
      <c r="AA37" s="132">
        <f t="shared" si="34"/>
        <v>0</v>
      </c>
      <c r="AB37" s="218">
        <f t="shared" si="35"/>
        <v>0</v>
      </c>
      <c r="AC37" s="218">
        <f>Milk_Retrofit!$G$20*AVERAGE(AR37,AS37)</f>
        <v>0</v>
      </c>
      <c r="AD37" s="132">
        <f t="shared" si="36"/>
        <v>0</v>
      </c>
      <c r="AE37" s="132">
        <f t="shared" si="37"/>
        <v>0</v>
      </c>
      <c r="AF37" s="122">
        <f t="shared" si="38"/>
        <v>0</v>
      </c>
      <c r="AG37" s="438">
        <f t="shared" si="39"/>
        <v>0</v>
      </c>
      <c r="AH37" s="122">
        <f t="shared" si="40"/>
        <v>0</v>
      </c>
      <c r="AI37" s="122">
        <f t="shared" si="41"/>
        <v>0</v>
      </c>
      <c r="AJ37" s="122">
        <f>-Debt_Calc!DI35</f>
        <v>0</v>
      </c>
      <c r="AK37" s="122">
        <f>Debt_Calc!DJ35</f>
        <v>0</v>
      </c>
      <c r="AL37" s="122">
        <f t="shared" si="42"/>
        <v>0</v>
      </c>
      <c r="AM37" s="217">
        <f t="shared" si="43"/>
        <v>0</v>
      </c>
      <c r="AN37" s="122">
        <f t="shared" si="44"/>
        <v>0</v>
      </c>
      <c r="AO37" s="122">
        <f t="shared" si="45"/>
        <v>0</v>
      </c>
      <c r="AP37" s="122">
        <f t="shared" si="46"/>
        <v>0</v>
      </c>
      <c r="AQ37" s="122">
        <f t="shared" si="47"/>
        <v>0</v>
      </c>
      <c r="AR37" s="122">
        <f t="shared" si="48"/>
        <v>0</v>
      </c>
      <c r="AS37" s="122">
        <f t="shared" si="49"/>
        <v>0</v>
      </c>
      <c r="AT37" s="122">
        <f t="shared" si="50"/>
        <v>3173405.2255789842</v>
      </c>
      <c r="AU37" s="122">
        <f t="shared" si="51"/>
        <v>2</v>
      </c>
      <c r="AV37" s="222">
        <f t="shared" si="52"/>
        <v>0</v>
      </c>
    </row>
    <row r="38" spans="2:67" s="86" customFormat="1" x14ac:dyDescent="0.3">
      <c r="B38" s="184">
        <f t="shared" si="18"/>
        <v>27</v>
      </c>
      <c r="C38" s="346">
        <f t="shared" si="19"/>
        <v>2048</v>
      </c>
      <c r="D38" s="347">
        <f t="shared" si="20"/>
        <v>54058</v>
      </c>
      <c r="E38" s="440">
        <f t="shared" si="21"/>
        <v>54423</v>
      </c>
      <c r="F38" s="732">
        <f>IF(AND(B38&gt;0,B38&lt;=Milk_Retrofit!$J$10),1,0)</f>
        <v>0</v>
      </c>
      <c r="G38" s="217">
        <f t="shared" si="22"/>
        <v>0</v>
      </c>
      <c r="H38" s="438">
        <f>(Milk_Retrofit!$M$16*F38)+IF(B38=Milk_Retrofit!$J$10,Milk_Retrofit!$J$12,0)</f>
        <v>0</v>
      </c>
      <c r="I38" s="122">
        <f t="shared" si="23"/>
        <v>0</v>
      </c>
      <c r="J38" s="219">
        <f t="shared" si="24"/>
        <v>0</v>
      </c>
      <c r="K38" s="220">
        <f>Deprec!AD37</f>
        <v>0</v>
      </c>
      <c r="L38" s="122">
        <f t="shared" si="25"/>
        <v>0</v>
      </c>
      <c r="M38" s="221">
        <f t="shared" si="26"/>
        <v>0</v>
      </c>
      <c r="N38" s="122">
        <f t="shared" si="27"/>
        <v>0</v>
      </c>
      <c r="O38" s="438">
        <f>IF(N38&lt;0,0,(N38*Milk_Retrofit!$J$7))</f>
        <v>0</v>
      </c>
      <c r="P38" s="122">
        <f t="shared" si="28"/>
        <v>0</v>
      </c>
      <c r="Q38" s="123">
        <f t="shared" si="29"/>
        <v>0</v>
      </c>
      <c r="T38" s="218">
        <f t="shared" si="30"/>
        <v>0</v>
      </c>
      <c r="U38" s="438">
        <f t="shared" si="31"/>
        <v>0</v>
      </c>
      <c r="V38" s="218">
        <f>IF(B38=0,Milk_Retrofit!$C$29,0)</f>
        <v>0</v>
      </c>
      <c r="W38" s="435">
        <f t="shared" si="32"/>
        <v>0</v>
      </c>
      <c r="X38" s="438">
        <f t="shared" si="33"/>
        <v>0</v>
      </c>
      <c r="Y38" s="184">
        <f>IF(B38=0,Milk_Retrofit!$G$15+Milk_Retrofit!$G$16,0)</f>
        <v>0</v>
      </c>
      <c r="Z38" s="185">
        <f>IF(B38=0,Milk_Retrofit!$G$14,0)</f>
        <v>0</v>
      </c>
      <c r="AA38" s="132">
        <f t="shared" si="34"/>
        <v>0</v>
      </c>
      <c r="AB38" s="218">
        <f t="shared" si="35"/>
        <v>0</v>
      </c>
      <c r="AC38" s="218">
        <f>Milk_Retrofit!$G$20*AVERAGE(AR38,AS38)</f>
        <v>0</v>
      </c>
      <c r="AD38" s="132">
        <f t="shared" si="36"/>
        <v>0</v>
      </c>
      <c r="AE38" s="132">
        <f t="shared" si="37"/>
        <v>0</v>
      </c>
      <c r="AF38" s="122">
        <f t="shared" si="38"/>
        <v>0</v>
      </c>
      <c r="AG38" s="438">
        <f t="shared" si="39"/>
        <v>0</v>
      </c>
      <c r="AH38" s="122">
        <f t="shared" si="40"/>
        <v>0</v>
      </c>
      <c r="AI38" s="122">
        <f t="shared" si="41"/>
        <v>0</v>
      </c>
      <c r="AJ38" s="122">
        <f>-Debt_Calc!DI36</f>
        <v>0</v>
      </c>
      <c r="AK38" s="122">
        <f>Debt_Calc!DJ36</f>
        <v>0</v>
      </c>
      <c r="AL38" s="122">
        <f t="shared" si="42"/>
        <v>0</v>
      </c>
      <c r="AM38" s="217">
        <f t="shared" si="43"/>
        <v>0</v>
      </c>
      <c r="AN38" s="122">
        <f t="shared" si="44"/>
        <v>0</v>
      </c>
      <c r="AO38" s="122">
        <f t="shared" si="45"/>
        <v>0</v>
      </c>
      <c r="AP38" s="122">
        <f t="shared" si="46"/>
        <v>0</v>
      </c>
      <c r="AQ38" s="122">
        <f t="shared" si="47"/>
        <v>0</v>
      </c>
      <c r="AR38" s="122">
        <f t="shared" si="48"/>
        <v>0</v>
      </c>
      <c r="AS38" s="122">
        <f t="shared" si="49"/>
        <v>0</v>
      </c>
      <c r="AT38" s="122">
        <f t="shared" si="50"/>
        <v>3173405.2255789842</v>
      </c>
      <c r="AU38" s="122">
        <f t="shared" si="51"/>
        <v>2</v>
      </c>
      <c r="AV38" s="222">
        <f t="shared" si="52"/>
        <v>0</v>
      </c>
    </row>
    <row r="39" spans="2:67" s="86" customFormat="1" x14ac:dyDescent="0.3">
      <c r="B39" s="184">
        <f t="shared" si="18"/>
        <v>28</v>
      </c>
      <c r="C39" s="346">
        <f t="shared" si="19"/>
        <v>2049</v>
      </c>
      <c r="D39" s="347">
        <f t="shared" si="20"/>
        <v>54424</v>
      </c>
      <c r="E39" s="440">
        <f t="shared" si="21"/>
        <v>54788</v>
      </c>
      <c r="F39" s="732">
        <f>IF(AND(B39&gt;0,B39&lt;=Milk_Retrofit!$J$10),1,0)</f>
        <v>0</v>
      </c>
      <c r="G39" s="217">
        <f t="shared" si="22"/>
        <v>0</v>
      </c>
      <c r="H39" s="438">
        <f>(Milk_Retrofit!$M$16*F39)+IF(B39=Milk_Retrofit!$J$10,Milk_Retrofit!$J$12,0)</f>
        <v>0</v>
      </c>
      <c r="I39" s="122">
        <f t="shared" si="23"/>
        <v>0</v>
      </c>
      <c r="J39" s="219">
        <f t="shared" si="24"/>
        <v>0</v>
      </c>
      <c r="K39" s="220">
        <f>Deprec!AD38</f>
        <v>0</v>
      </c>
      <c r="L39" s="122">
        <f t="shared" si="25"/>
        <v>0</v>
      </c>
      <c r="M39" s="221">
        <f t="shared" si="26"/>
        <v>0</v>
      </c>
      <c r="N39" s="122">
        <f t="shared" si="27"/>
        <v>0</v>
      </c>
      <c r="O39" s="438">
        <f>IF(N39&lt;0,0,(N39*Milk_Retrofit!$J$7))</f>
        <v>0</v>
      </c>
      <c r="P39" s="122">
        <f t="shared" si="28"/>
        <v>0</v>
      </c>
      <c r="Q39" s="123">
        <f t="shared" si="29"/>
        <v>0</v>
      </c>
      <c r="T39" s="218">
        <f t="shared" si="30"/>
        <v>0</v>
      </c>
      <c r="U39" s="438">
        <f t="shared" si="31"/>
        <v>0</v>
      </c>
      <c r="V39" s="218">
        <f>IF(B39=0,Milk_Retrofit!$C$29,0)</f>
        <v>0</v>
      </c>
      <c r="W39" s="435">
        <f t="shared" si="32"/>
        <v>0</v>
      </c>
      <c r="X39" s="438">
        <f t="shared" si="33"/>
        <v>0</v>
      </c>
      <c r="Y39" s="184">
        <f>IF(B39=0,Milk_Retrofit!$G$15+Milk_Retrofit!$G$16,0)</f>
        <v>0</v>
      </c>
      <c r="Z39" s="185">
        <f>IF(B39=0,Milk_Retrofit!$G$14,0)</f>
        <v>0</v>
      </c>
      <c r="AA39" s="132">
        <f t="shared" si="34"/>
        <v>0</v>
      </c>
      <c r="AB39" s="218">
        <f t="shared" si="35"/>
        <v>0</v>
      </c>
      <c r="AC39" s="218">
        <f>Milk_Retrofit!$G$20*AVERAGE(AR39,AS39)</f>
        <v>0</v>
      </c>
      <c r="AD39" s="132">
        <f t="shared" si="36"/>
        <v>0</v>
      </c>
      <c r="AE39" s="132">
        <f t="shared" si="37"/>
        <v>0</v>
      </c>
      <c r="AF39" s="122">
        <f t="shared" si="38"/>
        <v>0</v>
      </c>
      <c r="AG39" s="438">
        <f t="shared" si="39"/>
        <v>0</v>
      </c>
      <c r="AH39" s="122">
        <f t="shared" si="40"/>
        <v>0</v>
      </c>
      <c r="AI39" s="122">
        <f t="shared" si="41"/>
        <v>0</v>
      </c>
      <c r="AJ39" s="122">
        <f>-Debt_Calc!DI37</f>
        <v>0</v>
      </c>
      <c r="AK39" s="122">
        <f>Debt_Calc!DJ37</f>
        <v>0</v>
      </c>
      <c r="AL39" s="122">
        <f t="shared" si="42"/>
        <v>0</v>
      </c>
      <c r="AM39" s="217">
        <f t="shared" si="43"/>
        <v>0</v>
      </c>
      <c r="AN39" s="122">
        <f t="shared" si="44"/>
        <v>0</v>
      </c>
      <c r="AO39" s="122">
        <f t="shared" si="45"/>
        <v>0</v>
      </c>
      <c r="AP39" s="122">
        <f t="shared" si="46"/>
        <v>0</v>
      </c>
      <c r="AQ39" s="122">
        <f t="shared" si="47"/>
        <v>0</v>
      </c>
      <c r="AR39" s="122">
        <f t="shared" si="48"/>
        <v>0</v>
      </c>
      <c r="AS39" s="122">
        <f t="shared" si="49"/>
        <v>0</v>
      </c>
      <c r="AT39" s="122">
        <f t="shared" si="50"/>
        <v>3173405.2255789842</v>
      </c>
      <c r="AU39" s="122">
        <f t="shared" si="51"/>
        <v>2</v>
      </c>
      <c r="AV39" s="222">
        <f t="shared" si="52"/>
        <v>0</v>
      </c>
    </row>
    <row r="40" spans="2:67" s="86" customFormat="1" x14ac:dyDescent="0.3">
      <c r="B40" s="184">
        <f t="shared" si="18"/>
        <v>29</v>
      </c>
      <c r="C40" s="346">
        <f t="shared" si="19"/>
        <v>2050</v>
      </c>
      <c r="D40" s="347">
        <f t="shared" si="20"/>
        <v>54789</v>
      </c>
      <c r="E40" s="440">
        <f t="shared" si="21"/>
        <v>55153</v>
      </c>
      <c r="F40" s="732">
        <f>IF(AND(B40&gt;0,B40&lt;=Milk_Retrofit!$J$10),1,0)</f>
        <v>0</v>
      </c>
      <c r="G40" s="217">
        <f t="shared" si="22"/>
        <v>0</v>
      </c>
      <c r="H40" s="438">
        <f>(Milk_Retrofit!$M$16*F40)+IF(B40=Milk_Retrofit!$J$10,Milk_Retrofit!$J$12,0)</f>
        <v>0</v>
      </c>
      <c r="I40" s="122">
        <f t="shared" si="23"/>
        <v>0</v>
      </c>
      <c r="J40" s="219">
        <f t="shared" si="24"/>
        <v>0</v>
      </c>
      <c r="K40" s="220">
        <f>Deprec!AD39</f>
        <v>0</v>
      </c>
      <c r="L40" s="122">
        <f t="shared" si="25"/>
        <v>0</v>
      </c>
      <c r="M40" s="221">
        <f t="shared" si="26"/>
        <v>0</v>
      </c>
      <c r="N40" s="122">
        <f t="shared" si="27"/>
        <v>0</v>
      </c>
      <c r="O40" s="438">
        <f>IF(N40&lt;0,0,(N40*Milk_Retrofit!$J$7))</f>
        <v>0</v>
      </c>
      <c r="P40" s="122">
        <f t="shared" si="28"/>
        <v>0</v>
      </c>
      <c r="Q40" s="123">
        <f t="shared" si="29"/>
        <v>0</v>
      </c>
      <c r="T40" s="218">
        <f t="shared" si="30"/>
        <v>0</v>
      </c>
      <c r="U40" s="438">
        <f t="shared" si="31"/>
        <v>0</v>
      </c>
      <c r="V40" s="218">
        <f>IF(B40=0,Milk_Retrofit!$C$29,0)</f>
        <v>0</v>
      </c>
      <c r="W40" s="435">
        <f t="shared" si="32"/>
        <v>0</v>
      </c>
      <c r="X40" s="438">
        <f t="shared" si="33"/>
        <v>0</v>
      </c>
      <c r="Y40" s="184">
        <f>IF(B40=0,Milk_Retrofit!$G$15+Milk_Retrofit!$G$16,0)</f>
        <v>0</v>
      </c>
      <c r="Z40" s="185">
        <f>IF(B40=0,Milk_Retrofit!$G$14,0)</f>
        <v>0</v>
      </c>
      <c r="AA40" s="132">
        <f t="shared" si="34"/>
        <v>0</v>
      </c>
      <c r="AB40" s="218">
        <f t="shared" si="35"/>
        <v>0</v>
      </c>
      <c r="AC40" s="218">
        <f>Milk_Retrofit!$G$20*AVERAGE(AR40,AS40)</f>
        <v>0</v>
      </c>
      <c r="AD40" s="132">
        <f t="shared" si="36"/>
        <v>0</v>
      </c>
      <c r="AE40" s="132">
        <f t="shared" si="37"/>
        <v>0</v>
      </c>
      <c r="AF40" s="122">
        <f t="shared" si="38"/>
        <v>0</v>
      </c>
      <c r="AG40" s="438">
        <f t="shared" si="39"/>
        <v>0</v>
      </c>
      <c r="AH40" s="122">
        <f t="shared" si="40"/>
        <v>0</v>
      </c>
      <c r="AI40" s="122">
        <f t="shared" si="41"/>
        <v>0</v>
      </c>
      <c r="AJ40" s="122">
        <f>-Debt_Calc!DI38</f>
        <v>0</v>
      </c>
      <c r="AK40" s="122">
        <f>Debt_Calc!DJ38</f>
        <v>0</v>
      </c>
      <c r="AL40" s="122">
        <f t="shared" si="42"/>
        <v>0</v>
      </c>
      <c r="AM40" s="217">
        <f t="shared" si="43"/>
        <v>0</v>
      </c>
      <c r="AN40" s="122">
        <f t="shared" si="44"/>
        <v>0</v>
      </c>
      <c r="AO40" s="122">
        <f t="shared" si="45"/>
        <v>0</v>
      </c>
      <c r="AP40" s="122">
        <f t="shared" si="46"/>
        <v>0</v>
      </c>
      <c r="AQ40" s="122">
        <f t="shared" si="47"/>
        <v>0</v>
      </c>
      <c r="AR40" s="122">
        <f t="shared" si="48"/>
        <v>0</v>
      </c>
      <c r="AS40" s="122">
        <f t="shared" si="49"/>
        <v>0</v>
      </c>
      <c r="AT40" s="122">
        <f t="shared" si="50"/>
        <v>3173405.2255789842</v>
      </c>
      <c r="AU40" s="122">
        <f t="shared" si="51"/>
        <v>2</v>
      </c>
      <c r="AV40" s="222">
        <f t="shared" si="52"/>
        <v>0</v>
      </c>
    </row>
    <row r="41" spans="2:67" s="86" customFormat="1" x14ac:dyDescent="0.3">
      <c r="B41" s="184">
        <f t="shared" si="18"/>
        <v>30</v>
      </c>
      <c r="C41" s="346">
        <f t="shared" si="19"/>
        <v>2051</v>
      </c>
      <c r="D41" s="347">
        <f t="shared" si="20"/>
        <v>55154</v>
      </c>
      <c r="E41" s="440">
        <f t="shared" si="21"/>
        <v>55518</v>
      </c>
      <c r="F41" s="732">
        <f>IF(AND(B41&gt;0,B41&lt;=Milk_Retrofit!$J$10),1,0)</f>
        <v>0</v>
      </c>
      <c r="G41" s="217">
        <f t="shared" si="22"/>
        <v>0</v>
      </c>
      <c r="H41" s="438">
        <f>(Milk_Retrofit!$M$16*F41)+IF(B41=Milk_Retrofit!$J$10,Milk_Retrofit!$J$12,0)</f>
        <v>0</v>
      </c>
      <c r="I41" s="122">
        <f t="shared" si="23"/>
        <v>0</v>
      </c>
      <c r="J41" s="219">
        <f t="shared" si="24"/>
        <v>0</v>
      </c>
      <c r="K41" s="220">
        <f>Deprec!AD40</f>
        <v>0</v>
      </c>
      <c r="L41" s="122">
        <f t="shared" si="25"/>
        <v>0</v>
      </c>
      <c r="M41" s="221">
        <f t="shared" si="26"/>
        <v>0</v>
      </c>
      <c r="N41" s="122">
        <f t="shared" si="27"/>
        <v>0</v>
      </c>
      <c r="O41" s="438">
        <f>IF(N41&lt;0,0,(N41*Milk_Retrofit!$J$7))</f>
        <v>0</v>
      </c>
      <c r="P41" s="122">
        <f t="shared" si="28"/>
        <v>0</v>
      </c>
      <c r="Q41" s="123">
        <f t="shared" si="29"/>
        <v>0</v>
      </c>
      <c r="T41" s="218">
        <f t="shared" si="30"/>
        <v>0</v>
      </c>
      <c r="U41" s="438">
        <f t="shared" si="31"/>
        <v>0</v>
      </c>
      <c r="V41" s="218">
        <f>IF(B41=0,Milk_Retrofit!$C$29,0)</f>
        <v>0</v>
      </c>
      <c r="W41" s="435">
        <f t="shared" si="32"/>
        <v>0</v>
      </c>
      <c r="X41" s="438">
        <f t="shared" si="33"/>
        <v>0</v>
      </c>
      <c r="Y41" s="184">
        <f>IF(B41=0,Milk_Retrofit!$G$15+Milk_Retrofit!$G$16,0)</f>
        <v>0</v>
      </c>
      <c r="Z41" s="185">
        <f>IF(B41=0,Milk_Retrofit!$G$14,0)</f>
        <v>0</v>
      </c>
      <c r="AA41" s="132">
        <f t="shared" si="34"/>
        <v>0</v>
      </c>
      <c r="AB41" s="218">
        <f t="shared" si="35"/>
        <v>0</v>
      </c>
      <c r="AC41" s="218">
        <f>Milk_Retrofit!$G$20*AVERAGE(AR41,AS41)</f>
        <v>0</v>
      </c>
      <c r="AD41" s="132">
        <f t="shared" si="36"/>
        <v>0</v>
      </c>
      <c r="AE41" s="132">
        <f t="shared" si="37"/>
        <v>0</v>
      </c>
      <c r="AF41" s="122">
        <f t="shared" si="38"/>
        <v>0</v>
      </c>
      <c r="AG41" s="438">
        <f t="shared" si="39"/>
        <v>0</v>
      </c>
      <c r="AH41" s="122">
        <f t="shared" si="40"/>
        <v>0</v>
      </c>
      <c r="AI41" s="122">
        <f t="shared" si="41"/>
        <v>0</v>
      </c>
      <c r="AJ41" s="122">
        <f>-Debt_Calc!DI39</f>
        <v>0</v>
      </c>
      <c r="AK41" s="122">
        <f>Debt_Calc!DJ39</f>
        <v>0</v>
      </c>
      <c r="AL41" s="122">
        <f t="shared" si="42"/>
        <v>0</v>
      </c>
      <c r="AM41" s="217">
        <f t="shared" si="43"/>
        <v>0</v>
      </c>
      <c r="AN41" s="122">
        <f t="shared" si="44"/>
        <v>0</v>
      </c>
      <c r="AO41" s="122">
        <f t="shared" si="45"/>
        <v>0</v>
      </c>
      <c r="AP41" s="122">
        <f t="shared" si="46"/>
        <v>0</v>
      </c>
      <c r="AQ41" s="122">
        <f t="shared" si="47"/>
        <v>0</v>
      </c>
      <c r="AR41" s="122">
        <f t="shared" si="48"/>
        <v>0</v>
      </c>
      <c r="AS41" s="122">
        <f t="shared" si="49"/>
        <v>0</v>
      </c>
      <c r="AT41" s="122">
        <f t="shared" si="50"/>
        <v>3173405.2255789842</v>
      </c>
      <c r="AU41" s="122">
        <f t="shared" si="51"/>
        <v>2</v>
      </c>
      <c r="AV41" s="222">
        <f t="shared" si="52"/>
        <v>0</v>
      </c>
    </row>
    <row r="42" spans="2:67" s="86" customFormat="1" x14ac:dyDescent="0.3">
      <c r="B42" s="184">
        <f t="shared" si="18"/>
        <v>31</v>
      </c>
      <c r="C42" s="346">
        <f t="shared" si="19"/>
        <v>2052</v>
      </c>
      <c r="D42" s="347">
        <f t="shared" si="20"/>
        <v>55519</v>
      </c>
      <c r="E42" s="440">
        <f t="shared" si="21"/>
        <v>55884</v>
      </c>
      <c r="F42" s="732">
        <f>IF(AND(B42&gt;0,B42&lt;=Milk_Retrofit!$J$10),1,0)</f>
        <v>0</v>
      </c>
      <c r="G42" s="217">
        <f t="shared" si="22"/>
        <v>0</v>
      </c>
      <c r="H42" s="438">
        <f>(Milk_Retrofit!$M$16*F42)+IF(B42=Milk_Retrofit!$J$10,Milk_Retrofit!$J$12,0)</f>
        <v>0</v>
      </c>
      <c r="I42" s="122">
        <f t="shared" si="23"/>
        <v>0</v>
      </c>
      <c r="J42" s="219">
        <f t="shared" si="24"/>
        <v>0</v>
      </c>
      <c r="K42" s="220">
        <f>Deprec!AD41</f>
        <v>0</v>
      </c>
      <c r="L42" s="122">
        <f t="shared" si="25"/>
        <v>0</v>
      </c>
      <c r="M42" s="221">
        <f t="shared" si="26"/>
        <v>0</v>
      </c>
      <c r="N42" s="122">
        <f t="shared" si="27"/>
        <v>0</v>
      </c>
      <c r="O42" s="438">
        <f>IF(N42&lt;0,0,(N42*Milk_Retrofit!$J$7))</f>
        <v>0</v>
      </c>
      <c r="P42" s="122">
        <f t="shared" si="28"/>
        <v>0</v>
      </c>
      <c r="Q42" s="123">
        <f t="shared" si="29"/>
        <v>0</v>
      </c>
      <c r="T42" s="218">
        <f t="shared" si="30"/>
        <v>0</v>
      </c>
      <c r="U42" s="438">
        <f t="shared" si="31"/>
        <v>0</v>
      </c>
      <c r="V42" s="218">
        <f>IF(B42=0,Milk_Retrofit!$C$29,0)</f>
        <v>0</v>
      </c>
      <c r="W42" s="435">
        <f t="shared" si="32"/>
        <v>0</v>
      </c>
      <c r="X42" s="438">
        <f t="shared" si="33"/>
        <v>0</v>
      </c>
      <c r="Y42" s="184">
        <f>IF(B42=0,Milk_Retrofit!$G$15+Milk_Retrofit!$G$16,0)</f>
        <v>0</v>
      </c>
      <c r="Z42" s="185">
        <f>IF(B42=0,Milk_Retrofit!$G$14,0)</f>
        <v>0</v>
      </c>
      <c r="AA42" s="132">
        <f t="shared" si="34"/>
        <v>0</v>
      </c>
      <c r="AB42" s="218">
        <f t="shared" si="35"/>
        <v>0</v>
      </c>
      <c r="AC42" s="218">
        <f>Milk_Retrofit!$G$20*AVERAGE(AR42,AS42)</f>
        <v>0</v>
      </c>
      <c r="AD42" s="132">
        <f t="shared" si="36"/>
        <v>0</v>
      </c>
      <c r="AE42" s="132">
        <f t="shared" si="37"/>
        <v>0</v>
      </c>
      <c r="AF42" s="122">
        <f t="shared" si="38"/>
        <v>0</v>
      </c>
      <c r="AG42" s="438">
        <f t="shared" si="39"/>
        <v>0</v>
      </c>
      <c r="AH42" s="122">
        <f t="shared" si="40"/>
        <v>0</v>
      </c>
      <c r="AI42" s="122">
        <f t="shared" si="41"/>
        <v>0</v>
      </c>
      <c r="AJ42" s="122">
        <f>-Debt_Calc!DI40</f>
        <v>0</v>
      </c>
      <c r="AK42" s="122">
        <f>Debt_Calc!DJ40</f>
        <v>0</v>
      </c>
      <c r="AL42" s="122">
        <f t="shared" si="42"/>
        <v>0</v>
      </c>
      <c r="AM42" s="217">
        <f t="shared" si="43"/>
        <v>0</v>
      </c>
      <c r="AN42" s="122">
        <f t="shared" si="44"/>
        <v>0</v>
      </c>
      <c r="AO42" s="122">
        <f t="shared" si="45"/>
        <v>0</v>
      </c>
      <c r="AP42" s="122">
        <f t="shared" si="46"/>
        <v>0</v>
      </c>
      <c r="AQ42" s="122">
        <f t="shared" si="47"/>
        <v>0</v>
      </c>
      <c r="AR42" s="122">
        <f t="shared" si="48"/>
        <v>0</v>
      </c>
      <c r="AS42" s="122">
        <f t="shared" si="49"/>
        <v>0</v>
      </c>
      <c r="AT42" s="122">
        <f t="shared" si="50"/>
        <v>3173405.2255789842</v>
      </c>
      <c r="AU42" s="122">
        <f t="shared" si="51"/>
        <v>2</v>
      </c>
      <c r="AV42" s="222">
        <f t="shared" si="52"/>
        <v>0</v>
      </c>
    </row>
    <row r="43" spans="2:67" s="86" customFormat="1" x14ac:dyDescent="0.3">
      <c r="B43" s="184">
        <f t="shared" si="18"/>
        <v>32</v>
      </c>
      <c r="C43" s="346">
        <f t="shared" si="19"/>
        <v>2053</v>
      </c>
      <c r="D43" s="347">
        <f t="shared" si="20"/>
        <v>55885</v>
      </c>
      <c r="E43" s="440">
        <f t="shared" si="21"/>
        <v>56249</v>
      </c>
      <c r="F43" s="732">
        <f>IF(AND(B43&gt;0,B43&lt;=Milk_Retrofit!$J$10),1,0)</f>
        <v>0</v>
      </c>
      <c r="G43" s="217">
        <f t="shared" si="22"/>
        <v>0</v>
      </c>
      <c r="H43" s="438">
        <f>(Milk_Retrofit!$M$16*F43)+IF(B43=Milk_Retrofit!$J$10,Milk_Retrofit!$J$12,0)</f>
        <v>0</v>
      </c>
      <c r="I43" s="122">
        <f t="shared" si="23"/>
        <v>0</v>
      </c>
      <c r="J43" s="219">
        <f t="shared" si="24"/>
        <v>0</v>
      </c>
      <c r="K43" s="220">
        <f>Deprec!AD42</f>
        <v>0</v>
      </c>
      <c r="L43" s="122">
        <f t="shared" si="25"/>
        <v>0</v>
      </c>
      <c r="M43" s="221">
        <f t="shared" si="26"/>
        <v>0</v>
      </c>
      <c r="N43" s="122">
        <f t="shared" si="27"/>
        <v>0</v>
      </c>
      <c r="O43" s="438">
        <f>IF(N43&lt;0,0,(N43*Milk_Retrofit!$J$7))</f>
        <v>0</v>
      </c>
      <c r="P43" s="122">
        <f t="shared" si="28"/>
        <v>0</v>
      </c>
      <c r="Q43" s="123">
        <f t="shared" si="29"/>
        <v>0</v>
      </c>
      <c r="T43" s="218">
        <f t="shared" si="30"/>
        <v>0</v>
      </c>
      <c r="U43" s="438">
        <f t="shared" si="31"/>
        <v>0</v>
      </c>
      <c r="V43" s="218">
        <f>IF(B43=0,Milk_Retrofit!$C$29,0)</f>
        <v>0</v>
      </c>
      <c r="W43" s="435">
        <f t="shared" si="32"/>
        <v>0</v>
      </c>
      <c r="X43" s="438">
        <f t="shared" si="33"/>
        <v>0</v>
      </c>
      <c r="Y43" s="184">
        <f>IF(B43=0,Milk_Retrofit!$G$15+Milk_Retrofit!$G$16,0)</f>
        <v>0</v>
      </c>
      <c r="Z43" s="185">
        <f>IF(B43=0,Milk_Retrofit!$G$14,0)</f>
        <v>0</v>
      </c>
      <c r="AA43" s="132">
        <f t="shared" si="34"/>
        <v>0</v>
      </c>
      <c r="AB43" s="218">
        <f t="shared" si="35"/>
        <v>0</v>
      </c>
      <c r="AC43" s="218">
        <f>Milk_Retrofit!$G$20*AVERAGE(AR43,AS43)</f>
        <v>0</v>
      </c>
      <c r="AD43" s="132">
        <f t="shared" si="36"/>
        <v>0</v>
      </c>
      <c r="AE43" s="132">
        <f t="shared" si="37"/>
        <v>0</v>
      </c>
      <c r="AF43" s="122">
        <f t="shared" si="38"/>
        <v>0</v>
      </c>
      <c r="AG43" s="438">
        <f t="shared" si="39"/>
        <v>0</v>
      </c>
      <c r="AH43" s="122">
        <f t="shared" si="40"/>
        <v>0</v>
      </c>
      <c r="AI43" s="122">
        <f t="shared" si="41"/>
        <v>0</v>
      </c>
      <c r="AJ43" s="122">
        <f>-Debt_Calc!DI41</f>
        <v>0</v>
      </c>
      <c r="AK43" s="122">
        <f>Debt_Calc!DJ41</f>
        <v>0</v>
      </c>
      <c r="AL43" s="122">
        <f t="shared" si="42"/>
        <v>0</v>
      </c>
      <c r="AM43" s="217">
        <f t="shared" si="43"/>
        <v>0</v>
      </c>
      <c r="AN43" s="122">
        <f t="shared" si="44"/>
        <v>0</v>
      </c>
      <c r="AO43" s="122">
        <f t="shared" si="45"/>
        <v>0</v>
      </c>
      <c r="AP43" s="122">
        <f t="shared" si="46"/>
        <v>0</v>
      </c>
      <c r="AQ43" s="122">
        <f t="shared" si="47"/>
        <v>0</v>
      </c>
      <c r="AR43" s="122">
        <f t="shared" si="48"/>
        <v>0</v>
      </c>
      <c r="AS43" s="122">
        <f t="shared" si="49"/>
        <v>0</v>
      </c>
      <c r="AT43" s="122">
        <f t="shared" si="50"/>
        <v>3173405.2255789842</v>
      </c>
      <c r="AU43" s="122">
        <f t="shared" si="51"/>
        <v>2</v>
      </c>
      <c r="AV43" s="222">
        <f t="shared" si="52"/>
        <v>0</v>
      </c>
    </row>
    <row r="44" spans="2:67" s="86" customFormat="1" x14ac:dyDescent="0.3">
      <c r="B44" s="748">
        <f t="shared" si="18"/>
        <v>33</v>
      </c>
      <c r="C44" s="756">
        <f t="shared" si="19"/>
        <v>2054</v>
      </c>
      <c r="D44" s="757">
        <f t="shared" si="20"/>
        <v>56250</v>
      </c>
      <c r="E44" s="758">
        <f t="shared" si="21"/>
        <v>56614</v>
      </c>
      <c r="F44" s="762">
        <f>IF(AND(B44&gt;0,B44&lt;=Milk_Retrofit!$J$10),1,0)</f>
        <v>0</v>
      </c>
      <c r="G44" s="759">
        <f t="shared" si="22"/>
        <v>0</v>
      </c>
      <c r="H44" s="749">
        <f>(Milk_Retrofit!$M$16*F44)+IF(B44=Milk_Retrofit!$J$10,Milk_Retrofit!$J$12,0)</f>
        <v>0</v>
      </c>
      <c r="I44" s="83">
        <f t="shared" si="23"/>
        <v>0</v>
      </c>
      <c r="J44" s="738">
        <f t="shared" si="24"/>
        <v>0</v>
      </c>
      <c r="K44" s="750">
        <f>Deprec!AD43</f>
        <v>0</v>
      </c>
      <c r="L44" s="83">
        <f t="shared" si="25"/>
        <v>0</v>
      </c>
      <c r="M44" s="751">
        <f t="shared" si="26"/>
        <v>0</v>
      </c>
      <c r="N44" s="83">
        <f t="shared" si="27"/>
        <v>0</v>
      </c>
      <c r="O44" s="749">
        <f>IF(N44&lt;0,0,(N44*Milk_Retrofit!$J$7))</f>
        <v>0</v>
      </c>
      <c r="P44" s="83">
        <f t="shared" si="28"/>
        <v>0</v>
      </c>
      <c r="Q44" s="688">
        <f t="shared" si="29"/>
        <v>0</v>
      </c>
      <c r="R44" s="232"/>
      <c r="S44" s="232"/>
      <c r="T44" s="746">
        <f t="shared" si="30"/>
        <v>0</v>
      </c>
      <c r="U44" s="749">
        <f t="shared" si="31"/>
        <v>0</v>
      </c>
      <c r="V44" s="746">
        <f>IF(B44=0,Milk_Retrofit!$C$29,0)</f>
        <v>0</v>
      </c>
      <c r="W44" s="760">
        <f t="shared" si="32"/>
        <v>0</v>
      </c>
      <c r="X44" s="749">
        <f t="shared" si="33"/>
        <v>0</v>
      </c>
      <c r="Y44" s="748">
        <f>IF(B44=0,Milk_Retrofit!$G$15+Milk_Retrofit!$G$16,0)</f>
        <v>0</v>
      </c>
      <c r="Z44" s="150">
        <f>IF(B44=0,Milk_Retrofit!$G$14,0)</f>
        <v>0</v>
      </c>
      <c r="AA44" s="84">
        <f t="shared" si="34"/>
        <v>0</v>
      </c>
      <c r="AB44" s="746">
        <f t="shared" si="35"/>
        <v>0</v>
      </c>
      <c r="AC44" s="746">
        <f>Milk_Retrofit!$G$20*AVERAGE(AR44,AS44)</f>
        <v>0</v>
      </c>
      <c r="AD44" s="84">
        <f t="shared" si="36"/>
        <v>0</v>
      </c>
      <c r="AE44" s="84">
        <f t="shared" si="37"/>
        <v>0</v>
      </c>
      <c r="AF44" s="83">
        <f t="shared" si="38"/>
        <v>0</v>
      </c>
      <c r="AG44" s="749">
        <f t="shared" si="39"/>
        <v>0</v>
      </c>
      <c r="AH44" s="83">
        <f t="shared" si="40"/>
        <v>0</v>
      </c>
      <c r="AI44" s="83">
        <f t="shared" si="41"/>
        <v>0</v>
      </c>
      <c r="AJ44" s="83">
        <f>-Debt_Calc!DI42</f>
        <v>0</v>
      </c>
      <c r="AK44" s="83">
        <f>Debt_Calc!DJ42</f>
        <v>0</v>
      </c>
      <c r="AL44" s="83">
        <f t="shared" si="42"/>
        <v>0</v>
      </c>
      <c r="AM44" s="759">
        <f t="shared" si="43"/>
        <v>0</v>
      </c>
      <c r="AN44" s="83">
        <f t="shared" si="44"/>
        <v>0</v>
      </c>
      <c r="AO44" s="83">
        <f t="shared" si="45"/>
        <v>0</v>
      </c>
      <c r="AP44" s="83">
        <f t="shared" si="46"/>
        <v>0</v>
      </c>
      <c r="AQ44" s="83">
        <f t="shared" si="47"/>
        <v>0</v>
      </c>
      <c r="AR44" s="83">
        <f t="shared" si="48"/>
        <v>0</v>
      </c>
      <c r="AS44" s="83">
        <f t="shared" si="49"/>
        <v>0</v>
      </c>
      <c r="AT44" s="83">
        <f t="shared" si="50"/>
        <v>3173405.2255789842</v>
      </c>
      <c r="AU44" s="83">
        <f t="shared" si="51"/>
        <v>2</v>
      </c>
      <c r="AV44" s="739">
        <f t="shared" si="52"/>
        <v>0</v>
      </c>
    </row>
    <row r="45" spans="2:67" s="227" customFormat="1" x14ac:dyDescent="0.3">
      <c r="G45" s="202"/>
      <c r="H45" s="86"/>
      <c r="I45" s="86"/>
      <c r="J45" s="86"/>
      <c r="K45" s="86"/>
      <c r="L45" s="86"/>
      <c r="M45" s="199"/>
      <c r="N45" s="86"/>
      <c r="O45" s="86"/>
      <c r="P45" s="86"/>
      <c r="Q45" s="225"/>
      <c r="R45" s="86"/>
      <c r="S45" s="86"/>
      <c r="T45" s="239"/>
      <c r="U45" s="86"/>
      <c r="V45" s="202"/>
      <c r="W45" s="86"/>
      <c r="X45" s="86"/>
      <c r="Y45" s="86"/>
      <c r="Z45" s="86"/>
      <c r="AA45" s="86"/>
      <c r="AB45" s="86"/>
      <c r="AC45" s="86"/>
      <c r="AD45" s="86"/>
      <c r="AE45" s="86"/>
      <c r="AF45" s="86"/>
      <c r="AG45" s="86"/>
      <c r="AH45" s="86"/>
      <c r="AI45" s="86"/>
      <c r="AJ45" s="202"/>
      <c r="AK45" s="202"/>
      <c r="AL45" s="202"/>
      <c r="AM45" s="86"/>
      <c r="AN45" s="86"/>
      <c r="AO45" s="86"/>
      <c r="AP45" s="86"/>
      <c r="AQ45" s="86"/>
      <c r="AR45" s="86"/>
      <c r="AS45" s="86"/>
      <c r="AT45" s="86"/>
      <c r="AU45" s="86"/>
      <c r="AV45" s="86"/>
      <c r="AW45" s="86"/>
      <c r="AX45" s="86"/>
      <c r="AY45" s="86"/>
      <c r="AZ45" s="86"/>
      <c r="BA45" s="86"/>
      <c r="BB45" s="86"/>
      <c r="BC45" s="86"/>
      <c r="BD45" s="86"/>
      <c r="BE45" s="86"/>
      <c r="BF45" s="86"/>
      <c r="BG45" s="86"/>
      <c r="BH45" s="86"/>
      <c r="BI45" s="86"/>
      <c r="BJ45" s="86"/>
      <c r="BK45" s="86"/>
      <c r="BL45" s="86"/>
      <c r="BM45" s="86"/>
      <c r="BN45" s="86"/>
      <c r="BO45" s="86"/>
    </row>
    <row r="46" spans="2:67" s="227" customFormat="1" x14ac:dyDescent="0.3">
      <c r="G46" s="202"/>
      <c r="H46" s="86"/>
      <c r="I46" s="86"/>
      <c r="J46" s="86"/>
      <c r="K46" s="86"/>
      <c r="L46" s="86"/>
      <c r="M46" s="199"/>
      <c r="N46" s="86"/>
      <c r="O46" s="86"/>
      <c r="P46" s="86"/>
      <c r="Q46" s="225"/>
      <c r="R46" s="86"/>
      <c r="S46" s="86"/>
      <c r="T46" s="239"/>
      <c r="U46" s="86"/>
      <c r="V46" s="202"/>
      <c r="W46" s="86"/>
      <c r="X46" s="86"/>
      <c r="Y46" s="86"/>
      <c r="Z46" s="86"/>
      <c r="AA46" s="86"/>
      <c r="AB46" s="86"/>
      <c r="AC46" s="86"/>
      <c r="AD46" s="86"/>
      <c r="AE46" s="86"/>
      <c r="AF46" s="86"/>
      <c r="AG46" s="86"/>
      <c r="AH46" s="86"/>
      <c r="AI46" s="86"/>
      <c r="AJ46" s="202"/>
      <c r="AK46" s="202"/>
      <c r="AL46" s="202"/>
      <c r="AM46" s="86"/>
      <c r="AN46" s="86"/>
      <c r="AO46" s="86"/>
      <c r="AP46" s="86"/>
      <c r="AQ46" s="86"/>
      <c r="AR46" s="86"/>
      <c r="AS46" s="86"/>
      <c r="AT46" s="86"/>
      <c r="AU46" s="86"/>
      <c r="AV46" s="86"/>
      <c r="AW46" s="86"/>
      <c r="AX46" s="86"/>
      <c r="AY46" s="86"/>
      <c r="AZ46" s="86"/>
      <c r="BA46" s="86"/>
      <c r="BB46" s="86"/>
      <c r="BC46" s="86"/>
      <c r="BD46" s="86"/>
      <c r="BE46" s="86"/>
      <c r="BF46" s="86"/>
      <c r="BG46" s="86"/>
      <c r="BH46" s="86"/>
      <c r="BI46" s="86"/>
      <c r="BJ46" s="86"/>
      <c r="BK46" s="86"/>
      <c r="BL46" s="86"/>
      <c r="BM46" s="86"/>
      <c r="BN46" s="86"/>
      <c r="BO46" s="86"/>
    </row>
    <row r="47" spans="2:67" s="227" customFormat="1" x14ac:dyDescent="0.3">
      <c r="G47" s="202"/>
      <c r="H47" s="86"/>
      <c r="I47" s="86"/>
      <c r="J47" s="86"/>
      <c r="K47" s="86"/>
      <c r="L47" s="86"/>
      <c r="M47" s="199"/>
      <c r="N47" s="86"/>
      <c r="O47" s="86"/>
      <c r="P47" s="86"/>
      <c r="Q47" s="225"/>
      <c r="R47" s="86"/>
      <c r="S47" s="86"/>
      <c r="T47" s="239"/>
      <c r="U47" s="86"/>
      <c r="V47" s="202"/>
      <c r="W47" s="86"/>
      <c r="X47" s="86"/>
      <c r="Y47" s="86"/>
      <c r="Z47" s="86"/>
      <c r="AA47" s="86"/>
      <c r="AB47" s="86"/>
      <c r="AC47" s="86"/>
      <c r="AD47" s="86"/>
      <c r="AE47" s="86"/>
      <c r="AF47" s="86"/>
      <c r="AG47" s="86"/>
      <c r="AH47" s="86"/>
      <c r="AI47" s="86"/>
      <c r="AJ47" s="202"/>
      <c r="AK47" s="202"/>
      <c r="AL47" s="202"/>
      <c r="AM47" s="86"/>
      <c r="AN47" s="86"/>
      <c r="AO47" s="86"/>
      <c r="AP47" s="86"/>
      <c r="AQ47" s="86"/>
      <c r="AR47" s="86"/>
      <c r="AS47" s="86"/>
      <c r="AT47" s="86"/>
      <c r="AU47" s="86"/>
      <c r="AV47" s="86"/>
      <c r="AW47" s="86"/>
      <c r="AX47" s="86"/>
      <c r="AY47" s="86"/>
      <c r="AZ47" s="86"/>
      <c r="BA47" s="86"/>
      <c r="BB47" s="86"/>
      <c r="BC47" s="86"/>
      <c r="BD47" s="86"/>
      <c r="BE47" s="86"/>
      <c r="BF47" s="86"/>
      <c r="BG47" s="86"/>
      <c r="BH47" s="86"/>
      <c r="BI47" s="86"/>
      <c r="BJ47" s="86"/>
      <c r="BK47" s="86"/>
      <c r="BL47" s="86"/>
      <c r="BM47" s="86"/>
      <c r="BN47" s="86"/>
      <c r="BO47" s="86"/>
    </row>
    <row r="48" spans="2:67" s="227" customFormat="1" x14ac:dyDescent="0.3">
      <c r="G48" s="202"/>
      <c r="H48" s="86"/>
      <c r="I48" s="86"/>
      <c r="J48" s="86"/>
      <c r="K48" s="86"/>
      <c r="L48" s="86"/>
      <c r="M48" s="199"/>
      <c r="N48" s="86"/>
      <c r="O48" s="86"/>
      <c r="P48" s="86"/>
      <c r="Q48" s="225"/>
      <c r="R48" s="86"/>
      <c r="S48" s="86"/>
      <c r="T48" s="239"/>
      <c r="U48" s="86"/>
      <c r="V48" s="202"/>
      <c r="W48" s="86"/>
      <c r="X48" s="86"/>
      <c r="Y48" s="86"/>
      <c r="Z48" s="86"/>
      <c r="AA48" s="86"/>
      <c r="AB48" s="86"/>
      <c r="AC48" s="86"/>
      <c r="AD48" s="86"/>
      <c r="AE48" s="86"/>
      <c r="AF48" s="86"/>
      <c r="AG48" s="86"/>
      <c r="AH48" s="86"/>
      <c r="AI48" s="86"/>
      <c r="AJ48" s="202"/>
      <c r="AK48" s="202"/>
      <c r="AL48" s="202"/>
      <c r="AM48" s="86"/>
      <c r="AN48" s="86"/>
      <c r="AO48" s="86"/>
      <c r="AP48" s="86"/>
      <c r="AQ48" s="86"/>
      <c r="AR48" s="86"/>
      <c r="AS48" s="86"/>
      <c r="AT48" s="86"/>
      <c r="AU48" s="86"/>
      <c r="AV48" s="86"/>
      <c r="AW48" s="86"/>
      <c r="AX48" s="86"/>
      <c r="AY48" s="86"/>
      <c r="AZ48" s="86"/>
      <c r="BA48" s="86"/>
      <c r="BB48" s="86"/>
      <c r="BC48" s="86"/>
      <c r="BD48" s="86"/>
      <c r="BE48" s="86"/>
      <c r="BF48" s="86"/>
      <c r="BG48" s="86"/>
      <c r="BH48" s="86"/>
      <c r="BI48" s="86"/>
      <c r="BJ48" s="86"/>
      <c r="BK48" s="86"/>
      <c r="BL48" s="86"/>
      <c r="BM48" s="86"/>
      <c r="BN48" s="86"/>
      <c r="BO48" s="86"/>
    </row>
    <row r="49" spans="7:67" s="227" customFormat="1" x14ac:dyDescent="0.3">
      <c r="G49" s="202"/>
      <c r="H49" s="86"/>
      <c r="I49" s="86"/>
      <c r="J49" s="86"/>
      <c r="K49" s="86"/>
      <c r="L49" s="86"/>
      <c r="M49" s="199"/>
      <c r="N49" s="86"/>
      <c r="O49" s="86"/>
      <c r="P49" s="86"/>
      <c r="Q49" s="225"/>
      <c r="R49" s="86"/>
      <c r="S49" s="86"/>
      <c r="T49" s="239"/>
      <c r="U49" s="86"/>
      <c r="V49" s="202"/>
      <c r="W49" s="86"/>
      <c r="X49" s="86"/>
      <c r="Y49" s="86"/>
      <c r="Z49" s="86"/>
      <c r="AA49" s="86"/>
      <c r="AB49" s="86"/>
      <c r="AC49" s="86"/>
      <c r="AD49" s="86"/>
      <c r="AE49" s="86"/>
      <c r="AF49" s="86"/>
      <c r="AG49" s="86"/>
      <c r="AH49" s="86"/>
      <c r="AI49" s="86"/>
      <c r="AJ49" s="202"/>
      <c r="AK49" s="202"/>
      <c r="AL49" s="202"/>
      <c r="AM49" s="86"/>
      <c r="AN49" s="86"/>
      <c r="AO49" s="86"/>
      <c r="AP49" s="86"/>
      <c r="AQ49" s="86"/>
      <c r="AR49" s="86"/>
      <c r="AS49" s="86"/>
      <c r="AT49" s="86"/>
      <c r="AU49" s="86"/>
      <c r="AV49" s="86"/>
      <c r="AW49" s="86"/>
      <c r="AX49" s="86"/>
      <c r="AY49" s="86"/>
      <c r="AZ49" s="86"/>
      <c r="BA49" s="86"/>
      <c r="BB49" s="86"/>
      <c r="BC49" s="86"/>
      <c r="BD49" s="86"/>
      <c r="BE49" s="86"/>
      <c r="BF49" s="86"/>
      <c r="BG49" s="86"/>
      <c r="BH49" s="86"/>
      <c r="BI49" s="86"/>
      <c r="BJ49" s="86"/>
      <c r="BK49" s="86"/>
      <c r="BL49" s="86"/>
      <c r="BM49" s="86"/>
      <c r="BN49" s="86"/>
      <c r="BO49" s="86"/>
    </row>
    <row r="50" spans="7:67" s="227" customFormat="1" x14ac:dyDescent="0.3">
      <c r="G50" s="202"/>
      <c r="H50" s="86"/>
      <c r="I50" s="86"/>
      <c r="J50" s="86"/>
      <c r="K50" s="86"/>
      <c r="L50" s="86"/>
      <c r="M50" s="199"/>
      <c r="N50" s="86"/>
      <c r="O50" s="86"/>
      <c r="P50" s="86"/>
      <c r="Q50" s="225"/>
      <c r="R50" s="86"/>
      <c r="S50" s="86"/>
      <c r="T50" s="239"/>
      <c r="U50" s="86"/>
      <c r="V50" s="202"/>
      <c r="W50" s="86"/>
      <c r="X50" s="86"/>
      <c r="Y50" s="86"/>
      <c r="Z50" s="86"/>
      <c r="AA50" s="86"/>
      <c r="AB50" s="86"/>
      <c r="AC50" s="86"/>
      <c r="AD50" s="86"/>
      <c r="AE50" s="86"/>
      <c r="AF50" s="86"/>
      <c r="AG50" s="86"/>
      <c r="AH50" s="86"/>
      <c r="AI50" s="86"/>
      <c r="AJ50" s="202"/>
      <c r="AK50" s="202"/>
      <c r="AL50" s="202"/>
      <c r="AM50" s="86"/>
      <c r="AN50" s="86"/>
      <c r="AO50" s="86"/>
      <c r="AP50" s="86"/>
      <c r="AQ50" s="86"/>
      <c r="AR50" s="86"/>
      <c r="AS50" s="86"/>
      <c r="AT50" s="86"/>
      <c r="AU50" s="86"/>
      <c r="AV50" s="86"/>
      <c r="AW50" s="86"/>
      <c r="AX50" s="86"/>
      <c r="AY50" s="86"/>
      <c r="AZ50" s="86"/>
      <c r="BA50" s="86"/>
      <c r="BB50" s="86"/>
      <c r="BC50" s="86"/>
      <c r="BD50" s="86"/>
      <c r="BE50" s="86"/>
      <c r="BF50" s="86"/>
      <c r="BG50" s="86"/>
      <c r="BH50" s="86"/>
      <c r="BI50" s="86"/>
      <c r="BJ50" s="86"/>
      <c r="BK50" s="86"/>
      <c r="BL50" s="86"/>
      <c r="BM50" s="86"/>
      <c r="BN50" s="86"/>
      <c r="BO50" s="86"/>
    </row>
    <row r="51" spans="7:67" s="227" customFormat="1" x14ac:dyDescent="0.3">
      <c r="G51" s="202"/>
      <c r="H51" s="86"/>
      <c r="I51" s="86"/>
      <c r="J51" s="86"/>
      <c r="K51" s="86"/>
      <c r="L51" s="86"/>
      <c r="M51" s="199"/>
      <c r="N51" s="86"/>
      <c r="O51" s="86"/>
      <c r="P51" s="86"/>
      <c r="Q51" s="225"/>
      <c r="R51" s="86"/>
      <c r="S51" s="86"/>
      <c r="T51" s="239"/>
      <c r="U51" s="86"/>
      <c r="V51" s="202"/>
      <c r="W51" s="86"/>
      <c r="X51" s="86"/>
      <c r="Y51" s="86"/>
      <c r="Z51" s="86"/>
      <c r="AA51" s="86"/>
      <c r="AB51" s="86"/>
      <c r="AC51" s="86"/>
      <c r="AD51" s="86"/>
      <c r="AE51" s="86"/>
      <c r="AF51" s="86"/>
      <c r="AG51" s="86"/>
      <c r="AH51" s="86"/>
      <c r="AI51" s="86"/>
      <c r="AJ51" s="202"/>
      <c r="AK51" s="202"/>
      <c r="AL51" s="202"/>
      <c r="AM51" s="86"/>
      <c r="AN51" s="86"/>
      <c r="AO51" s="86"/>
      <c r="AP51" s="86"/>
      <c r="AQ51" s="86"/>
      <c r="AR51" s="86"/>
      <c r="AS51" s="86"/>
      <c r="AT51" s="86"/>
      <c r="AU51" s="86"/>
      <c r="AV51" s="86"/>
      <c r="AW51" s="86"/>
      <c r="AX51" s="86"/>
      <c r="AY51" s="86"/>
      <c r="AZ51" s="86"/>
      <c r="BA51" s="86"/>
      <c r="BB51" s="86"/>
      <c r="BC51" s="86"/>
      <c r="BD51" s="86"/>
      <c r="BE51" s="86"/>
      <c r="BF51" s="86"/>
      <c r="BG51" s="86"/>
      <c r="BH51" s="86"/>
      <c r="BI51" s="86"/>
      <c r="BJ51" s="86"/>
      <c r="BK51" s="86"/>
      <c r="BL51" s="86"/>
      <c r="BM51" s="86"/>
      <c r="BN51" s="86"/>
      <c r="BO51" s="86"/>
    </row>
    <row r="52" spans="7:67" s="227" customFormat="1" x14ac:dyDescent="0.3">
      <c r="G52" s="202"/>
      <c r="H52" s="86"/>
      <c r="I52" s="86"/>
      <c r="J52" s="86"/>
      <c r="K52" s="86"/>
      <c r="L52" s="86"/>
      <c r="M52" s="199"/>
      <c r="N52" s="86"/>
      <c r="O52" s="86"/>
      <c r="P52" s="86"/>
      <c r="Q52" s="225"/>
      <c r="R52" s="86"/>
      <c r="S52" s="86"/>
      <c r="T52" s="239"/>
      <c r="U52" s="86"/>
      <c r="V52" s="202"/>
      <c r="W52" s="86"/>
      <c r="X52" s="86"/>
      <c r="Y52" s="86"/>
      <c r="Z52" s="86"/>
      <c r="AA52" s="86"/>
      <c r="AB52" s="86"/>
      <c r="AC52" s="86"/>
      <c r="AD52" s="86"/>
      <c r="AE52" s="86"/>
      <c r="AF52" s="86"/>
      <c r="AG52" s="86"/>
      <c r="AH52" s="86"/>
      <c r="AI52" s="86"/>
      <c r="AJ52" s="202"/>
      <c r="AK52" s="202"/>
      <c r="AL52" s="202"/>
      <c r="AM52" s="86"/>
      <c r="AN52" s="86"/>
      <c r="AO52" s="86"/>
      <c r="AP52" s="86"/>
      <c r="AQ52" s="86"/>
      <c r="AR52" s="86"/>
      <c r="AS52" s="86"/>
      <c r="AT52" s="86"/>
      <c r="AU52" s="86"/>
      <c r="AV52" s="86"/>
      <c r="AW52" s="86"/>
      <c r="AX52" s="86"/>
      <c r="AY52" s="86"/>
      <c r="AZ52" s="86"/>
      <c r="BA52" s="86"/>
      <c r="BB52" s="86"/>
      <c r="BC52" s="86"/>
      <c r="BD52" s="86"/>
      <c r="BE52" s="86"/>
      <c r="BF52" s="86"/>
      <c r="BG52" s="86"/>
      <c r="BH52" s="86"/>
      <c r="BI52" s="86"/>
      <c r="BJ52" s="86"/>
      <c r="BK52" s="86"/>
      <c r="BL52" s="86"/>
      <c r="BM52" s="86"/>
      <c r="BN52" s="86"/>
      <c r="BO52" s="86"/>
    </row>
    <row r="53" spans="7:67" s="227" customFormat="1" x14ac:dyDescent="0.3">
      <c r="G53" s="202"/>
      <c r="H53" s="86"/>
      <c r="I53" s="86"/>
      <c r="J53" s="86"/>
      <c r="K53" s="86"/>
      <c r="L53" s="86"/>
      <c r="M53" s="199"/>
      <c r="N53" s="86"/>
      <c r="O53" s="86"/>
      <c r="P53" s="86"/>
      <c r="Q53" s="225"/>
      <c r="R53" s="86"/>
      <c r="S53" s="86"/>
      <c r="T53" s="239"/>
      <c r="U53" s="86"/>
      <c r="V53" s="202"/>
      <c r="W53" s="86"/>
      <c r="X53" s="86"/>
      <c r="Y53" s="86"/>
      <c r="Z53" s="86"/>
      <c r="AA53" s="86"/>
      <c r="AB53" s="86"/>
      <c r="AC53" s="86"/>
      <c r="AD53" s="86"/>
      <c r="AE53" s="86"/>
      <c r="AF53" s="86"/>
      <c r="AG53" s="86"/>
      <c r="AH53" s="86"/>
      <c r="AI53" s="86"/>
      <c r="AJ53" s="202"/>
      <c r="AK53" s="202"/>
      <c r="AL53" s="202"/>
      <c r="AM53" s="86"/>
      <c r="AN53" s="86"/>
      <c r="AO53" s="86"/>
      <c r="AP53" s="86"/>
      <c r="AQ53" s="86"/>
      <c r="AR53" s="86"/>
      <c r="AS53" s="86"/>
      <c r="AT53" s="86"/>
      <c r="AU53" s="86"/>
      <c r="AV53" s="86"/>
      <c r="AW53" s="86"/>
      <c r="AX53" s="86"/>
      <c r="AY53" s="86"/>
      <c r="AZ53" s="86"/>
      <c r="BA53" s="86"/>
      <c r="BB53" s="86"/>
      <c r="BC53" s="86"/>
      <c r="BD53" s="86"/>
      <c r="BE53" s="86"/>
      <c r="BF53" s="86"/>
      <c r="BG53" s="86"/>
      <c r="BH53" s="86"/>
      <c r="BI53" s="86"/>
      <c r="BJ53" s="86"/>
      <c r="BK53" s="86"/>
      <c r="BL53" s="86"/>
      <c r="BM53" s="86"/>
      <c r="BN53" s="86"/>
      <c r="BO53" s="86"/>
    </row>
    <row r="54" spans="7:67" s="227" customFormat="1" x14ac:dyDescent="0.3">
      <c r="G54" s="202"/>
      <c r="H54" s="86"/>
      <c r="I54" s="86"/>
      <c r="J54" s="86"/>
      <c r="K54" s="86"/>
      <c r="L54" s="86"/>
      <c r="M54" s="199"/>
      <c r="N54" s="86"/>
      <c r="O54" s="86"/>
      <c r="P54" s="86"/>
      <c r="Q54" s="225"/>
      <c r="R54" s="86"/>
      <c r="S54" s="86"/>
      <c r="T54" s="239"/>
      <c r="U54" s="86"/>
      <c r="V54" s="202"/>
      <c r="W54" s="86"/>
      <c r="X54" s="86"/>
      <c r="Y54" s="86"/>
      <c r="Z54" s="86"/>
      <c r="AA54" s="86"/>
      <c r="AB54" s="86"/>
      <c r="AC54" s="86"/>
      <c r="AD54" s="86"/>
      <c r="AE54" s="86"/>
      <c r="AF54" s="86"/>
      <c r="AG54" s="86"/>
      <c r="AH54" s="86"/>
      <c r="AI54" s="86"/>
      <c r="AJ54" s="202"/>
      <c r="AK54" s="202"/>
      <c r="AL54" s="202"/>
      <c r="AM54" s="86"/>
      <c r="AN54" s="86"/>
      <c r="AO54" s="86"/>
      <c r="AP54" s="86"/>
      <c r="AQ54" s="86"/>
      <c r="AR54" s="86"/>
      <c r="AS54" s="86"/>
      <c r="AT54" s="86"/>
      <c r="AU54" s="86"/>
      <c r="AV54" s="86"/>
      <c r="AW54" s="86"/>
      <c r="AX54" s="86"/>
      <c r="AY54" s="86"/>
      <c r="AZ54" s="86"/>
      <c r="BA54" s="86"/>
      <c r="BB54" s="86"/>
      <c r="BC54" s="86"/>
      <c r="BD54" s="86"/>
      <c r="BE54" s="86"/>
      <c r="BF54" s="86"/>
      <c r="BG54" s="86"/>
      <c r="BH54" s="86"/>
      <c r="BI54" s="86"/>
      <c r="BJ54" s="86"/>
      <c r="BK54" s="86"/>
      <c r="BL54" s="86"/>
      <c r="BM54" s="86"/>
      <c r="BN54" s="86"/>
      <c r="BO54" s="86"/>
    </row>
    <row r="55" spans="7:67" s="227" customFormat="1" x14ac:dyDescent="0.3">
      <c r="G55" s="202"/>
      <c r="H55" s="86"/>
      <c r="I55" s="86"/>
      <c r="J55" s="86"/>
      <c r="K55" s="86"/>
      <c r="L55" s="86"/>
      <c r="M55" s="199"/>
      <c r="N55" s="86"/>
      <c r="O55" s="86"/>
      <c r="P55" s="86"/>
      <c r="Q55" s="225"/>
      <c r="R55" s="86"/>
      <c r="S55" s="86"/>
      <c r="T55" s="239"/>
      <c r="U55" s="86"/>
      <c r="V55" s="202"/>
      <c r="W55" s="86"/>
      <c r="X55" s="86"/>
      <c r="Y55" s="86"/>
      <c r="Z55" s="86"/>
      <c r="AA55" s="86"/>
      <c r="AB55" s="86"/>
      <c r="AC55" s="86"/>
      <c r="AD55" s="86"/>
      <c r="AE55" s="86"/>
      <c r="AF55" s="86"/>
      <c r="AG55" s="86"/>
      <c r="AH55" s="86"/>
      <c r="AI55" s="86"/>
      <c r="AJ55" s="202"/>
      <c r="AK55" s="202"/>
      <c r="AL55" s="202"/>
      <c r="AM55" s="86"/>
      <c r="AN55" s="86"/>
      <c r="AO55" s="86"/>
      <c r="AP55" s="86"/>
      <c r="AQ55" s="86"/>
      <c r="AR55" s="86"/>
      <c r="AS55" s="86"/>
      <c r="AT55" s="86"/>
      <c r="AU55" s="86"/>
      <c r="AV55" s="86"/>
      <c r="AW55" s="86"/>
      <c r="AX55" s="86"/>
      <c r="AY55" s="86"/>
      <c r="AZ55" s="86"/>
      <c r="BA55" s="86"/>
      <c r="BB55" s="86"/>
      <c r="BC55" s="86"/>
      <c r="BD55" s="86"/>
      <c r="BE55" s="86"/>
      <c r="BF55" s="86"/>
      <c r="BG55" s="86"/>
      <c r="BH55" s="86"/>
      <c r="BI55" s="86"/>
      <c r="BJ55" s="86"/>
      <c r="BK55" s="86"/>
      <c r="BL55" s="86"/>
      <c r="BM55" s="86"/>
      <c r="BN55" s="86"/>
      <c r="BO55" s="86"/>
    </row>
    <row r="56" spans="7:67" s="227" customFormat="1" x14ac:dyDescent="0.3">
      <c r="G56" s="202"/>
      <c r="H56" s="86"/>
      <c r="I56" s="86"/>
      <c r="J56" s="86"/>
      <c r="K56" s="86"/>
      <c r="L56" s="86"/>
      <c r="M56" s="199"/>
      <c r="N56" s="86"/>
      <c r="O56" s="86"/>
      <c r="P56" s="86"/>
      <c r="Q56" s="225"/>
      <c r="R56" s="86"/>
      <c r="S56" s="86"/>
      <c r="T56" s="239"/>
      <c r="U56" s="86"/>
      <c r="V56" s="202"/>
      <c r="W56" s="86"/>
      <c r="X56" s="86"/>
      <c r="Y56" s="86"/>
      <c r="Z56" s="86"/>
      <c r="AA56" s="86"/>
      <c r="AB56" s="86"/>
      <c r="AC56" s="86"/>
      <c r="AD56" s="86"/>
      <c r="AE56" s="86"/>
      <c r="AF56" s="86"/>
      <c r="AG56" s="86"/>
      <c r="AH56" s="86"/>
      <c r="AI56" s="86"/>
      <c r="AJ56" s="202"/>
      <c r="AK56" s="202"/>
      <c r="AL56" s="202"/>
      <c r="AM56" s="86"/>
      <c r="AN56" s="86"/>
      <c r="AO56" s="86"/>
      <c r="AP56" s="86"/>
      <c r="AQ56" s="86"/>
      <c r="AR56" s="86"/>
      <c r="AS56" s="86"/>
      <c r="AT56" s="86"/>
      <c r="AU56" s="86"/>
      <c r="AV56" s="86"/>
      <c r="AW56" s="86"/>
      <c r="AX56" s="86"/>
      <c r="AY56" s="86"/>
      <c r="AZ56" s="86"/>
      <c r="BA56" s="86"/>
      <c r="BB56" s="86"/>
      <c r="BC56" s="86"/>
      <c r="BD56" s="86"/>
      <c r="BE56" s="86"/>
      <c r="BF56" s="86"/>
      <c r="BG56" s="86"/>
      <c r="BH56" s="86"/>
      <c r="BI56" s="86"/>
      <c r="BJ56" s="86"/>
      <c r="BK56" s="86"/>
      <c r="BL56" s="86"/>
      <c r="BM56" s="86"/>
      <c r="BN56" s="86"/>
      <c r="BO56" s="86"/>
    </row>
    <row r="57" spans="7:67" s="227" customFormat="1" x14ac:dyDescent="0.3">
      <c r="G57" s="202"/>
      <c r="H57" s="86"/>
      <c r="I57" s="86"/>
      <c r="J57" s="86"/>
      <c r="K57" s="86"/>
      <c r="L57" s="86"/>
      <c r="M57" s="199"/>
      <c r="N57" s="86"/>
      <c r="O57" s="86"/>
      <c r="P57" s="86"/>
      <c r="Q57" s="225"/>
      <c r="R57" s="86"/>
      <c r="S57" s="86"/>
      <c r="T57" s="239"/>
      <c r="U57" s="86"/>
      <c r="V57" s="202"/>
      <c r="W57" s="86"/>
      <c r="X57" s="86"/>
      <c r="Y57" s="86"/>
      <c r="Z57" s="86"/>
      <c r="AA57" s="86"/>
      <c r="AB57" s="86"/>
      <c r="AC57" s="86"/>
      <c r="AD57" s="86"/>
      <c r="AE57" s="86"/>
      <c r="AF57" s="86"/>
      <c r="AG57" s="86"/>
      <c r="AH57" s="86"/>
      <c r="AI57" s="86"/>
      <c r="AJ57" s="202"/>
      <c r="AK57" s="202"/>
      <c r="AL57" s="202"/>
      <c r="AM57" s="86"/>
      <c r="AN57" s="86"/>
      <c r="AO57" s="86"/>
      <c r="AP57" s="86"/>
      <c r="AQ57" s="86"/>
      <c r="AR57" s="86"/>
      <c r="AS57" s="86"/>
      <c r="AT57" s="86"/>
      <c r="AU57" s="86"/>
      <c r="AV57" s="86"/>
      <c r="AW57" s="86"/>
      <c r="AX57" s="86"/>
      <c r="AY57" s="86"/>
      <c r="AZ57" s="86"/>
      <c r="BA57" s="86"/>
      <c r="BB57" s="86"/>
      <c r="BC57" s="86"/>
      <c r="BD57" s="86"/>
      <c r="BE57" s="86"/>
      <c r="BF57" s="86"/>
      <c r="BG57" s="86"/>
      <c r="BH57" s="86"/>
      <c r="BI57" s="86"/>
      <c r="BJ57" s="86"/>
      <c r="BK57" s="86"/>
      <c r="BL57" s="86"/>
      <c r="BM57" s="86"/>
      <c r="BN57" s="86"/>
      <c r="BO57" s="86"/>
    </row>
    <row r="58" spans="7:67" s="227" customFormat="1" x14ac:dyDescent="0.3">
      <c r="G58" s="202"/>
      <c r="H58" s="86"/>
      <c r="I58" s="86"/>
      <c r="J58" s="86"/>
      <c r="K58" s="86"/>
      <c r="L58" s="86"/>
      <c r="M58" s="199"/>
      <c r="N58" s="86"/>
      <c r="O58" s="86"/>
      <c r="P58" s="86"/>
      <c r="Q58" s="225"/>
      <c r="R58" s="86"/>
      <c r="S58" s="86"/>
      <c r="T58" s="239"/>
      <c r="U58" s="86"/>
      <c r="V58" s="202"/>
      <c r="W58" s="86"/>
      <c r="X58" s="86"/>
      <c r="Y58" s="86"/>
      <c r="Z58" s="86"/>
      <c r="AA58" s="86"/>
      <c r="AB58" s="86"/>
      <c r="AC58" s="86"/>
      <c r="AD58" s="86"/>
      <c r="AE58" s="86"/>
      <c r="AF58" s="86"/>
      <c r="AG58" s="86"/>
      <c r="AH58" s="86"/>
      <c r="AI58" s="86"/>
      <c r="AJ58" s="202"/>
      <c r="AK58" s="202"/>
      <c r="AL58" s="202"/>
      <c r="AM58" s="86"/>
      <c r="AN58" s="86"/>
      <c r="AO58" s="86"/>
      <c r="AP58" s="86"/>
      <c r="AQ58" s="86"/>
      <c r="AR58" s="86"/>
      <c r="AS58" s="86"/>
      <c r="AT58" s="86"/>
      <c r="AU58" s="86"/>
      <c r="AV58" s="86"/>
      <c r="AW58" s="86"/>
      <c r="AX58" s="86"/>
      <c r="AY58" s="86"/>
      <c r="AZ58" s="86"/>
      <c r="BA58" s="86"/>
      <c r="BB58" s="86"/>
      <c r="BC58" s="86"/>
      <c r="BD58" s="86"/>
      <c r="BE58" s="86"/>
      <c r="BF58" s="86"/>
      <c r="BG58" s="86"/>
      <c r="BH58" s="86"/>
      <c r="BI58" s="86"/>
      <c r="BJ58" s="86"/>
      <c r="BK58" s="86"/>
      <c r="BL58" s="86"/>
      <c r="BM58" s="86"/>
      <c r="BN58" s="86"/>
      <c r="BO58" s="86"/>
    </row>
    <row r="59" spans="7:67" s="227" customFormat="1" x14ac:dyDescent="0.3">
      <c r="G59" s="202"/>
      <c r="H59" s="86"/>
      <c r="I59" s="86"/>
      <c r="J59" s="86"/>
      <c r="K59" s="86"/>
      <c r="L59" s="86"/>
      <c r="M59" s="199"/>
      <c r="N59" s="86"/>
      <c r="O59" s="86"/>
      <c r="P59" s="86"/>
      <c r="Q59" s="225"/>
      <c r="R59" s="86"/>
      <c r="S59" s="86"/>
      <c r="T59" s="239"/>
      <c r="U59" s="86"/>
      <c r="V59" s="202"/>
      <c r="W59" s="86"/>
      <c r="X59" s="86"/>
      <c r="Y59" s="86"/>
      <c r="Z59" s="86"/>
      <c r="AA59" s="86"/>
      <c r="AB59" s="86"/>
      <c r="AC59" s="86"/>
      <c r="AD59" s="86"/>
      <c r="AE59" s="86"/>
      <c r="AF59" s="86"/>
      <c r="AG59" s="86"/>
      <c r="AH59" s="86"/>
      <c r="AI59" s="86"/>
      <c r="AJ59" s="202"/>
      <c r="AK59" s="202"/>
      <c r="AL59" s="202"/>
      <c r="AM59" s="86"/>
      <c r="AN59" s="86"/>
      <c r="AO59" s="86"/>
      <c r="AP59" s="86"/>
      <c r="AQ59" s="86"/>
      <c r="AR59" s="86"/>
      <c r="AS59" s="86"/>
      <c r="AT59" s="86"/>
      <c r="AU59" s="86"/>
      <c r="AV59" s="86"/>
      <c r="AW59" s="86"/>
      <c r="AX59" s="86"/>
      <c r="AY59" s="86"/>
      <c r="AZ59" s="86"/>
      <c r="BA59" s="86"/>
      <c r="BB59" s="86"/>
      <c r="BC59" s="86"/>
      <c r="BD59" s="86"/>
      <c r="BE59" s="86"/>
      <c r="BF59" s="86"/>
      <c r="BG59" s="86"/>
      <c r="BH59" s="86"/>
      <c r="BI59" s="86"/>
      <c r="BJ59" s="86"/>
      <c r="BK59" s="86"/>
      <c r="BL59" s="86"/>
      <c r="BM59" s="86"/>
      <c r="BN59" s="86"/>
      <c r="BO59" s="86"/>
    </row>
    <row r="60" spans="7:67" x14ac:dyDescent="0.3">
      <c r="T60" s="107"/>
    </row>
    <row r="61" spans="7:67" x14ac:dyDescent="0.3">
      <c r="T61" s="107"/>
    </row>
    <row r="62" spans="7:67" x14ac:dyDescent="0.3">
      <c r="T62" s="107"/>
    </row>
    <row r="63" spans="7:67" x14ac:dyDescent="0.3">
      <c r="T63" s="107"/>
    </row>
    <row r="64" spans="7:67" x14ac:dyDescent="0.3">
      <c r="T64" s="107"/>
    </row>
    <row r="65" spans="20:20" x14ac:dyDescent="0.3">
      <c r="T65" s="107"/>
    </row>
    <row r="66" spans="20:20" x14ac:dyDescent="0.3">
      <c r="T66" s="107"/>
    </row>
  </sheetData>
  <pageMargins left="0.7" right="0.7" top="0.75" bottom="0.75" header="0.3" footer="0.3"/>
  <pageSetup orientation="portrait" verticalDpi="0" r:id="rId1"/>
  <headerFooter>
    <oddFooter>&amp;L&amp;F&amp;C&amp;A&amp;R&amp;D&amp;T</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8E4B59-50A8-4C7B-9267-F2C000925DA0}">
  <sheetPr>
    <tabColor rgb="FFFF0000"/>
  </sheetPr>
  <dimension ref="B2:CQ66"/>
  <sheetViews>
    <sheetView zoomScale="80" zoomScaleNormal="80" workbookViewId="0"/>
  </sheetViews>
  <sheetFormatPr defaultColWidth="14.33203125" defaultRowHeight="14.4" x14ac:dyDescent="0.3"/>
  <cols>
    <col min="1" max="1" width="4.33203125" style="75" customWidth="1"/>
    <col min="2" max="6" width="14.33203125" style="75"/>
    <col min="7" max="7" width="14.33203125" style="80"/>
    <col min="8" max="12" width="14.33203125" style="79"/>
    <col min="13" max="13" width="15.109375" style="78" bestFit="1" customWidth="1"/>
    <col min="14" max="16" width="14.33203125" style="79"/>
    <col min="17" max="17" width="14.33203125" style="81"/>
    <col min="18" max="21" width="14.33203125" style="79"/>
    <col min="22" max="22" width="14.33203125" style="80"/>
    <col min="23" max="35" width="14.33203125" style="79"/>
    <col min="36" max="36" width="14.33203125" style="80"/>
    <col min="37" max="37" width="16.33203125" style="80" bestFit="1" customWidth="1"/>
    <col min="38" max="38" width="14.33203125" style="80"/>
    <col min="39" max="67" width="14.33203125" style="79"/>
    <col min="68" max="16384" width="14.33203125" style="75"/>
  </cols>
  <sheetData>
    <row r="2" spans="2:95" x14ac:dyDescent="0.3">
      <c r="Y2" s="82" t="s">
        <v>90</v>
      </c>
      <c r="Z2" s="83"/>
      <c r="AA2" s="83"/>
      <c r="AB2" s="84"/>
      <c r="AE2" s="82" t="s">
        <v>91</v>
      </c>
      <c r="AF2" s="85"/>
      <c r="AG2" s="86"/>
      <c r="AJ2" s="82" t="s">
        <v>153</v>
      </c>
      <c r="AK2" s="85"/>
      <c r="AN2" s="82" t="s">
        <v>92</v>
      </c>
      <c r="AO2" s="83"/>
      <c r="AP2" s="83"/>
      <c r="AQ2" s="84"/>
      <c r="AS2" s="82" t="s">
        <v>93</v>
      </c>
      <c r="AT2" s="84"/>
    </row>
    <row r="3" spans="2:95" s="87" customFormat="1" ht="28.8" x14ac:dyDescent="0.3">
      <c r="F3" s="88" t="s">
        <v>94</v>
      </c>
      <c r="G3" s="92"/>
      <c r="H3" s="90" t="s">
        <v>736</v>
      </c>
      <c r="I3" s="90" t="s">
        <v>750</v>
      </c>
      <c r="J3" s="90" t="s">
        <v>96</v>
      </c>
      <c r="K3" s="93"/>
      <c r="L3" s="94"/>
      <c r="M3" s="95"/>
      <c r="N3" s="94"/>
      <c r="O3" s="94"/>
      <c r="P3" s="96"/>
      <c r="Q3" s="90" t="s">
        <v>97</v>
      </c>
      <c r="R3" s="96"/>
      <c r="S3" s="91"/>
      <c r="T3" s="91"/>
      <c r="U3" s="91"/>
      <c r="V3" s="92"/>
      <c r="W3" s="91"/>
      <c r="X3" s="91"/>
      <c r="Y3" s="97" t="s">
        <v>38</v>
      </c>
      <c r="Z3" s="97" t="s">
        <v>222</v>
      </c>
      <c r="AA3" s="97" t="s">
        <v>98</v>
      </c>
      <c r="AB3" s="97" t="s">
        <v>223</v>
      </c>
      <c r="AD3" s="91"/>
      <c r="AE3" s="98" t="s">
        <v>38</v>
      </c>
      <c r="AF3" s="98" t="s">
        <v>222</v>
      </c>
      <c r="AG3" s="91"/>
      <c r="AH3" s="79"/>
      <c r="AI3" s="79"/>
      <c r="AJ3" s="97" t="s">
        <v>151</v>
      </c>
      <c r="AK3" s="97" t="s">
        <v>152</v>
      </c>
      <c r="AN3" s="97" t="s">
        <v>98</v>
      </c>
      <c r="AO3" s="97" t="s">
        <v>99</v>
      </c>
      <c r="AP3" s="97" t="s">
        <v>38</v>
      </c>
      <c r="AQ3" s="97" t="s">
        <v>222</v>
      </c>
      <c r="AR3" s="91"/>
      <c r="AS3" s="97" t="s">
        <v>38</v>
      </c>
      <c r="AT3" s="97" t="s">
        <v>222</v>
      </c>
      <c r="AU3" s="97" t="s">
        <v>100</v>
      </c>
      <c r="AV3" s="88" t="s">
        <v>101</v>
      </c>
      <c r="AW3" s="91"/>
      <c r="AX3" s="91"/>
      <c r="AY3" s="91"/>
      <c r="AZ3" s="91"/>
      <c r="BA3" s="91"/>
      <c r="BB3" s="91"/>
      <c r="BC3" s="91"/>
      <c r="BD3" s="91"/>
      <c r="BE3" s="91"/>
      <c r="BF3" s="91"/>
      <c r="BG3" s="91"/>
      <c r="BH3" s="91"/>
      <c r="BI3" s="91"/>
      <c r="BJ3" s="91"/>
      <c r="BK3" s="91"/>
      <c r="BL3" s="91"/>
      <c r="BM3" s="91"/>
      <c r="BN3" s="91"/>
      <c r="BO3" s="91"/>
    </row>
    <row r="4" spans="2:95" x14ac:dyDescent="0.3">
      <c r="F4" s="99">
        <f t="array" ref="F4">MAX(($F$12:$F$44&gt;0)*($B$12:$B$44))</f>
        <v>25</v>
      </c>
      <c r="H4" s="101">
        <f>AVERAGEIF(H12:H44,"&gt;0")</f>
        <v>18943.35042983614</v>
      </c>
      <c r="I4" s="101">
        <f>AVERAGEIF(I12:I44,"&gt;0")</f>
        <v>18943.35042983614</v>
      </c>
      <c r="J4" s="100">
        <f>AVERAGEIF(J12:J44,"&gt;0")</f>
        <v>1</v>
      </c>
      <c r="Q4" s="100">
        <f>AVERAGEIF(Q12:Q44,"&gt;0")</f>
        <v>0.38522503402884672</v>
      </c>
      <c r="Y4" s="103">
        <f>IRR(AF11:AF44)</f>
        <v>0.13880781614597448</v>
      </c>
      <c r="Z4" s="104">
        <f>NPV(Y4,AF11:AF44)</f>
        <v>-1.6372070091197131E-11</v>
      </c>
      <c r="AA4" s="103">
        <f>XIRR(AG11:AG44,E11:E44,1)</f>
        <v>0.13871575519442558</v>
      </c>
      <c r="AB4" s="101">
        <f>XNPV(AA4,AG11:AG44,E11:E44)</f>
        <v>4.3318006089521077E-4</v>
      </c>
      <c r="AE4" s="103">
        <f>IRR(AE11:AE44)</f>
        <v>0.15555444828653275</v>
      </c>
      <c r="AF4" s="105">
        <f>NPV(AE4,AE11:AE44)</f>
        <v>2.6902961042926042E-8</v>
      </c>
      <c r="AJ4" s="106">
        <f>AVERAGEIF(AM12:AM44,"&gt;0")</f>
        <v>0.98732397547259809</v>
      </c>
      <c r="AK4" s="106">
        <f t="array" ref="AK4">MIN(IF(AM12:AM44&lt;&gt;0,AM12:AM44))</f>
        <v>0.87096232998517364</v>
      </c>
      <c r="AN4" s="103">
        <f>XIRR(AP11:AP44,D11:D44,1)</f>
        <v>0.11408690735697746</v>
      </c>
      <c r="AO4" s="106">
        <f>XNPV(AN4,AP11:AP44,D11:D44)</f>
        <v>1.8280087605262452E-3</v>
      </c>
      <c r="AP4" s="103">
        <f>IFERROR(IRR(AP11:AP44),"NEG IRR")</f>
        <v>0.11416119077906761</v>
      </c>
      <c r="AQ4" s="105">
        <f>NPV(AP4,AP11:AP44)</f>
        <v>1.2700268202632596E-8</v>
      </c>
      <c r="AS4" s="103">
        <f>IRR(AO11:AO44)</f>
        <v>0.14478058866358912</v>
      </c>
      <c r="AT4" s="105">
        <f>NPV(AS4,AO11:AO44)</f>
        <v>7.5474721989559078E-12</v>
      </c>
      <c r="AU4" s="105">
        <f>IFERROR(MATCH(1,$AU$12:$AU$44,0),"NONE")</f>
        <v>13</v>
      </c>
      <c r="AV4" s="99">
        <f t="array" ref="AV4">MAX(($AV$12:$AV$44&gt;0)*($B$12:$B$44))</f>
        <v>25</v>
      </c>
    </row>
    <row r="6" spans="2:95" x14ac:dyDescent="0.3">
      <c r="G6" s="112"/>
      <c r="H6" s="111"/>
      <c r="T6" s="113"/>
      <c r="V6" s="114"/>
    </row>
    <row r="7" spans="2:95" x14ac:dyDescent="0.3">
      <c r="G7" s="117" t="s">
        <v>103</v>
      </c>
      <c r="H7" s="761"/>
      <c r="I7" s="117" t="s">
        <v>105</v>
      </c>
      <c r="J7" s="118"/>
      <c r="K7" s="105" t="s">
        <v>106</v>
      </c>
      <c r="L7" s="105" t="s">
        <v>107</v>
      </c>
      <c r="M7" s="119" t="s">
        <v>108</v>
      </c>
      <c r="N7" s="105" t="s">
        <v>109</v>
      </c>
      <c r="O7" s="120" t="s">
        <v>110</v>
      </c>
      <c r="P7" s="121" t="s">
        <v>111</v>
      </c>
      <c r="Q7" s="123"/>
      <c r="T7" s="425" t="s">
        <v>112</v>
      </c>
      <c r="U7" s="427"/>
      <c r="V7" s="430" t="s">
        <v>13</v>
      </c>
      <c r="W7" s="431"/>
      <c r="X7" s="432"/>
      <c r="Y7" s="124" t="s">
        <v>113</v>
      </c>
      <c r="Z7" s="83"/>
      <c r="AA7" s="83"/>
      <c r="AB7" s="83"/>
      <c r="AC7" s="125" t="s">
        <v>114</v>
      </c>
      <c r="AD7" s="127" t="s">
        <v>110</v>
      </c>
      <c r="AE7" s="128" t="s">
        <v>115</v>
      </c>
      <c r="AF7" s="126"/>
      <c r="AG7" s="105" t="s">
        <v>116</v>
      </c>
      <c r="AH7" s="129" t="s">
        <v>117</v>
      </c>
      <c r="AI7" s="130"/>
      <c r="AJ7" s="131"/>
      <c r="AK7" s="131"/>
      <c r="AL7" s="131"/>
      <c r="AM7" s="132"/>
      <c r="AN7" s="133" t="s">
        <v>118</v>
      </c>
      <c r="AO7" s="133"/>
      <c r="AP7" s="134"/>
      <c r="AQ7" s="126"/>
      <c r="AR7" s="126"/>
      <c r="AS7" s="126"/>
      <c r="AT7" s="126"/>
      <c r="AU7" s="126"/>
      <c r="AV7" s="127"/>
      <c r="BI7" s="135"/>
      <c r="BS7" s="136"/>
      <c r="CD7" s="136"/>
      <c r="CJ7" s="136"/>
      <c r="CQ7" s="136"/>
    </row>
    <row r="8" spans="2:95" s="163" customFormat="1" ht="43.2" x14ac:dyDescent="0.3">
      <c r="B8" s="34" t="s">
        <v>51</v>
      </c>
      <c r="C8" s="137" t="s">
        <v>52</v>
      </c>
      <c r="D8" s="36" t="s">
        <v>56</v>
      </c>
      <c r="E8" s="138" t="s">
        <v>57</v>
      </c>
      <c r="F8" s="139" t="s">
        <v>119</v>
      </c>
      <c r="G8" s="143" t="s">
        <v>120</v>
      </c>
      <c r="H8" s="147" t="s">
        <v>121</v>
      </c>
      <c r="I8" s="142" t="s">
        <v>105</v>
      </c>
      <c r="J8" s="144" t="s">
        <v>123</v>
      </c>
      <c r="K8" s="139" t="s">
        <v>124</v>
      </c>
      <c r="L8" s="139" t="s">
        <v>107</v>
      </c>
      <c r="M8" s="146" t="s">
        <v>125</v>
      </c>
      <c r="N8" s="147" t="s">
        <v>126</v>
      </c>
      <c r="O8" s="147" t="s">
        <v>110</v>
      </c>
      <c r="P8" s="148" t="s">
        <v>111</v>
      </c>
      <c r="Q8" s="149" t="s">
        <v>127</v>
      </c>
      <c r="R8" s="150"/>
      <c r="S8" s="150"/>
      <c r="T8" s="428" t="s">
        <v>128</v>
      </c>
      <c r="U8" s="156" t="s">
        <v>130</v>
      </c>
      <c r="V8" s="433" t="s">
        <v>215</v>
      </c>
      <c r="W8" s="429" t="s">
        <v>131</v>
      </c>
      <c r="X8" s="156" t="s">
        <v>132</v>
      </c>
      <c r="Y8" s="152" t="s">
        <v>133</v>
      </c>
      <c r="Z8" s="152" t="s">
        <v>134</v>
      </c>
      <c r="AA8" s="152" t="s">
        <v>131</v>
      </c>
      <c r="AB8" s="151" t="s">
        <v>135</v>
      </c>
      <c r="AC8" s="153" t="s">
        <v>136</v>
      </c>
      <c r="AD8" s="155" t="s">
        <v>137</v>
      </c>
      <c r="AE8" s="156" t="s">
        <v>138</v>
      </c>
      <c r="AF8" s="154" t="s">
        <v>139</v>
      </c>
      <c r="AG8" s="42" t="s">
        <v>116</v>
      </c>
      <c r="AH8" s="157" t="s">
        <v>140</v>
      </c>
      <c r="AI8" s="158" t="s">
        <v>141</v>
      </c>
      <c r="AJ8" s="159" t="s">
        <v>142</v>
      </c>
      <c r="AK8" s="159" t="s">
        <v>63</v>
      </c>
      <c r="AL8" s="159" t="s">
        <v>131</v>
      </c>
      <c r="AM8" s="160" t="s">
        <v>143</v>
      </c>
      <c r="AN8" s="152" t="s">
        <v>144</v>
      </c>
      <c r="AO8" s="152" t="s">
        <v>145</v>
      </c>
      <c r="AP8" s="41" t="s">
        <v>146</v>
      </c>
      <c r="AQ8" s="161" t="s">
        <v>147</v>
      </c>
      <c r="AR8" s="161" t="s">
        <v>64</v>
      </c>
      <c r="AS8" s="161" t="s">
        <v>65</v>
      </c>
      <c r="AT8" s="161" t="s">
        <v>148</v>
      </c>
      <c r="AU8" s="161" t="s">
        <v>100</v>
      </c>
      <c r="AV8" s="144" t="s">
        <v>149</v>
      </c>
      <c r="AW8" s="162"/>
      <c r="AX8" s="162"/>
      <c r="AY8" s="162"/>
      <c r="AZ8" s="162"/>
      <c r="BA8" s="162"/>
      <c r="BB8" s="162"/>
      <c r="BC8" s="162"/>
      <c r="BD8" s="162"/>
      <c r="BE8" s="162"/>
      <c r="BF8" s="162"/>
      <c r="BG8" s="162"/>
      <c r="BH8" s="162"/>
      <c r="BI8" s="102"/>
      <c r="BJ8" s="162"/>
      <c r="BK8" s="162"/>
      <c r="BL8" s="162"/>
      <c r="BM8" s="162"/>
      <c r="BN8" s="162"/>
      <c r="BO8" s="162"/>
      <c r="BS8" s="164"/>
      <c r="CD8" s="75"/>
      <c r="CJ8" s="75"/>
      <c r="CQ8" s="75"/>
    </row>
    <row r="9" spans="2:95" s="163" customFormat="1" x14ac:dyDescent="0.3">
      <c r="B9" s="165"/>
      <c r="C9" s="166"/>
      <c r="D9" s="167"/>
      <c r="E9" s="170"/>
      <c r="F9" s="171"/>
      <c r="G9" s="177">
        <f t="shared" ref="G9:I9" si="0">SUM(G12:G44)</f>
        <v>0</v>
      </c>
      <c r="H9" s="178">
        <f t="shared" si="0"/>
        <v>473583.76074590354</v>
      </c>
      <c r="I9" s="176">
        <f t="shared" si="0"/>
        <v>473583.76074590354</v>
      </c>
      <c r="J9" s="175"/>
      <c r="K9" s="178">
        <f t="shared" ref="K9:P9" si="1">SUM(K12:K44)</f>
        <v>118500</v>
      </c>
      <c r="L9" s="178">
        <f t="shared" si="1"/>
        <v>355083.76074590359</v>
      </c>
      <c r="M9" s="178">
        <f t="shared" si="1"/>
        <v>94460.445961832273</v>
      </c>
      <c r="N9" s="178">
        <f t="shared" si="1"/>
        <v>260623.31478407141</v>
      </c>
      <c r="O9" s="178">
        <f t="shared" si="1"/>
        <v>78186.994435221466</v>
      </c>
      <c r="P9" s="176">
        <f t="shared" si="1"/>
        <v>182436.32034885004</v>
      </c>
      <c r="Q9" s="179"/>
      <c r="R9" s="162"/>
      <c r="S9" s="162"/>
      <c r="T9" s="180">
        <f>SUM(T12:T44)</f>
        <v>473583.76074590354</v>
      </c>
      <c r="U9" s="183">
        <f>SUM(U12:U44)</f>
        <v>473583.76074590354</v>
      </c>
      <c r="V9" s="180">
        <f t="shared" ref="V9:AA9" si="2">SUM(V10:V44)</f>
        <v>118500</v>
      </c>
      <c r="W9" s="181">
        <f t="shared" si="2"/>
        <v>118500</v>
      </c>
      <c r="X9" s="183">
        <f t="shared" si="2"/>
        <v>355083.76074590365</v>
      </c>
      <c r="Y9" s="102">
        <f t="shared" si="2"/>
        <v>35550</v>
      </c>
      <c r="Z9" s="102">
        <f t="shared" si="2"/>
        <v>82950</v>
      </c>
      <c r="AA9" s="102">
        <f t="shared" si="2"/>
        <v>118500</v>
      </c>
      <c r="AB9" s="176">
        <f t="shared" ref="AB9:AL9" si="3">SUM(AB12:AB44)</f>
        <v>473583.76074590354</v>
      </c>
      <c r="AC9" s="180">
        <f>SUM(AC10:AC44)</f>
        <v>0</v>
      </c>
      <c r="AD9" s="182">
        <f>SUM(AD10:AD44)</f>
        <v>78186.994435221466</v>
      </c>
      <c r="AE9" s="183">
        <f>SUM(AE12:AE44)</f>
        <v>473583.76074590354</v>
      </c>
      <c r="AF9" s="183">
        <f>SUM(AF12:AF44)</f>
        <v>395396.76631068246</v>
      </c>
      <c r="AG9" s="182">
        <f>SUM(AG12:AG44)</f>
        <v>395396.76631068246</v>
      </c>
      <c r="AH9" s="180">
        <f t="shared" si="3"/>
        <v>558937.55007001339</v>
      </c>
      <c r="AI9" s="181">
        <f t="shared" si="3"/>
        <v>475987.55007001339</v>
      </c>
      <c r="AJ9" s="181">
        <f t="shared" si="3"/>
        <v>94460.445961832273</v>
      </c>
      <c r="AK9" s="181">
        <f t="shared" si="3"/>
        <v>82950</v>
      </c>
      <c r="AL9" s="181">
        <f t="shared" si="3"/>
        <v>177410.44596183227</v>
      </c>
      <c r="AM9" s="182"/>
      <c r="AN9" s="180">
        <f t="shared" ref="AN9:AS9" si="4">SUM(AN10:AN44)</f>
        <v>217986.32034885004</v>
      </c>
      <c r="AO9" s="181">
        <f t="shared" si="4"/>
        <v>260623.31478407147</v>
      </c>
      <c r="AP9" s="181">
        <f t="shared" si="4"/>
        <v>182436.32034885004</v>
      </c>
      <c r="AQ9" s="181">
        <f t="shared" si="4"/>
        <v>0</v>
      </c>
      <c r="AR9" s="181">
        <f t="shared" si="4"/>
        <v>0</v>
      </c>
      <c r="AS9" s="181">
        <f t="shared" si="4"/>
        <v>0</v>
      </c>
      <c r="AT9" s="181"/>
      <c r="AU9" s="181"/>
      <c r="AV9" s="182">
        <f>SUM(AV11:AV44)</f>
        <v>1.4139686754788272E-8</v>
      </c>
      <c r="AW9" s="162"/>
      <c r="AX9" s="162"/>
      <c r="AY9" s="162"/>
      <c r="AZ9" s="162"/>
      <c r="BA9" s="162"/>
      <c r="BB9" s="162"/>
      <c r="BC9" s="162"/>
      <c r="BD9" s="162"/>
      <c r="BE9" s="162"/>
      <c r="BF9" s="162"/>
      <c r="BG9" s="162"/>
      <c r="BH9" s="162"/>
      <c r="BI9" s="102"/>
      <c r="BJ9" s="162"/>
      <c r="BK9" s="162"/>
      <c r="BL9" s="162"/>
      <c r="BM9" s="162"/>
      <c r="BN9" s="162"/>
      <c r="BO9" s="162"/>
      <c r="BS9" s="164"/>
      <c r="CD9" s="75"/>
      <c r="CJ9" s="75"/>
      <c r="CQ9" s="75"/>
    </row>
    <row r="10" spans="2:95" s="163" customFormat="1" x14ac:dyDescent="0.3">
      <c r="B10" s="186"/>
      <c r="C10" s="187"/>
      <c r="D10" s="186"/>
      <c r="E10" s="169"/>
      <c r="F10" s="190"/>
      <c r="G10" s="194"/>
      <c r="H10" s="195"/>
      <c r="I10" s="192"/>
      <c r="J10" s="194"/>
      <c r="K10" s="195"/>
      <c r="L10" s="195"/>
      <c r="M10" s="195"/>
      <c r="N10" s="195"/>
      <c r="O10" s="195"/>
      <c r="P10" s="192"/>
      <c r="Q10" s="179"/>
      <c r="R10" s="162"/>
      <c r="S10" s="162"/>
      <c r="T10" s="196"/>
      <c r="U10" s="197"/>
      <c r="V10" s="196"/>
      <c r="W10" s="198"/>
      <c r="X10" s="197"/>
      <c r="Y10" s="162"/>
      <c r="Z10" s="162"/>
      <c r="AA10" s="79"/>
      <c r="AB10" s="196"/>
      <c r="AC10" s="196"/>
      <c r="AD10" s="200"/>
      <c r="AE10" s="197"/>
      <c r="AF10" s="200"/>
      <c r="AG10" s="200"/>
      <c r="AH10" s="196"/>
      <c r="AI10" s="86"/>
      <c r="AJ10" s="201"/>
      <c r="AK10" s="201"/>
      <c r="AL10" s="202"/>
      <c r="AM10" s="203"/>
      <c r="AN10" s="196"/>
      <c r="AO10" s="86"/>
      <c r="AP10" s="193"/>
      <c r="AQ10" s="86"/>
      <c r="AR10" s="86"/>
      <c r="AS10" s="86"/>
      <c r="AT10" s="86"/>
      <c r="AU10" s="86"/>
      <c r="AV10" s="175"/>
      <c r="AW10" s="162"/>
      <c r="AX10" s="162"/>
      <c r="AY10" s="162"/>
      <c r="AZ10" s="162"/>
      <c r="BA10" s="162"/>
      <c r="BB10" s="162"/>
      <c r="BC10" s="162"/>
      <c r="BD10" s="162"/>
      <c r="BE10" s="162"/>
      <c r="BF10" s="162"/>
      <c r="BG10" s="162"/>
      <c r="BH10" s="162"/>
      <c r="BI10" s="102"/>
      <c r="BJ10" s="162"/>
      <c r="BK10" s="162"/>
      <c r="BL10" s="162"/>
      <c r="BM10" s="162"/>
      <c r="BN10" s="162"/>
      <c r="BO10" s="162"/>
      <c r="BS10" s="164"/>
      <c r="CD10" s="75"/>
      <c r="CJ10" s="75"/>
      <c r="CQ10" s="75"/>
    </row>
    <row r="11" spans="2:95" s="163" customFormat="1" x14ac:dyDescent="0.3">
      <c r="B11" s="73">
        <v>0</v>
      </c>
      <c r="C11" s="74">
        <f>YEAR(D11)</f>
        <v>2021</v>
      </c>
      <c r="D11" s="205">
        <f>Fish_Inputs!G6</f>
        <v>44197</v>
      </c>
      <c r="E11" s="206">
        <f>EDATE(D11,12)-1</f>
        <v>44561</v>
      </c>
      <c r="F11" s="443">
        <v>0</v>
      </c>
      <c r="G11" s="207"/>
      <c r="H11" s="454"/>
      <c r="I11" s="176"/>
      <c r="J11" s="175"/>
      <c r="K11" s="190"/>
      <c r="L11" s="190"/>
      <c r="M11" s="208"/>
      <c r="N11" s="178"/>
      <c r="O11" s="178"/>
      <c r="P11" s="209"/>
      <c r="Q11" s="179"/>
      <c r="R11" s="162"/>
      <c r="S11" s="162"/>
      <c r="T11" s="196"/>
      <c r="U11" s="197"/>
      <c r="V11" s="196">
        <f>IF(B11=0,Greenhouse_Retrofit!$C$29,0)</f>
        <v>118500</v>
      </c>
      <c r="W11" s="198">
        <f t="shared" ref="W11:W12" si="5">SUM(V11:V11)</f>
        <v>118500</v>
      </c>
      <c r="X11" s="197">
        <f t="shared" ref="X11:X12" si="6">U11-W11</f>
        <v>-118500</v>
      </c>
      <c r="Y11" s="162">
        <f>IF(B11=0,Greenhouse_Retrofit!$G$15+Greenhouse_Retrofit!$G$16,0)</f>
        <v>35550</v>
      </c>
      <c r="Z11" s="162">
        <f>IF(B11=0,Greenhouse_Retrofit!$G$14,0)</f>
        <v>82950</v>
      </c>
      <c r="AA11" s="79">
        <f t="shared" ref="AA11:AA12" si="7">SUM(Y11:Z11)</f>
        <v>118500</v>
      </c>
      <c r="AB11" s="196">
        <f t="shared" ref="AB11:AB12" si="8">X11+AA11</f>
        <v>0</v>
      </c>
      <c r="AC11" s="233">
        <f>Greenhouse_Retrofit!$G$20*AVERAGE(AR11,AS11)</f>
        <v>0</v>
      </c>
      <c r="AD11" s="231">
        <f>O11</f>
        <v>0</v>
      </c>
      <c r="AE11" s="210">
        <f>X11</f>
        <v>-118500</v>
      </c>
      <c r="AF11" s="211">
        <f>X11</f>
        <v>-118500</v>
      </c>
      <c r="AG11" s="211">
        <f>X11</f>
        <v>-118500</v>
      </c>
      <c r="AH11" s="212"/>
      <c r="AI11" s="483">
        <f>Greenhouse_Retrofit!$G$14</f>
        <v>82950</v>
      </c>
      <c r="AJ11" s="201"/>
      <c r="AK11" s="201"/>
      <c r="AL11" s="202"/>
      <c r="AM11" s="203"/>
      <c r="AN11" s="196"/>
      <c r="AO11" s="86">
        <f>-Greenhouse_Retrofit!G15</f>
        <v>-35550</v>
      </c>
      <c r="AP11" s="86">
        <f>-Greenhouse_Retrofit!G15</f>
        <v>-35550</v>
      </c>
      <c r="AQ11" s="213">
        <f>AB11</f>
        <v>0</v>
      </c>
      <c r="AR11" s="86"/>
      <c r="AS11" s="213">
        <f t="shared" ref="AS11:AS12" si="9">AQ11+AR11</f>
        <v>0</v>
      </c>
      <c r="AT11" s="86">
        <f>-Greenhouse_Retrofit!G15</f>
        <v>-35550</v>
      </c>
      <c r="AU11" s="86"/>
      <c r="AV11" s="214">
        <f>AP11/((1+$AP$4)^B11)</f>
        <v>-35550</v>
      </c>
      <c r="AW11" s="162"/>
      <c r="AX11" s="162"/>
      <c r="AY11" s="162"/>
      <c r="AZ11" s="162"/>
      <c r="BA11" s="162"/>
      <c r="BB11" s="162"/>
      <c r="BC11" s="162"/>
      <c r="BD11" s="162"/>
      <c r="BE11" s="162"/>
      <c r="BF11" s="162"/>
      <c r="BG11" s="162"/>
      <c r="BH11" s="162"/>
      <c r="BI11" s="102"/>
      <c r="BJ11" s="162"/>
      <c r="BK11" s="162"/>
      <c r="BL11" s="162"/>
      <c r="BM11" s="162"/>
      <c r="BN11" s="162"/>
      <c r="BO11" s="162"/>
      <c r="BS11" s="164"/>
      <c r="CD11" s="75"/>
      <c r="CJ11" s="75"/>
      <c r="CQ11" s="75"/>
    </row>
    <row r="12" spans="2:95" s="162" customFormat="1" x14ac:dyDescent="0.3">
      <c r="B12" s="184">
        <f>B11+1</f>
        <v>1</v>
      </c>
      <c r="C12" s="346">
        <f t="shared" ref="C12" si="10">YEAR(D12)</f>
        <v>2022</v>
      </c>
      <c r="D12" s="347">
        <f>EDATE(D11,12)</f>
        <v>44562</v>
      </c>
      <c r="E12" s="440">
        <f>EDATE(E11,12)</f>
        <v>44926</v>
      </c>
      <c r="F12" s="732">
        <f>IF(AND(B12&gt;0,B12&lt;=Greenhouse_Retrofit!$J$10),1,0)</f>
        <v>1</v>
      </c>
      <c r="G12" s="217">
        <f>AC11</f>
        <v>0</v>
      </c>
      <c r="H12" s="438">
        <f>(Greenhouse_Retrofit!$N$15*F12)+IF(B12=Greenhouse_Retrofit!$J$10,Greenhouse_Retrofit!$J$12,0)</f>
        <v>18943.350429836151</v>
      </c>
      <c r="I12" s="122">
        <f>H12</f>
        <v>18943.350429836151</v>
      </c>
      <c r="J12" s="219">
        <f>IFERROR(I12/H12,0)</f>
        <v>1</v>
      </c>
      <c r="K12" s="220">
        <f>Deprec!AG11</f>
        <v>4740</v>
      </c>
      <c r="L12" s="122">
        <f>I12-K12</f>
        <v>14203.350429836151</v>
      </c>
      <c r="M12" s="221">
        <f>AJ12</f>
        <v>14018.550000000001</v>
      </c>
      <c r="N12" s="122">
        <f>L12-M12</f>
        <v>184.80042983615022</v>
      </c>
      <c r="O12" s="438">
        <f>IF(N12&lt;0,0,(N12*Greenhouse_Retrofit!$J$7))</f>
        <v>55.440128950845065</v>
      </c>
      <c r="P12" s="122">
        <f>N12-O12</f>
        <v>129.36030088530515</v>
      </c>
      <c r="Q12" s="123">
        <f>IFERROR(P12/H12,0)</f>
        <v>6.8287973325753468E-3</v>
      </c>
      <c r="R12" s="185"/>
      <c r="S12" s="185"/>
      <c r="T12" s="218">
        <f t="shared" ref="T12" si="11">H12</f>
        <v>18943.350429836151</v>
      </c>
      <c r="U12" s="438">
        <f>T12</f>
        <v>18943.350429836151</v>
      </c>
      <c r="V12" s="218">
        <f>IF(B12=0,Greenhouse_Retrofit!$C$29,0)</f>
        <v>0</v>
      </c>
      <c r="W12" s="435">
        <f t="shared" si="5"/>
        <v>0</v>
      </c>
      <c r="X12" s="438">
        <f t="shared" si="6"/>
        <v>18943.350429836151</v>
      </c>
      <c r="Y12" s="184">
        <f>IF(B12=0,Greenhouse_Retrofit!$G$15+Greenhouse_Retrofit!$G$16,0)</f>
        <v>0</v>
      </c>
      <c r="Z12" s="185">
        <f>IF(B12=0,Greenhouse_Retrofit!$G$14,0)</f>
        <v>0</v>
      </c>
      <c r="AA12" s="132">
        <f t="shared" si="7"/>
        <v>0</v>
      </c>
      <c r="AB12" s="218">
        <f t="shared" si="8"/>
        <v>18943.350429836151</v>
      </c>
      <c r="AC12" s="218">
        <f>Greenhouse_Retrofit!$G$20*AVERAGE(AR12,AS12)</f>
        <v>0</v>
      </c>
      <c r="AD12" s="132">
        <f>O12</f>
        <v>55.440128950845065</v>
      </c>
      <c r="AE12" s="132">
        <f>AG12+AD12-G12</f>
        <v>18943.350429836151</v>
      </c>
      <c r="AF12" s="122">
        <f>AG12-G12</f>
        <v>18887.910300885305</v>
      </c>
      <c r="AG12" s="438">
        <f t="shared" ref="AG12" si="12">AB12-AD12</f>
        <v>18887.910300885305</v>
      </c>
      <c r="AH12" s="122">
        <f>AI11</f>
        <v>82950</v>
      </c>
      <c r="AI12" s="122">
        <f>AH12-AK12</f>
        <v>79227.505403816773</v>
      </c>
      <c r="AJ12" s="122">
        <f>-Debt_Calc!CO10</f>
        <v>14018.550000000001</v>
      </c>
      <c r="AK12" s="122">
        <f>Debt_Calc!CP10</f>
        <v>3722.4945961832218</v>
      </c>
      <c r="AL12" s="122">
        <f t="shared" ref="AL12" si="13">SUM(AJ12:AK12)</f>
        <v>17741.044596183223</v>
      </c>
      <c r="AM12" s="217">
        <f>IFERROR(AG12/AL12,0)</f>
        <v>1.0646447675887596</v>
      </c>
      <c r="AN12" s="122">
        <f>AG12-AL12</f>
        <v>1146.8657047020824</v>
      </c>
      <c r="AO12" s="122">
        <f t="shared" ref="AO12" si="14">AN12+AD12</f>
        <v>1202.3058336529275</v>
      </c>
      <c r="AP12" s="122">
        <f>AN12+AR12</f>
        <v>1146.8657047020824</v>
      </c>
      <c r="AQ12" s="122">
        <f t="shared" ref="AQ12" si="15">AN12-AP12</f>
        <v>0</v>
      </c>
      <c r="AR12" s="122">
        <f t="shared" ref="AR12" si="16">AS11</f>
        <v>0</v>
      </c>
      <c r="AS12" s="122">
        <f t="shared" si="9"/>
        <v>0</v>
      </c>
      <c r="AT12" s="122">
        <f t="shared" ref="AT12" si="17">AP12+AT11</f>
        <v>-34403.134295297918</v>
      </c>
      <c r="AU12" s="122">
        <f>IF(AU11&gt;=1,2,IF(AT12&gt;0,1,0))</f>
        <v>0</v>
      </c>
      <c r="AV12" s="222">
        <f>AP12/((1+$AP$4)^B12)</f>
        <v>1029.3534851094091</v>
      </c>
      <c r="AW12" s="102"/>
      <c r="AX12" s="102"/>
      <c r="AY12" s="102"/>
      <c r="AZ12" s="102"/>
      <c r="BA12" s="102"/>
      <c r="BI12" s="102"/>
      <c r="BS12" s="349"/>
      <c r="BT12" s="102"/>
      <c r="BU12" s="102"/>
      <c r="BV12" s="102"/>
      <c r="BW12" s="102"/>
      <c r="BX12" s="102"/>
      <c r="BY12" s="102"/>
      <c r="BZ12" s="102"/>
      <c r="CA12" s="102"/>
      <c r="CB12" s="102"/>
      <c r="CC12" s="102"/>
      <c r="CD12" s="79"/>
      <c r="CJ12" s="79"/>
      <c r="CQ12" s="79"/>
    </row>
    <row r="13" spans="2:95" s="193" customFormat="1" x14ac:dyDescent="0.3">
      <c r="B13" s="184">
        <f t="shared" ref="B13:B44" si="18">B12+1</f>
        <v>2</v>
      </c>
      <c r="C13" s="346">
        <f t="shared" ref="C13:C44" si="19">YEAR(D13)</f>
        <v>2023</v>
      </c>
      <c r="D13" s="347">
        <f t="shared" ref="D13:D44" si="20">EDATE(D12,12)</f>
        <v>44927</v>
      </c>
      <c r="E13" s="440">
        <f t="shared" ref="E13:E44" si="21">EDATE(E12,12)</f>
        <v>45291</v>
      </c>
      <c r="F13" s="732">
        <f>IF(AND(B13&gt;0,B13&lt;=Greenhouse_Retrofit!$J$10),1,0)</f>
        <v>1</v>
      </c>
      <c r="G13" s="217">
        <f t="shared" ref="G13:G44" si="22">AC12</f>
        <v>0</v>
      </c>
      <c r="H13" s="438">
        <f>(Greenhouse_Retrofit!$N$15*F13)+IF(B13=Greenhouse_Retrofit!$J$10,Greenhouse_Retrofit!$J$12,0)</f>
        <v>18943.350429836151</v>
      </c>
      <c r="I13" s="122">
        <f t="shared" ref="I13:I44" si="23">H13</f>
        <v>18943.350429836151</v>
      </c>
      <c r="J13" s="219">
        <f t="shared" ref="J13:J44" si="24">IFERROR(I13/H13,0)</f>
        <v>1</v>
      </c>
      <c r="K13" s="220">
        <f>Deprec!AG12</f>
        <v>4740</v>
      </c>
      <c r="L13" s="122">
        <f t="shared" ref="L13:L44" si="25">I13-K13</f>
        <v>14203.350429836151</v>
      </c>
      <c r="M13" s="221">
        <f t="shared" ref="M13:M44" si="26">AJ13</f>
        <v>13389.448413245036</v>
      </c>
      <c r="N13" s="122">
        <f t="shared" ref="N13:N44" si="27">L13-M13</f>
        <v>813.90201659111517</v>
      </c>
      <c r="O13" s="438">
        <f>IF(N13&lt;0,0,(N13*Greenhouse_Retrofit!$J$7))</f>
        <v>244.17060497733453</v>
      </c>
      <c r="P13" s="122">
        <f t="shared" ref="P13:P44" si="28">N13-O13</f>
        <v>569.73141161378066</v>
      </c>
      <c r="Q13" s="123">
        <f t="shared" ref="Q13:Q44" si="29">IFERROR(P13/H13,0)</f>
        <v>3.0075535672741526E-2</v>
      </c>
      <c r="T13" s="218">
        <f t="shared" ref="T13:T44" si="30">H13</f>
        <v>18943.350429836151</v>
      </c>
      <c r="U13" s="438">
        <f t="shared" ref="U13:U44" si="31">T13</f>
        <v>18943.350429836151</v>
      </c>
      <c r="V13" s="218">
        <f>IF(B13=0,Greenhouse_Retrofit!$C$29,0)</f>
        <v>0</v>
      </c>
      <c r="W13" s="435">
        <f t="shared" ref="W13:W44" si="32">SUM(V13:V13)</f>
        <v>0</v>
      </c>
      <c r="X13" s="438">
        <f t="shared" ref="X13:X44" si="33">U13-W13</f>
        <v>18943.350429836151</v>
      </c>
      <c r="Y13" s="184">
        <f>IF(B13=0,Greenhouse_Retrofit!$G$15+Greenhouse_Retrofit!$G$16,0)</f>
        <v>0</v>
      </c>
      <c r="Z13" s="185">
        <f>IF(B13=0,Greenhouse_Retrofit!$G$14,0)</f>
        <v>0</v>
      </c>
      <c r="AA13" s="132">
        <f t="shared" ref="AA13:AA44" si="34">SUM(Y13:Z13)</f>
        <v>0</v>
      </c>
      <c r="AB13" s="218">
        <f t="shared" ref="AB13:AB44" si="35">X13+AA13</f>
        <v>18943.350429836151</v>
      </c>
      <c r="AC13" s="218">
        <f>Greenhouse_Retrofit!$G$20*AVERAGE(AR13,AS13)</f>
        <v>0</v>
      </c>
      <c r="AD13" s="132">
        <f t="shared" ref="AD13:AD44" si="36">O13</f>
        <v>244.17060497733453</v>
      </c>
      <c r="AE13" s="132">
        <f t="shared" ref="AE13:AE44" si="37">AG13+AD13-G13</f>
        <v>18943.350429836151</v>
      </c>
      <c r="AF13" s="122">
        <f t="shared" ref="AF13:AF44" si="38">AG13-G13</f>
        <v>18699.179824858817</v>
      </c>
      <c r="AG13" s="438">
        <f t="shared" ref="AG13:AG44" si="39">AB13-AD13</f>
        <v>18699.179824858817</v>
      </c>
      <c r="AH13" s="122">
        <f t="shared" ref="AH13:AH44" si="40">AI12</f>
        <v>79227.505403816773</v>
      </c>
      <c r="AI13" s="122">
        <f t="shared" ref="AI13:AI44" si="41">AH13-AK13</f>
        <v>74875.909220878588</v>
      </c>
      <c r="AJ13" s="122">
        <f>-Debt_Calc!CO11</f>
        <v>13389.448413245036</v>
      </c>
      <c r="AK13" s="122">
        <f>Debt_Calc!CP11</f>
        <v>4351.5961829381868</v>
      </c>
      <c r="AL13" s="122">
        <f t="shared" ref="AL13:AL44" si="42">SUM(AJ13:AK13)</f>
        <v>17741.044596183223</v>
      </c>
      <c r="AM13" s="217">
        <f t="shared" ref="AM13:AM44" si="43">IFERROR(AG13/AL13,0)</f>
        <v>1.0540066974907287</v>
      </c>
      <c r="AN13" s="122">
        <f t="shared" ref="AN13:AN44" si="44">AG13-AL13</f>
        <v>958.13522867559368</v>
      </c>
      <c r="AO13" s="122">
        <f t="shared" ref="AO13:AO44" si="45">AN13+AD13</f>
        <v>1202.3058336529282</v>
      </c>
      <c r="AP13" s="122">
        <f t="shared" ref="AP13:AP44" si="46">AN13+AR13</f>
        <v>958.13522867559368</v>
      </c>
      <c r="AQ13" s="122">
        <f t="shared" ref="AQ13:AQ44" si="47">AN13-AP13</f>
        <v>0</v>
      </c>
      <c r="AR13" s="122">
        <f t="shared" ref="AR13:AR44" si="48">AS12</f>
        <v>0</v>
      </c>
      <c r="AS13" s="122">
        <f t="shared" ref="AS13:AS44" si="49">AQ13+AR13</f>
        <v>0</v>
      </c>
      <c r="AT13" s="122">
        <f t="shared" ref="AT13:AT44" si="50">AP13+AT12</f>
        <v>-33444.999066622324</v>
      </c>
      <c r="AU13" s="122">
        <f t="shared" ref="AU13:AU44" si="51">IF(AU12&gt;=1,2,IF(AT13&gt;0,1,0))</f>
        <v>0</v>
      </c>
      <c r="AV13" s="222">
        <f t="shared" ref="AV13:AV44" si="52">AP13/((1+$AP$4)^B13)</f>
        <v>771.84617286960179</v>
      </c>
      <c r="AW13" s="102"/>
      <c r="AX13" s="102"/>
      <c r="AY13" s="102"/>
      <c r="AZ13" s="102"/>
      <c r="BA13" s="102"/>
      <c r="BI13" s="102"/>
      <c r="BS13" s="102"/>
      <c r="BT13" s="102"/>
      <c r="BU13" s="102"/>
      <c r="BV13" s="102"/>
      <c r="BW13" s="102"/>
      <c r="BX13" s="102"/>
      <c r="BY13" s="102"/>
      <c r="BZ13" s="102"/>
      <c r="CA13" s="102"/>
      <c r="CB13" s="102"/>
      <c r="CC13" s="102"/>
      <c r="CD13" s="86"/>
      <c r="CJ13" s="86"/>
      <c r="CQ13" s="86"/>
    </row>
    <row r="14" spans="2:95" s="193" customFormat="1" x14ac:dyDescent="0.3">
      <c r="B14" s="184">
        <f t="shared" si="18"/>
        <v>3</v>
      </c>
      <c r="C14" s="346">
        <f t="shared" si="19"/>
        <v>2024</v>
      </c>
      <c r="D14" s="347">
        <f t="shared" si="20"/>
        <v>45292</v>
      </c>
      <c r="E14" s="440">
        <f t="shared" si="21"/>
        <v>45657</v>
      </c>
      <c r="F14" s="732">
        <f>IF(AND(B14&gt;0,B14&lt;=Greenhouse_Retrofit!$J$10),1,0)</f>
        <v>1</v>
      </c>
      <c r="G14" s="217">
        <f t="shared" si="22"/>
        <v>0</v>
      </c>
      <c r="H14" s="438">
        <f>(Greenhouse_Retrofit!$N$15*F14)+IF(B14=Greenhouse_Retrofit!$J$10,Greenhouse_Retrofit!$J$12,0)</f>
        <v>18943.350429836151</v>
      </c>
      <c r="I14" s="122">
        <f t="shared" si="23"/>
        <v>18943.350429836151</v>
      </c>
      <c r="J14" s="219">
        <f t="shared" si="24"/>
        <v>1</v>
      </c>
      <c r="K14" s="220">
        <f>Deprec!AG13</f>
        <v>4740</v>
      </c>
      <c r="L14" s="122">
        <f t="shared" si="25"/>
        <v>14203.350429836151</v>
      </c>
      <c r="M14" s="221">
        <f t="shared" si="26"/>
        <v>12654.028658328481</v>
      </c>
      <c r="N14" s="122">
        <f t="shared" si="27"/>
        <v>1549.3217715076698</v>
      </c>
      <c r="O14" s="438">
        <f>IF(N14&lt;0,0,(N14*Greenhouse_Retrofit!$J$7))</f>
        <v>464.79653145230094</v>
      </c>
      <c r="P14" s="122">
        <f t="shared" si="28"/>
        <v>1084.5252400553688</v>
      </c>
      <c r="Q14" s="123">
        <f t="shared" si="29"/>
        <v>5.7250972792395806E-2</v>
      </c>
      <c r="T14" s="218">
        <f t="shared" si="30"/>
        <v>18943.350429836151</v>
      </c>
      <c r="U14" s="438">
        <f t="shared" si="31"/>
        <v>18943.350429836151</v>
      </c>
      <c r="V14" s="218">
        <f>IF(B14=0,Greenhouse_Retrofit!$C$29,0)</f>
        <v>0</v>
      </c>
      <c r="W14" s="435">
        <f t="shared" si="32"/>
        <v>0</v>
      </c>
      <c r="X14" s="438">
        <f t="shared" si="33"/>
        <v>18943.350429836151</v>
      </c>
      <c r="Y14" s="184">
        <f>IF(B14=0,Greenhouse_Retrofit!$G$15+Greenhouse_Retrofit!$G$16,0)</f>
        <v>0</v>
      </c>
      <c r="Z14" s="185">
        <f>IF(B14=0,Greenhouse_Retrofit!$G$14,0)</f>
        <v>0</v>
      </c>
      <c r="AA14" s="132">
        <f t="shared" si="34"/>
        <v>0</v>
      </c>
      <c r="AB14" s="218">
        <f t="shared" si="35"/>
        <v>18943.350429836151</v>
      </c>
      <c r="AC14" s="218">
        <f>Greenhouse_Retrofit!$G$20*AVERAGE(AR14,AS14)</f>
        <v>0</v>
      </c>
      <c r="AD14" s="132">
        <f t="shared" si="36"/>
        <v>464.79653145230094</v>
      </c>
      <c r="AE14" s="132">
        <f t="shared" si="37"/>
        <v>18943.350429836151</v>
      </c>
      <c r="AF14" s="122">
        <f t="shared" si="38"/>
        <v>18478.553898383849</v>
      </c>
      <c r="AG14" s="438">
        <f t="shared" si="39"/>
        <v>18478.553898383849</v>
      </c>
      <c r="AH14" s="122">
        <f t="shared" si="40"/>
        <v>74875.909220878588</v>
      </c>
      <c r="AI14" s="122">
        <f t="shared" si="41"/>
        <v>69788.893283023848</v>
      </c>
      <c r="AJ14" s="122">
        <f>-Debt_Calc!CO12</f>
        <v>12654.028658328481</v>
      </c>
      <c r="AK14" s="122">
        <f>Debt_Calc!CP12</f>
        <v>5087.0159378547414</v>
      </c>
      <c r="AL14" s="122">
        <f t="shared" si="42"/>
        <v>17741.044596183223</v>
      </c>
      <c r="AM14" s="217">
        <f t="shared" si="43"/>
        <v>1.0415707935461305</v>
      </c>
      <c r="AN14" s="122">
        <f t="shared" si="44"/>
        <v>737.50930220062583</v>
      </c>
      <c r="AO14" s="122">
        <f t="shared" si="45"/>
        <v>1202.3058336529268</v>
      </c>
      <c r="AP14" s="122">
        <f t="shared" si="46"/>
        <v>737.50930220062583</v>
      </c>
      <c r="AQ14" s="122">
        <f t="shared" si="47"/>
        <v>0</v>
      </c>
      <c r="AR14" s="122">
        <f t="shared" si="48"/>
        <v>0</v>
      </c>
      <c r="AS14" s="122">
        <f t="shared" si="49"/>
        <v>0</v>
      </c>
      <c r="AT14" s="122">
        <f t="shared" si="50"/>
        <v>-32707.489764421698</v>
      </c>
      <c r="AU14" s="122">
        <f t="shared" si="51"/>
        <v>0</v>
      </c>
      <c r="AV14" s="222">
        <f t="shared" si="52"/>
        <v>533.24086249004426</v>
      </c>
      <c r="AW14" s="102"/>
      <c r="AX14" s="102"/>
      <c r="AY14" s="102"/>
      <c r="AZ14" s="102"/>
      <c r="BA14" s="102"/>
      <c r="BI14" s="102"/>
      <c r="BS14" s="102"/>
      <c r="BT14" s="102"/>
      <c r="BU14" s="102"/>
      <c r="BV14" s="102"/>
      <c r="BW14" s="102"/>
      <c r="BX14" s="102"/>
      <c r="BY14" s="102"/>
      <c r="BZ14" s="102"/>
      <c r="CA14" s="102"/>
      <c r="CB14" s="102"/>
      <c r="CC14" s="102"/>
      <c r="CD14" s="86"/>
      <c r="CJ14" s="86"/>
      <c r="CQ14" s="86"/>
    </row>
    <row r="15" spans="2:95" s="86" customFormat="1" x14ac:dyDescent="0.3">
      <c r="B15" s="184">
        <f t="shared" si="18"/>
        <v>4</v>
      </c>
      <c r="C15" s="346">
        <f t="shared" si="19"/>
        <v>2025</v>
      </c>
      <c r="D15" s="347">
        <f t="shared" si="20"/>
        <v>45658</v>
      </c>
      <c r="E15" s="440">
        <f t="shared" si="21"/>
        <v>46022</v>
      </c>
      <c r="F15" s="732">
        <f>IF(AND(B15&gt;0,B15&lt;=Greenhouse_Retrofit!$J$10),1,0)</f>
        <v>1</v>
      </c>
      <c r="G15" s="217">
        <f t="shared" si="22"/>
        <v>0</v>
      </c>
      <c r="H15" s="438">
        <f>(Greenhouse_Retrofit!$N$15*F15)+IF(B15=Greenhouse_Retrofit!$J$10,Greenhouse_Retrofit!$J$12,0)</f>
        <v>18943.350429836151</v>
      </c>
      <c r="I15" s="122">
        <f t="shared" si="23"/>
        <v>18943.350429836151</v>
      </c>
      <c r="J15" s="219">
        <f t="shared" si="24"/>
        <v>1</v>
      </c>
      <c r="K15" s="220">
        <f>Deprec!AG14</f>
        <v>4740</v>
      </c>
      <c r="L15" s="122">
        <f t="shared" si="25"/>
        <v>14203.350429836151</v>
      </c>
      <c r="M15" s="221">
        <f t="shared" si="26"/>
        <v>11794.322964831032</v>
      </c>
      <c r="N15" s="122">
        <f t="shared" si="27"/>
        <v>2409.0274650051197</v>
      </c>
      <c r="O15" s="438">
        <f>IF(N15&lt;0,0,(N15*Greenhouse_Retrofit!$J$7))</f>
        <v>722.7082395015359</v>
      </c>
      <c r="P15" s="122">
        <f t="shared" si="28"/>
        <v>1686.3192255035838</v>
      </c>
      <c r="Q15" s="123">
        <f t="shared" si="29"/>
        <v>8.9019058785271568E-2</v>
      </c>
      <c r="T15" s="218">
        <f t="shared" si="30"/>
        <v>18943.350429836151</v>
      </c>
      <c r="U15" s="438">
        <f t="shared" si="31"/>
        <v>18943.350429836151</v>
      </c>
      <c r="V15" s="218">
        <f>IF(B15=0,Greenhouse_Retrofit!$C$29,0)</f>
        <v>0</v>
      </c>
      <c r="W15" s="435">
        <f t="shared" si="32"/>
        <v>0</v>
      </c>
      <c r="X15" s="438">
        <f t="shared" si="33"/>
        <v>18943.350429836151</v>
      </c>
      <c r="Y15" s="184">
        <f>IF(B15=0,Greenhouse_Retrofit!$G$15+Greenhouse_Retrofit!$G$16,0)</f>
        <v>0</v>
      </c>
      <c r="Z15" s="185">
        <f>IF(B15=0,Greenhouse_Retrofit!$G$14,0)</f>
        <v>0</v>
      </c>
      <c r="AA15" s="132">
        <f t="shared" si="34"/>
        <v>0</v>
      </c>
      <c r="AB15" s="218">
        <f t="shared" si="35"/>
        <v>18943.350429836151</v>
      </c>
      <c r="AC15" s="218">
        <f>Greenhouse_Retrofit!$G$20*AVERAGE(AR15,AS15)</f>
        <v>0</v>
      </c>
      <c r="AD15" s="132">
        <f t="shared" si="36"/>
        <v>722.7082395015359</v>
      </c>
      <c r="AE15" s="132">
        <f t="shared" si="37"/>
        <v>18943.350429836151</v>
      </c>
      <c r="AF15" s="122">
        <f t="shared" si="38"/>
        <v>18220.642190334616</v>
      </c>
      <c r="AG15" s="438">
        <f t="shared" si="39"/>
        <v>18220.642190334616</v>
      </c>
      <c r="AH15" s="122">
        <f t="shared" si="40"/>
        <v>69788.893283023848</v>
      </c>
      <c r="AI15" s="122">
        <f t="shared" si="41"/>
        <v>63842.171651671655</v>
      </c>
      <c r="AJ15" s="122">
        <f>-Debt_Calc!CO13</f>
        <v>11794.322964831032</v>
      </c>
      <c r="AK15" s="122">
        <f>Debt_Calc!CP13</f>
        <v>5946.7216313521913</v>
      </c>
      <c r="AL15" s="122">
        <f t="shared" si="42"/>
        <v>17741.044596183223</v>
      </c>
      <c r="AM15" s="217">
        <f t="shared" si="43"/>
        <v>1.0270332218348954</v>
      </c>
      <c r="AN15" s="122">
        <f t="shared" si="44"/>
        <v>479.59759415139342</v>
      </c>
      <c r="AO15" s="122">
        <f t="shared" si="45"/>
        <v>1202.3058336529293</v>
      </c>
      <c r="AP15" s="122">
        <f t="shared" si="46"/>
        <v>479.59759415139342</v>
      </c>
      <c r="AQ15" s="122">
        <f t="shared" si="47"/>
        <v>0</v>
      </c>
      <c r="AR15" s="122">
        <f t="shared" si="48"/>
        <v>0</v>
      </c>
      <c r="AS15" s="122">
        <f t="shared" si="49"/>
        <v>0</v>
      </c>
      <c r="AT15" s="122">
        <f t="shared" si="50"/>
        <v>-32227.892170270305</v>
      </c>
      <c r="AU15" s="122">
        <f t="shared" si="51"/>
        <v>0</v>
      </c>
      <c r="AV15" s="222">
        <f t="shared" si="52"/>
        <v>311.23246245132054</v>
      </c>
    </row>
    <row r="16" spans="2:95" s="86" customFormat="1" x14ac:dyDescent="0.3">
      <c r="B16" s="184">
        <f t="shared" si="18"/>
        <v>5</v>
      </c>
      <c r="C16" s="346">
        <f t="shared" si="19"/>
        <v>2026</v>
      </c>
      <c r="D16" s="347">
        <f t="shared" si="20"/>
        <v>46023</v>
      </c>
      <c r="E16" s="440">
        <f t="shared" si="21"/>
        <v>46387</v>
      </c>
      <c r="F16" s="732">
        <f>IF(AND(B16&gt;0,B16&lt;=Greenhouse_Retrofit!$J$10),1,0)</f>
        <v>1</v>
      </c>
      <c r="G16" s="217">
        <f t="shared" si="22"/>
        <v>0</v>
      </c>
      <c r="H16" s="438">
        <f>(Greenhouse_Retrofit!$N$15*F16)+IF(B16=Greenhouse_Retrofit!$J$10,Greenhouse_Retrofit!$J$12,0)</f>
        <v>18943.350429836151</v>
      </c>
      <c r="I16" s="122">
        <f t="shared" si="23"/>
        <v>18943.350429836151</v>
      </c>
      <c r="J16" s="219">
        <f t="shared" si="24"/>
        <v>1</v>
      </c>
      <c r="K16" s="220">
        <f>Deprec!AG15</f>
        <v>4740</v>
      </c>
      <c r="L16" s="122">
        <f t="shared" si="25"/>
        <v>14203.350429836151</v>
      </c>
      <c r="M16" s="221">
        <f t="shared" si="26"/>
        <v>10789.32700913251</v>
      </c>
      <c r="N16" s="122">
        <f t="shared" si="27"/>
        <v>3414.023420703641</v>
      </c>
      <c r="O16" s="438">
        <f>IF(N16&lt;0,0,(N16*Greenhouse_Retrofit!$J$7))</f>
        <v>1024.2070262110922</v>
      </c>
      <c r="P16" s="122">
        <f t="shared" si="28"/>
        <v>2389.8163944925491</v>
      </c>
      <c r="Q16" s="123">
        <f t="shared" si="29"/>
        <v>0.12615595131094345</v>
      </c>
      <c r="T16" s="218">
        <f t="shared" si="30"/>
        <v>18943.350429836151</v>
      </c>
      <c r="U16" s="438">
        <f t="shared" si="31"/>
        <v>18943.350429836151</v>
      </c>
      <c r="V16" s="218">
        <f>IF(B16=0,Greenhouse_Retrofit!$C$29,0)</f>
        <v>0</v>
      </c>
      <c r="W16" s="435">
        <f t="shared" si="32"/>
        <v>0</v>
      </c>
      <c r="X16" s="438">
        <f t="shared" si="33"/>
        <v>18943.350429836151</v>
      </c>
      <c r="Y16" s="184">
        <f>IF(B16=0,Greenhouse_Retrofit!$G$15+Greenhouse_Retrofit!$G$16,0)</f>
        <v>0</v>
      </c>
      <c r="Z16" s="185">
        <f>IF(B16=0,Greenhouse_Retrofit!$G$14,0)</f>
        <v>0</v>
      </c>
      <c r="AA16" s="132">
        <f t="shared" si="34"/>
        <v>0</v>
      </c>
      <c r="AB16" s="218">
        <f t="shared" si="35"/>
        <v>18943.350429836151</v>
      </c>
      <c r="AC16" s="218">
        <f>Greenhouse_Retrofit!$G$20*AVERAGE(AR16,AS16)</f>
        <v>0</v>
      </c>
      <c r="AD16" s="132">
        <f t="shared" si="36"/>
        <v>1024.2070262110922</v>
      </c>
      <c r="AE16" s="132">
        <f t="shared" si="37"/>
        <v>18943.350429836151</v>
      </c>
      <c r="AF16" s="122">
        <f t="shared" si="38"/>
        <v>17919.143403625058</v>
      </c>
      <c r="AG16" s="438">
        <f t="shared" si="39"/>
        <v>17919.143403625058</v>
      </c>
      <c r="AH16" s="122">
        <f t="shared" si="40"/>
        <v>63842.171651671655</v>
      </c>
      <c r="AI16" s="122">
        <f t="shared" si="41"/>
        <v>56890.454064620943</v>
      </c>
      <c r="AJ16" s="122">
        <f>-Debt_Calc!CO14</f>
        <v>10789.32700913251</v>
      </c>
      <c r="AK16" s="122">
        <f>Debt_Calc!CP14</f>
        <v>6951.7175870507126</v>
      </c>
      <c r="AL16" s="122">
        <f t="shared" si="42"/>
        <v>17741.044596183223</v>
      </c>
      <c r="AM16" s="217">
        <f t="shared" si="43"/>
        <v>1.0100388005044614</v>
      </c>
      <c r="AN16" s="122">
        <f t="shared" si="44"/>
        <v>178.09880744183465</v>
      </c>
      <c r="AO16" s="122">
        <f t="shared" si="45"/>
        <v>1202.3058336529268</v>
      </c>
      <c r="AP16" s="122">
        <f t="shared" si="46"/>
        <v>178.09880744183465</v>
      </c>
      <c r="AQ16" s="122">
        <f t="shared" si="47"/>
        <v>0</v>
      </c>
      <c r="AR16" s="122">
        <f t="shared" si="48"/>
        <v>0</v>
      </c>
      <c r="AS16" s="122">
        <f t="shared" si="49"/>
        <v>0</v>
      </c>
      <c r="AT16" s="122">
        <f t="shared" si="50"/>
        <v>-32049.79336282847</v>
      </c>
      <c r="AU16" s="122">
        <f t="shared" si="51"/>
        <v>0</v>
      </c>
      <c r="AV16" s="222">
        <f t="shared" si="52"/>
        <v>103.73394100300413</v>
      </c>
    </row>
    <row r="17" spans="2:48" s="86" customFormat="1" x14ac:dyDescent="0.3">
      <c r="B17" s="184">
        <f t="shared" si="18"/>
        <v>6</v>
      </c>
      <c r="C17" s="346">
        <f t="shared" si="19"/>
        <v>2027</v>
      </c>
      <c r="D17" s="347">
        <f t="shared" si="20"/>
        <v>46388</v>
      </c>
      <c r="E17" s="440">
        <f t="shared" si="21"/>
        <v>46752</v>
      </c>
      <c r="F17" s="732">
        <f>IF(AND(B17&gt;0,B17&lt;=Greenhouse_Retrofit!$J$10),1,0)</f>
        <v>1</v>
      </c>
      <c r="G17" s="217">
        <f t="shared" si="22"/>
        <v>0</v>
      </c>
      <c r="H17" s="438">
        <f>(Greenhouse_Retrofit!$N$15*F17)+IF(B17=Greenhouse_Retrofit!$J$10,Greenhouse_Retrofit!$J$12,0)</f>
        <v>18943.350429836151</v>
      </c>
      <c r="I17" s="122">
        <f t="shared" si="23"/>
        <v>18943.350429836151</v>
      </c>
      <c r="J17" s="219">
        <f t="shared" si="24"/>
        <v>1</v>
      </c>
      <c r="K17" s="220">
        <f>Deprec!AG16</f>
        <v>4740</v>
      </c>
      <c r="L17" s="122">
        <f t="shared" si="25"/>
        <v>14203.350429836151</v>
      </c>
      <c r="M17" s="221">
        <f t="shared" si="26"/>
        <v>9614.4867369209405</v>
      </c>
      <c r="N17" s="122">
        <f t="shared" si="27"/>
        <v>4588.8636929152108</v>
      </c>
      <c r="O17" s="438">
        <f>IF(N17&lt;0,0,(N17*Greenhouse_Retrofit!$J$7))</f>
        <v>1376.6591078745632</v>
      </c>
      <c r="P17" s="122">
        <f t="shared" si="28"/>
        <v>3212.2045850406475</v>
      </c>
      <c r="Q17" s="123">
        <f t="shared" si="29"/>
        <v>0.16956897867345377</v>
      </c>
      <c r="T17" s="218">
        <f t="shared" si="30"/>
        <v>18943.350429836151</v>
      </c>
      <c r="U17" s="438">
        <f t="shared" si="31"/>
        <v>18943.350429836151</v>
      </c>
      <c r="V17" s="218">
        <f>IF(B17=0,Greenhouse_Retrofit!$C$29,0)</f>
        <v>0</v>
      </c>
      <c r="W17" s="435">
        <f t="shared" si="32"/>
        <v>0</v>
      </c>
      <c r="X17" s="438">
        <f t="shared" si="33"/>
        <v>18943.350429836151</v>
      </c>
      <c r="Y17" s="184">
        <f>IF(B17=0,Greenhouse_Retrofit!$G$15+Greenhouse_Retrofit!$G$16,0)</f>
        <v>0</v>
      </c>
      <c r="Z17" s="185">
        <f>IF(B17=0,Greenhouse_Retrofit!$G$14,0)</f>
        <v>0</v>
      </c>
      <c r="AA17" s="132">
        <f t="shared" si="34"/>
        <v>0</v>
      </c>
      <c r="AB17" s="218">
        <f t="shared" si="35"/>
        <v>18943.350429836151</v>
      </c>
      <c r="AC17" s="218">
        <f>Greenhouse_Retrofit!$G$20*AVERAGE(AR17,AS17)</f>
        <v>0</v>
      </c>
      <c r="AD17" s="132">
        <f t="shared" si="36"/>
        <v>1376.6591078745632</v>
      </c>
      <c r="AE17" s="132">
        <f t="shared" si="37"/>
        <v>18943.350429836151</v>
      </c>
      <c r="AF17" s="122">
        <f t="shared" si="38"/>
        <v>17566.691321961589</v>
      </c>
      <c r="AG17" s="438">
        <f t="shared" si="39"/>
        <v>17566.691321961589</v>
      </c>
      <c r="AH17" s="122">
        <f t="shared" si="40"/>
        <v>56890.454064620943</v>
      </c>
      <c r="AI17" s="122">
        <f t="shared" si="41"/>
        <v>48763.896205358651</v>
      </c>
      <c r="AJ17" s="122">
        <f>-Debt_Calc!CO15</f>
        <v>9614.4867369209405</v>
      </c>
      <c r="AK17" s="122">
        <f>Debt_Calc!CP15</f>
        <v>8126.5578592622896</v>
      </c>
      <c r="AL17" s="122">
        <f t="shared" si="42"/>
        <v>17741.04459618323</v>
      </c>
      <c r="AM17" s="217">
        <f t="shared" si="43"/>
        <v>0.99017232196918381</v>
      </c>
      <c r="AN17" s="122">
        <f t="shared" si="44"/>
        <v>-174.35327422164119</v>
      </c>
      <c r="AO17" s="122">
        <f t="shared" si="45"/>
        <v>1202.305833652922</v>
      </c>
      <c r="AP17" s="122">
        <f t="shared" si="46"/>
        <v>-174.35327422164119</v>
      </c>
      <c r="AQ17" s="122">
        <f t="shared" si="47"/>
        <v>0</v>
      </c>
      <c r="AR17" s="122">
        <f t="shared" si="48"/>
        <v>0</v>
      </c>
      <c r="AS17" s="122">
        <f t="shared" si="49"/>
        <v>0</v>
      </c>
      <c r="AT17" s="122">
        <f t="shared" si="50"/>
        <v>-32224.146637050111</v>
      </c>
      <c r="AU17" s="122">
        <f t="shared" si="51"/>
        <v>0</v>
      </c>
      <c r="AV17" s="222">
        <f t="shared" si="52"/>
        <v>-91.146909358966084</v>
      </c>
    </row>
    <row r="18" spans="2:48" s="86" customFormat="1" x14ac:dyDescent="0.3">
      <c r="B18" s="184">
        <f t="shared" si="18"/>
        <v>7</v>
      </c>
      <c r="C18" s="346">
        <f t="shared" si="19"/>
        <v>2028</v>
      </c>
      <c r="D18" s="347">
        <f t="shared" si="20"/>
        <v>46753</v>
      </c>
      <c r="E18" s="440">
        <f t="shared" si="21"/>
        <v>47118</v>
      </c>
      <c r="F18" s="732">
        <f>IF(AND(B18&gt;0,B18&lt;=Greenhouse_Retrofit!$J$10),1,0)</f>
        <v>1</v>
      </c>
      <c r="G18" s="217">
        <f t="shared" si="22"/>
        <v>0</v>
      </c>
      <c r="H18" s="438">
        <f>(Greenhouse_Retrofit!$N$15*F18)+IF(B18=Greenhouse_Retrofit!$J$10,Greenhouse_Retrofit!$J$12,0)</f>
        <v>18943.350429836151</v>
      </c>
      <c r="I18" s="122">
        <f t="shared" si="23"/>
        <v>18943.350429836151</v>
      </c>
      <c r="J18" s="219">
        <f t="shared" si="24"/>
        <v>1</v>
      </c>
      <c r="K18" s="220">
        <f>Deprec!AG17</f>
        <v>4740</v>
      </c>
      <c r="L18" s="122">
        <f t="shared" si="25"/>
        <v>14203.350429836151</v>
      </c>
      <c r="M18" s="221">
        <f t="shared" si="26"/>
        <v>8241.0984587056118</v>
      </c>
      <c r="N18" s="122">
        <f t="shared" si="27"/>
        <v>5962.2519711305395</v>
      </c>
      <c r="O18" s="438">
        <f>IF(N18&lt;0,0,(N18*Greenhouse_Retrofit!$J$7))</f>
        <v>1788.6755913391619</v>
      </c>
      <c r="P18" s="122">
        <f t="shared" si="28"/>
        <v>4173.5763797913778</v>
      </c>
      <c r="Q18" s="123">
        <f t="shared" si="29"/>
        <v>0.22031880766022849</v>
      </c>
      <c r="T18" s="218">
        <f t="shared" si="30"/>
        <v>18943.350429836151</v>
      </c>
      <c r="U18" s="438">
        <f t="shared" si="31"/>
        <v>18943.350429836151</v>
      </c>
      <c r="V18" s="218">
        <f>IF(B18=0,Greenhouse_Retrofit!$C$29,0)</f>
        <v>0</v>
      </c>
      <c r="W18" s="435">
        <f t="shared" si="32"/>
        <v>0</v>
      </c>
      <c r="X18" s="438">
        <f t="shared" si="33"/>
        <v>18943.350429836151</v>
      </c>
      <c r="Y18" s="184">
        <f>IF(B18=0,Greenhouse_Retrofit!$G$15+Greenhouse_Retrofit!$G$16,0)</f>
        <v>0</v>
      </c>
      <c r="Z18" s="185">
        <f>IF(B18=0,Greenhouse_Retrofit!$G$14,0)</f>
        <v>0</v>
      </c>
      <c r="AA18" s="132">
        <f t="shared" si="34"/>
        <v>0</v>
      </c>
      <c r="AB18" s="218">
        <f t="shared" si="35"/>
        <v>18943.350429836151</v>
      </c>
      <c r="AC18" s="218">
        <f>Greenhouse_Retrofit!$G$20*AVERAGE(AR18,AS18)</f>
        <v>0</v>
      </c>
      <c r="AD18" s="132">
        <f t="shared" si="36"/>
        <v>1788.6755913391619</v>
      </c>
      <c r="AE18" s="132">
        <f t="shared" si="37"/>
        <v>18943.350429836151</v>
      </c>
      <c r="AF18" s="122">
        <f t="shared" si="38"/>
        <v>17154.674838496991</v>
      </c>
      <c r="AG18" s="438">
        <f t="shared" si="39"/>
        <v>17154.674838496991</v>
      </c>
      <c r="AH18" s="122">
        <f t="shared" si="40"/>
        <v>48763.896205358651</v>
      </c>
      <c r="AI18" s="122">
        <f t="shared" si="41"/>
        <v>39263.950067881044</v>
      </c>
      <c r="AJ18" s="122">
        <f>-Debt_Calc!CO16</f>
        <v>8241.0984587056118</v>
      </c>
      <c r="AK18" s="122">
        <f>Debt_Calc!CP16</f>
        <v>9499.946137477611</v>
      </c>
      <c r="AL18" s="122">
        <f t="shared" si="42"/>
        <v>17741.044596183223</v>
      </c>
      <c r="AM18" s="217">
        <f t="shared" si="43"/>
        <v>0.96694840856144493</v>
      </c>
      <c r="AN18" s="122">
        <f t="shared" si="44"/>
        <v>-586.36975768623233</v>
      </c>
      <c r="AO18" s="122">
        <f t="shared" si="45"/>
        <v>1202.3058336529296</v>
      </c>
      <c r="AP18" s="122">
        <f t="shared" si="46"/>
        <v>-586.36975768623233</v>
      </c>
      <c r="AQ18" s="122">
        <f t="shared" si="47"/>
        <v>0</v>
      </c>
      <c r="AR18" s="122">
        <f t="shared" si="48"/>
        <v>0</v>
      </c>
      <c r="AS18" s="122">
        <f t="shared" si="49"/>
        <v>0</v>
      </c>
      <c r="AT18" s="122">
        <f t="shared" si="50"/>
        <v>-32810.516394736347</v>
      </c>
      <c r="AU18" s="122">
        <f t="shared" si="51"/>
        <v>0</v>
      </c>
      <c r="AV18" s="222">
        <f t="shared" si="52"/>
        <v>-275.12837053330458</v>
      </c>
    </row>
    <row r="19" spans="2:48" s="86" customFormat="1" x14ac:dyDescent="0.3">
      <c r="B19" s="184">
        <f t="shared" si="18"/>
        <v>8</v>
      </c>
      <c r="C19" s="346">
        <f t="shared" si="19"/>
        <v>2029</v>
      </c>
      <c r="D19" s="347">
        <f t="shared" si="20"/>
        <v>47119</v>
      </c>
      <c r="E19" s="440">
        <f t="shared" si="21"/>
        <v>47483</v>
      </c>
      <c r="F19" s="732">
        <f>IF(AND(B19&gt;0,B19&lt;=Greenhouse_Retrofit!$J$10),1,0)</f>
        <v>1</v>
      </c>
      <c r="G19" s="217">
        <f t="shared" si="22"/>
        <v>0</v>
      </c>
      <c r="H19" s="438">
        <f>(Greenhouse_Retrofit!$N$15*F19)+IF(B19=Greenhouse_Retrofit!$J$10,Greenhouse_Retrofit!$J$12,0)</f>
        <v>18943.350429836151</v>
      </c>
      <c r="I19" s="122">
        <f t="shared" si="23"/>
        <v>18943.350429836151</v>
      </c>
      <c r="J19" s="219">
        <f t="shared" si="24"/>
        <v>1</v>
      </c>
      <c r="K19" s="220">
        <f>Deprec!AG18</f>
        <v>4740</v>
      </c>
      <c r="L19" s="122">
        <f t="shared" si="25"/>
        <v>14203.350429836151</v>
      </c>
      <c r="M19" s="221">
        <f t="shared" si="26"/>
        <v>6635.6075614718966</v>
      </c>
      <c r="N19" s="122">
        <f t="shared" si="27"/>
        <v>7567.7428683642547</v>
      </c>
      <c r="O19" s="438">
        <f>IF(N19&lt;0,0,(N19*Greenhouse_Retrofit!$J$7))</f>
        <v>2270.3228605092763</v>
      </c>
      <c r="P19" s="122">
        <f t="shared" si="28"/>
        <v>5297.4200078549784</v>
      </c>
      <c r="Q19" s="123">
        <f t="shared" si="29"/>
        <v>0.27964535774576799</v>
      </c>
      <c r="T19" s="218">
        <f t="shared" si="30"/>
        <v>18943.350429836151</v>
      </c>
      <c r="U19" s="438">
        <f t="shared" si="31"/>
        <v>18943.350429836151</v>
      </c>
      <c r="V19" s="218">
        <f>IF(B19=0,Greenhouse_Retrofit!$C$29,0)</f>
        <v>0</v>
      </c>
      <c r="W19" s="435">
        <f t="shared" si="32"/>
        <v>0</v>
      </c>
      <c r="X19" s="438">
        <f t="shared" si="33"/>
        <v>18943.350429836151</v>
      </c>
      <c r="Y19" s="184">
        <f>IF(B19=0,Greenhouse_Retrofit!$G$15+Greenhouse_Retrofit!$G$16,0)</f>
        <v>0</v>
      </c>
      <c r="Z19" s="185">
        <f>IF(B19=0,Greenhouse_Retrofit!$G$14,0)</f>
        <v>0</v>
      </c>
      <c r="AA19" s="132">
        <f t="shared" si="34"/>
        <v>0</v>
      </c>
      <c r="AB19" s="218">
        <f t="shared" si="35"/>
        <v>18943.350429836151</v>
      </c>
      <c r="AC19" s="218">
        <f>Greenhouse_Retrofit!$G$20*AVERAGE(AR19,AS19)</f>
        <v>0</v>
      </c>
      <c r="AD19" s="132">
        <f t="shared" si="36"/>
        <v>2270.3228605092763</v>
      </c>
      <c r="AE19" s="132">
        <f t="shared" si="37"/>
        <v>18943.350429836151</v>
      </c>
      <c r="AF19" s="122">
        <f t="shared" si="38"/>
        <v>16673.027569326874</v>
      </c>
      <c r="AG19" s="438">
        <f t="shared" si="39"/>
        <v>16673.027569326874</v>
      </c>
      <c r="AH19" s="122">
        <f t="shared" si="40"/>
        <v>39263.950067881044</v>
      </c>
      <c r="AI19" s="122">
        <f t="shared" si="41"/>
        <v>28158.513033169711</v>
      </c>
      <c r="AJ19" s="122">
        <f>-Debt_Calc!CO17</f>
        <v>6635.6075614718966</v>
      </c>
      <c r="AK19" s="122">
        <f>Debt_Calc!CP17</f>
        <v>11105.437034711333</v>
      </c>
      <c r="AL19" s="122">
        <f t="shared" si="42"/>
        <v>17741.04459618323</v>
      </c>
      <c r="AM19" s="217">
        <f t="shared" si="43"/>
        <v>0.9397996537877974</v>
      </c>
      <c r="AN19" s="122">
        <f t="shared" si="44"/>
        <v>-1068.0170268563561</v>
      </c>
      <c r="AO19" s="122">
        <f t="shared" si="45"/>
        <v>1202.3058336529202</v>
      </c>
      <c r="AP19" s="122">
        <f t="shared" si="46"/>
        <v>-1068.0170268563561</v>
      </c>
      <c r="AQ19" s="122">
        <f t="shared" si="47"/>
        <v>0</v>
      </c>
      <c r="AR19" s="122">
        <f t="shared" si="48"/>
        <v>0</v>
      </c>
      <c r="AS19" s="122">
        <f t="shared" si="49"/>
        <v>0</v>
      </c>
      <c r="AT19" s="122">
        <f t="shared" si="50"/>
        <v>-33878.5334215927</v>
      </c>
      <c r="AU19" s="122">
        <f t="shared" si="51"/>
        <v>0</v>
      </c>
      <c r="AV19" s="222">
        <f t="shared" si="52"/>
        <v>-449.77360218021039</v>
      </c>
    </row>
    <row r="20" spans="2:48" s="86" customFormat="1" x14ac:dyDescent="0.3">
      <c r="B20" s="184">
        <f t="shared" si="18"/>
        <v>9</v>
      </c>
      <c r="C20" s="346">
        <f t="shared" si="19"/>
        <v>2030</v>
      </c>
      <c r="D20" s="347">
        <f t="shared" si="20"/>
        <v>47484</v>
      </c>
      <c r="E20" s="440">
        <f t="shared" si="21"/>
        <v>47848</v>
      </c>
      <c r="F20" s="732">
        <f>IF(AND(B20&gt;0,B20&lt;=Greenhouse_Retrofit!$J$10),1,0)</f>
        <v>1</v>
      </c>
      <c r="G20" s="217">
        <f t="shared" si="22"/>
        <v>0</v>
      </c>
      <c r="H20" s="438">
        <f>(Greenhouse_Retrofit!$N$15*F20)+IF(B20=Greenhouse_Retrofit!$J$10,Greenhouse_Retrofit!$J$12,0)</f>
        <v>18943.350429836151</v>
      </c>
      <c r="I20" s="122">
        <f t="shared" si="23"/>
        <v>18943.350429836151</v>
      </c>
      <c r="J20" s="219">
        <f t="shared" si="24"/>
        <v>1</v>
      </c>
      <c r="K20" s="220">
        <f>Deprec!AG19</f>
        <v>4740</v>
      </c>
      <c r="L20" s="122">
        <f t="shared" si="25"/>
        <v>14203.350429836151</v>
      </c>
      <c r="M20" s="221">
        <f t="shared" si="26"/>
        <v>4758.7887026056815</v>
      </c>
      <c r="N20" s="122">
        <f t="shared" si="27"/>
        <v>9444.5617272304698</v>
      </c>
      <c r="O20" s="438">
        <f>IF(N20&lt;0,0,(N20*Greenhouse_Retrofit!$J$7))</f>
        <v>2833.3685181691408</v>
      </c>
      <c r="P20" s="122">
        <f t="shared" si="28"/>
        <v>6611.1932090613291</v>
      </c>
      <c r="Q20" s="123">
        <f t="shared" si="29"/>
        <v>0.34899809479576377</v>
      </c>
      <c r="T20" s="218">
        <f t="shared" si="30"/>
        <v>18943.350429836151</v>
      </c>
      <c r="U20" s="438">
        <f t="shared" si="31"/>
        <v>18943.350429836151</v>
      </c>
      <c r="V20" s="218">
        <f>IF(B20=0,Greenhouse_Retrofit!$C$29,0)</f>
        <v>0</v>
      </c>
      <c r="W20" s="435">
        <f t="shared" si="32"/>
        <v>0</v>
      </c>
      <c r="X20" s="438">
        <f t="shared" si="33"/>
        <v>18943.350429836151</v>
      </c>
      <c r="Y20" s="184">
        <f>IF(B20=0,Greenhouse_Retrofit!$G$15+Greenhouse_Retrofit!$G$16,0)</f>
        <v>0</v>
      </c>
      <c r="Z20" s="185">
        <f>IF(B20=0,Greenhouse_Retrofit!$G$14,0)</f>
        <v>0</v>
      </c>
      <c r="AA20" s="132">
        <f t="shared" si="34"/>
        <v>0</v>
      </c>
      <c r="AB20" s="218">
        <f t="shared" si="35"/>
        <v>18943.350429836151</v>
      </c>
      <c r="AC20" s="218">
        <f>Greenhouse_Retrofit!$G$20*AVERAGE(AR20,AS20)</f>
        <v>0</v>
      </c>
      <c r="AD20" s="132">
        <f t="shared" si="36"/>
        <v>2833.3685181691408</v>
      </c>
      <c r="AE20" s="132">
        <f t="shared" si="37"/>
        <v>18943.350429836151</v>
      </c>
      <c r="AF20" s="122">
        <f t="shared" si="38"/>
        <v>16109.981911667011</v>
      </c>
      <c r="AG20" s="438">
        <f t="shared" si="39"/>
        <v>16109.981911667011</v>
      </c>
      <c r="AH20" s="122">
        <f t="shared" si="40"/>
        <v>28158.513033169711</v>
      </c>
      <c r="AI20" s="122">
        <f t="shared" si="41"/>
        <v>15176.257139592166</v>
      </c>
      <c r="AJ20" s="122">
        <f>-Debt_Calc!CO18</f>
        <v>4758.7887026056815</v>
      </c>
      <c r="AK20" s="122">
        <f>Debt_Calc!CP18</f>
        <v>12982.255893577545</v>
      </c>
      <c r="AL20" s="122">
        <f t="shared" si="42"/>
        <v>17741.044596183227</v>
      </c>
      <c r="AM20" s="217">
        <f t="shared" si="43"/>
        <v>0.90806275945740433</v>
      </c>
      <c r="AN20" s="122">
        <f t="shared" si="44"/>
        <v>-1631.0626845162151</v>
      </c>
      <c r="AO20" s="122">
        <f t="shared" si="45"/>
        <v>1202.3058336529257</v>
      </c>
      <c r="AP20" s="122">
        <f t="shared" si="46"/>
        <v>-1631.0626845162151</v>
      </c>
      <c r="AQ20" s="122">
        <f t="shared" si="47"/>
        <v>0</v>
      </c>
      <c r="AR20" s="122">
        <f t="shared" si="48"/>
        <v>0</v>
      </c>
      <c r="AS20" s="122">
        <f t="shared" si="49"/>
        <v>0</v>
      </c>
      <c r="AT20" s="122">
        <f t="shared" si="50"/>
        <v>-35509.596106108918</v>
      </c>
      <c r="AU20" s="122">
        <f t="shared" si="51"/>
        <v>0</v>
      </c>
      <c r="AV20" s="222">
        <f t="shared" si="52"/>
        <v>-616.50756677173331</v>
      </c>
    </row>
    <row r="21" spans="2:48" s="86" customFormat="1" x14ac:dyDescent="0.3">
      <c r="B21" s="184">
        <f t="shared" si="18"/>
        <v>10</v>
      </c>
      <c r="C21" s="346">
        <f t="shared" si="19"/>
        <v>2031</v>
      </c>
      <c r="D21" s="347">
        <f t="shared" si="20"/>
        <v>47849</v>
      </c>
      <c r="E21" s="440">
        <f t="shared" si="21"/>
        <v>48213</v>
      </c>
      <c r="F21" s="732">
        <f>IF(AND(B21&gt;0,B21&lt;=Greenhouse_Retrofit!$J$10),1,0)</f>
        <v>1</v>
      </c>
      <c r="G21" s="217">
        <f t="shared" si="22"/>
        <v>0</v>
      </c>
      <c r="H21" s="438">
        <f>(Greenhouse_Retrofit!$N$15*F21)+IF(B21=Greenhouse_Retrofit!$J$10,Greenhouse_Retrofit!$J$12,0)</f>
        <v>18943.350429836151</v>
      </c>
      <c r="I21" s="122">
        <f t="shared" si="23"/>
        <v>18943.350429836151</v>
      </c>
      <c r="J21" s="219">
        <f t="shared" si="24"/>
        <v>1</v>
      </c>
      <c r="K21" s="220">
        <f>Deprec!AG20</f>
        <v>4740</v>
      </c>
      <c r="L21" s="122">
        <f t="shared" si="25"/>
        <v>14203.350429836151</v>
      </c>
      <c r="M21" s="221">
        <f t="shared" si="26"/>
        <v>2564.7874565910761</v>
      </c>
      <c r="N21" s="122">
        <f t="shared" si="27"/>
        <v>11638.562973245076</v>
      </c>
      <c r="O21" s="438">
        <f>IF(N21&lt;0,0,(N21*Greenhouse_Retrofit!$J$7))</f>
        <v>3491.5688919735226</v>
      </c>
      <c r="P21" s="122">
        <f t="shared" si="28"/>
        <v>8146.994081271554</v>
      </c>
      <c r="Q21" s="123">
        <f t="shared" si="29"/>
        <v>0.43007144440720885</v>
      </c>
      <c r="T21" s="218">
        <f t="shared" si="30"/>
        <v>18943.350429836151</v>
      </c>
      <c r="U21" s="438">
        <f t="shared" si="31"/>
        <v>18943.350429836151</v>
      </c>
      <c r="V21" s="218">
        <f>IF(B21=0,Greenhouse_Retrofit!$C$29,0)</f>
        <v>0</v>
      </c>
      <c r="W21" s="435">
        <f t="shared" si="32"/>
        <v>0</v>
      </c>
      <c r="X21" s="438">
        <f t="shared" si="33"/>
        <v>18943.350429836151</v>
      </c>
      <c r="Y21" s="184">
        <f>IF(B21=0,Greenhouse_Retrofit!$G$15+Greenhouse_Retrofit!$G$16,0)</f>
        <v>0</v>
      </c>
      <c r="Z21" s="185">
        <f>IF(B21=0,Greenhouse_Retrofit!$G$14,0)</f>
        <v>0</v>
      </c>
      <c r="AA21" s="132">
        <f t="shared" si="34"/>
        <v>0</v>
      </c>
      <c r="AB21" s="218">
        <f t="shared" si="35"/>
        <v>18943.350429836151</v>
      </c>
      <c r="AC21" s="218">
        <f>Greenhouse_Retrofit!$G$20*AVERAGE(AR21,AS21)</f>
        <v>0</v>
      </c>
      <c r="AD21" s="132">
        <f t="shared" si="36"/>
        <v>3491.5688919735226</v>
      </c>
      <c r="AE21" s="132">
        <f t="shared" si="37"/>
        <v>18943.350429836151</v>
      </c>
      <c r="AF21" s="122">
        <f t="shared" si="38"/>
        <v>15451.781537862629</v>
      </c>
      <c r="AG21" s="438">
        <f t="shared" si="39"/>
        <v>15451.781537862629</v>
      </c>
      <c r="AH21" s="122">
        <f t="shared" si="40"/>
        <v>15176.257139592166</v>
      </c>
      <c r="AI21" s="122">
        <f t="shared" si="41"/>
        <v>0</v>
      </c>
      <c r="AJ21" s="122">
        <f>-Debt_Calc!CO19</f>
        <v>2564.7874565910761</v>
      </c>
      <c r="AK21" s="122">
        <f>Debt_Calc!CP19</f>
        <v>15176.257139592166</v>
      </c>
      <c r="AL21" s="122">
        <f t="shared" si="42"/>
        <v>17741.044596183241</v>
      </c>
      <c r="AM21" s="217">
        <f t="shared" si="43"/>
        <v>0.87096232998517364</v>
      </c>
      <c r="AN21" s="122">
        <f t="shared" si="44"/>
        <v>-2289.2630583206119</v>
      </c>
      <c r="AO21" s="122">
        <f t="shared" si="45"/>
        <v>1202.3058336529107</v>
      </c>
      <c r="AP21" s="122">
        <f t="shared" si="46"/>
        <v>-2289.2630583206119</v>
      </c>
      <c r="AQ21" s="122">
        <f t="shared" si="47"/>
        <v>0</v>
      </c>
      <c r="AR21" s="122">
        <f t="shared" si="48"/>
        <v>0</v>
      </c>
      <c r="AS21" s="122">
        <f t="shared" si="49"/>
        <v>0</v>
      </c>
      <c r="AT21" s="122">
        <f t="shared" si="50"/>
        <v>-37798.85916442953</v>
      </c>
      <c r="AU21" s="122">
        <f t="shared" si="51"/>
        <v>0</v>
      </c>
      <c r="AV21" s="222">
        <f t="shared" si="52"/>
        <v>-776.63227116496228</v>
      </c>
    </row>
    <row r="22" spans="2:48" s="86" customFormat="1" x14ac:dyDescent="0.3">
      <c r="B22" s="184">
        <f t="shared" si="18"/>
        <v>11</v>
      </c>
      <c r="C22" s="346">
        <f t="shared" si="19"/>
        <v>2032</v>
      </c>
      <c r="D22" s="347">
        <f t="shared" si="20"/>
        <v>48214</v>
      </c>
      <c r="E22" s="440">
        <f t="shared" si="21"/>
        <v>48579</v>
      </c>
      <c r="F22" s="732">
        <f>IF(AND(B22&gt;0,B22&lt;=Greenhouse_Retrofit!$J$10),1,0)</f>
        <v>1</v>
      </c>
      <c r="G22" s="217">
        <f t="shared" si="22"/>
        <v>0</v>
      </c>
      <c r="H22" s="438">
        <f>(Greenhouse_Retrofit!$N$15*F22)+IF(B22=Greenhouse_Retrofit!$J$10,Greenhouse_Retrofit!$J$12,0)</f>
        <v>18943.350429836151</v>
      </c>
      <c r="I22" s="122">
        <f t="shared" si="23"/>
        <v>18943.350429836151</v>
      </c>
      <c r="J22" s="219">
        <f t="shared" si="24"/>
        <v>1</v>
      </c>
      <c r="K22" s="220">
        <f>Deprec!AG21</f>
        <v>4740</v>
      </c>
      <c r="L22" s="122">
        <f t="shared" si="25"/>
        <v>14203.350429836151</v>
      </c>
      <c r="M22" s="221">
        <f t="shared" si="26"/>
        <v>0</v>
      </c>
      <c r="N22" s="122">
        <f t="shared" si="27"/>
        <v>14203.350429836151</v>
      </c>
      <c r="O22" s="438">
        <f>IF(N22&lt;0,0,(N22*Greenhouse_Retrofit!$J$7))</f>
        <v>4261.0051289508456</v>
      </c>
      <c r="P22" s="122">
        <f t="shared" si="28"/>
        <v>9942.3453008853066</v>
      </c>
      <c r="Q22" s="123">
        <f t="shared" si="29"/>
        <v>0.52484619010298816</v>
      </c>
      <c r="T22" s="218">
        <f t="shared" si="30"/>
        <v>18943.350429836151</v>
      </c>
      <c r="U22" s="438">
        <f t="shared" si="31"/>
        <v>18943.350429836151</v>
      </c>
      <c r="V22" s="218">
        <f>IF(B22=0,Greenhouse_Retrofit!$C$29,0)</f>
        <v>0</v>
      </c>
      <c r="W22" s="435">
        <f t="shared" si="32"/>
        <v>0</v>
      </c>
      <c r="X22" s="438">
        <f t="shared" si="33"/>
        <v>18943.350429836151</v>
      </c>
      <c r="Y22" s="184">
        <f>IF(B22=0,Greenhouse_Retrofit!$G$15+Greenhouse_Retrofit!$G$16,0)</f>
        <v>0</v>
      </c>
      <c r="Z22" s="185">
        <f>IF(B22=0,Greenhouse_Retrofit!$G$14,0)</f>
        <v>0</v>
      </c>
      <c r="AA22" s="132">
        <f t="shared" si="34"/>
        <v>0</v>
      </c>
      <c r="AB22" s="218">
        <f t="shared" si="35"/>
        <v>18943.350429836151</v>
      </c>
      <c r="AC22" s="218">
        <f>Greenhouse_Retrofit!$G$20*AVERAGE(AR22,AS22)</f>
        <v>0</v>
      </c>
      <c r="AD22" s="132">
        <f t="shared" si="36"/>
        <v>4261.0051289508456</v>
      </c>
      <c r="AE22" s="132">
        <f t="shared" si="37"/>
        <v>18943.350429836151</v>
      </c>
      <c r="AF22" s="122">
        <f t="shared" si="38"/>
        <v>14682.345300885307</v>
      </c>
      <c r="AG22" s="438">
        <f t="shared" si="39"/>
        <v>14682.345300885307</v>
      </c>
      <c r="AH22" s="122">
        <f t="shared" si="40"/>
        <v>0</v>
      </c>
      <c r="AI22" s="122">
        <f t="shared" si="41"/>
        <v>0</v>
      </c>
      <c r="AJ22" s="122">
        <f>-Debt_Calc!CO20</f>
        <v>0</v>
      </c>
      <c r="AK22" s="122">
        <f>Debt_Calc!CP20</f>
        <v>0</v>
      </c>
      <c r="AL22" s="122">
        <f t="shared" si="42"/>
        <v>0</v>
      </c>
      <c r="AM22" s="217">
        <f t="shared" si="43"/>
        <v>0</v>
      </c>
      <c r="AN22" s="122">
        <f t="shared" si="44"/>
        <v>14682.345300885307</v>
      </c>
      <c r="AO22" s="122">
        <f t="shared" si="45"/>
        <v>18943.350429836151</v>
      </c>
      <c r="AP22" s="122">
        <f t="shared" si="46"/>
        <v>14682.345300885307</v>
      </c>
      <c r="AQ22" s="122">
        <f t="shared" si="47"/>
        <v>0</v>
      </c>
      <c r="AR22" s="122">
        <f t="shared" si="48"/>
        <v>0</v>
      </c>
      <c r="AS22" s="122">
        <f t="shared" si="49"/>
        <v>0</v>
      </c>
      <c r="AT22" s="122">
        <f t="shared" si="50"/>
        <v>-23116.513863544224</v>
      </c>
      <c r="AU22" s="122">
        <f t="shared" si="51"/>
        <v>0</v>
      </c>
      <c r="AV22" s="222">
        <f t="shared" si="52"/>
        <v>4470.6136461895849</v>
      </c>
    </row>
    <row r="23" spans="2:48" s="86" customFormat="1" x14ac:dyDescent="0.3">
      <c r="B23" s="184">
        <f t="shared" si="18"/>
        <v>12</v>
      </c>
      <c r="C23" s="346">
        <f t="shared" si="19"/>
        <v>2033</v>
      </c>
      <c r="D23" s="347">
        <f t="shared" si="20"/>
        <v>48580</v>
      </c>
      <c r="E23" s="440">
        <f t="shared" si="21"/>
        <v>48944</v>
      </c>
      <c r="F23" s="732">
        <f>IF(AND(B23&gt;0,B23&lt;=Greenhouse_Retrofit!$J$10),1,0)</f>
        <v>1</v>
      </c>
      <c r="G23" s="217">
        <f t="shared" si="22"/>
        <v>0</v>
      </c>
      <c r="H23" s="438">
        <f>(Greenhouse_Retrofit!$N$15*F23)+IF(B23=Greenhouse_Retrofit!$J$10,Greenhouse_Retrofit!$J$12,0)</f>
        <v>18943.350429836151</v>
      </c>
      <c r="I23" s="122">
        <f t="shared" si="23"/>
        <v>18943.350429836151</v>
      </c>
      <c r="J23" s="219">
        <f t="shared" si="24"/>
        <v>1</v>
      </c>
      <c r="K23" s="220">
        <f>Deprec!AG22</f>
        <v>4740</v>
      </c>
      <c r="L23" s="122">
        <f t="shared" si="25"/>
        <v>14203.350429836151</v>
      </c>
      <c r="M23" s="221">
        <f t="shared" si="26"/>
        <v>0</v>
      </c>
      <c r="N23" s="122">
        <f t="shared" si="27"/>
        <v>14203.350429836151</v>
      </c>
      <c r="O23" s="438">
        <f>IF(N23&lt;0,0,(N23*Greenhouse_Retrofit!$J$7))</f>
        <v>4261.0051289508456</v>
      </c>
      <c r="P23" s="122">
        <f t="shared" si="28"/>
        <v>9942.3453008853066</v>
      </c>
      <c r="Q23" s="123">
        <f t="shared" si="29"/>
        <v>0.52484619010298816</v>
      </c>
      <c r="T23" s="218">
        <f t="shared" si="30"/>
        <v>18943.350429836151</v>
      </c>
      <c r="U23" s="438">
        <f t="shared" si="31"/>
        <v>18943.350429836151</v>
      </c>
      <c r="V23" s="218">
        <f>IF(B23=0,Greenhouse_Retrofit!$C$29,0)</f>
        <v>0</v>
      </c>
      <c r="W23" s="435">
        <f t="shared" si="32"/>
        <v>0</v>
      </c>
      <c r="X23" s="438">
        <f t="shared" si="33"/>
        <v>18943.350429836151</v>
      </c>
      <c r="Y23" s="184">
        <f>IF(B23=0,Greenhouse_Retrofit!$G$15+Greenhouse_Retrofit!$G$16,0)</f>
        <v>0</v>
      </c>
      <c r="Z23" s="185">
        <f>IF(B23=0,Greenhouse_Retrofit!$G$14,0)</f>
        <v>0</v>
      </c>
      <c r="AA23" s="132">
        <f t="shared" si="34"/>
        <v>0</v>
      </c>
      <c r="AB23" s="218">
        <f t="shared" si="35"/>
        <v>18943.350429836151</v>
      </c>
      <c r="AC23" s="218">
        <f>Greenhouse_Retrofit!$G$20*AVERAGE(AR23,AS23)</f>
        <v>0</v>
      </c>
      <c r="AD23" s="132">
        <f t="shared" si="36"/>
        <v>4261.0051289508456</v>
      </c>
      <c r="AE23" s="132">
        <f t="shared" si="37"/>
        <v>18943.350429836151</v>
      </c>
      <c r="AF23" s="122">
        <f t="shared" si="38"/>
        <v>14682.345300885307</v>
      </c>
      <c r="AG23" s="438">
        <f t="shared" si="39"/>
        <v>14682.345300885307</v>
      </c>
      <c r="AH23" s="122">
        <f t="shared" si="40"/>
        <v>0</v>
      </c>
      <c r="AI23" s="122">
        <f t="shared" si="41"/>
        <v>0</v>
      </c>
      <c r="AJ23" s="122">
        <f>-Debt_Calc!CO21</f>
        <v>0</v>
      </c>
      <c r="AK23" s="122">
        <f>Debt_Calc!CP21</f>
        <v>0</v>
      </c>
      <c r="AL23" s="122">
        <f t="shared" si="42"/>
        <v>0</v>
      </c>
      <c r="AM23" s="217">
        <f t="shared" si="43"/>
        <v>0</v>
      </c>
      <c r="AN23" s="122">
        <f t="shared" si="44"/>
        <v>14682.345300885307</v>
      </c>
      <c r="AO23" s="122">
        <f t="shared" si="45"/>
        <v>18943.350429836151</v>
      </c>
      <c r="AP23" s="122">
        <f t="shared" si="46"/>
        <v>14682.345300885307</v>
      </c>
      <c r="AQ23" s="122">
        <f t="shared" si="47"/>
        <v>0</v>
      </c>
      <c r="AR23" s="122">
        <f t="shared" si="48"/>
        <v>0</v>
      </c>
      <c r="AS23" s="122">
        <f t="shared" si="49"/>
        <v>0</v>
      </c>
      <c r="AT23" s="122">
        <f t="shared" si="50"/>
        <v>-8434.1685626589169</v>
      </c>
      <c r="AU23" s="122">
        <f t="shared" si="51"/>
        <v>0</v>
      </c>
      <c r="AV23" s="222">
        <f t="shared" si="52"/>
        <v>4012.537578214824</v>
      </c>
    </row>
    <row r="24" spans="2:48" s="86" customFormat="1" x14ac:dyDescent="0.3">
      <c r="B24" s="184">
        <f t="shared" si="18"/>
        <v>13</v>
      </c>
      <c r="C24" s="346">
        <f t="shared" si="19"/>
        <v>2034</v>
      </c>
      <c r="D24" s="347">
        <f t="shared" si="20"/>
        <v>48945</v>
      </c>
      <c r="E24" s="440">
        <f t="shared" si="21"/>
        <v>49309</v>
      </c>
      <c r="F24" s="732">
        <f>IF(AND(B24&gt;0,B24&lt;=Greenhouse_Retrofit!$J$10),1,0)</f>
        <v>1</v>
      </c>
      <c r="G24" s="217">
        <f t="shared" si="22"/>
        <v>0</v>
      </c>
      <c r="H24" s="438">
        <f>(Greenhouse_Retrofit!$N$15*F24)+IF(B24=Greenhouse_Retrofit!$J$10,Greenhouse_Retrofit!$J$12,0)</f>
        <v>18943.350429836151</v>
      </c>
      <c r="I24" s="122">
        <f t="shared" si="23"/>
        <v>18943.350429836151</v>
      </c>
      <c r="J24" s="219">
        <f t="shared" si="24"/>
        <v>1</v>
      </c>
      <c r="K24" s="220">
        <f>Deprec!AG23</f>
        <v>4740</v>
      </c>
      <c r="L24" s="122">
        <f t="shared" si="25"/>
        <v>14203.350429836151</v>
      </c>
      <c r="M24" s="221">
        <f t="shared" si="26"/>
        <v>0</v>
      </c>
      <c r="N24" s="122">
        <f t="shared" si="27"/>
        <v>14203.350429836151</v>
      </c>
      <c r="O24" s="438">
        <f>IF(N24&lt;0,0,(N24*Greenhouse_Retrofit!$J$7))</f>
        <v>4261.0051289508456</v>
      </c>
      <c r="P24" s="122">
        <f t="shared" si="28"/>
        <v>9942.3453008853066</v>
      </c>
      <c r="Q24" s="123">
        <f t="shared" si="29"/>
        <v>0.52484619010298816</v>
      </c>
      <c r="T24" s="218">
        <f t="shared" si="30"/>
        <v>18943.350429836151</v>
      </c>
      <c r="U24" s="438">
        <f t="shared" si="31"/>
        <v>18943.350429836151</v>
      </c>
      <c r="V24" s="218">
        <f>IF(B24=0,Greenhouse_Retrofit!$C$29,0)</f>
        <v>0</v>
      </c>
      <c r="W24" s="435">
        <f t="shared" si="32"/>
        <v>0</v>
      </c>
      <c r="X24" s="438">
        <f t="shared" si="33"/>
        <v>18943.350429836151</v>
      </c>
      <c r="Y24" s="184">
        <f>IF(B24=0,Greenhouse_Retrofit!$G$15+Greenhouse_Retrofit!$G$16,0)</f>
        <v>0</v>
      </c>
      <c r="Z24" s="185">
        <f>IF(B24=0,Greenhouse_Retrofit!$G$14,0)</f>
        <v>0</v>
      </c>
      <c r="AA24" s="132">
        <f t="shared" si="34"/>
        <v>0</v>
      </c>
      <c r="AB24" s="218">
        <f t="shared" si="35"/>
        <v>18943.350429836151</v>
      </c>
      <c r="AC24" s="218">
        <f>Greenhouse_Retrofit!$G$20*AVERAGE(AR24,AS24)</f>
        <v>0</v>
      </c>
      <c r="AD24" s="132">
        <f t="shared" si="36"/>
        <v>4261.0051289508456</v>
      </c>
      <c r="AE24" s="132">
        <f t="shared" si="37"/>
        <v>18943.350429836151</v>
      </c>
      <c r="AF24" s="122">
        <f t="shared" si="38"/>
        <v>14682.345300885307</v>
      </c>
      <c r="AG24" s="438">
        <f t="shared" si="39"/>
        <v>14682.345300885307</v>
      </c>
      <c r="AH24" s="122">
        <f t="shared" si="40"/>
        <v>0</v>
      </c>
      <c r="AI24" s="122">
        <f t="shared" si="41"/>
        <v>0</v>
      </c>
      <c r="AJ24" s="122">
        <f>-Debt_Calc!CO22</f>
        <v>0</v>
      </c>
      <c r="AK24" s="122">
        <f>Debt_Calc!CP22</f>
        <v>0</v>
      </c>
      <c r="AL24" s="122">
        <f t="shared" si="42"/>
        <v>0</v>
      </c>
      <c r="AM24" s="217">
        <f t="shared" si="43"/>
        <v>0</v>
      </c>
      <c r="AN24" s="122">
        <f t="shared" si="44"/>
        <v>14682.345300885307</v>
      </c>
      <c r="AO24" s="122">
        <f t="shared" si="45"/>
        <v>18943.350429836151</v>
      </c>
      <c r="AP24" s="122">
        <f t="shared" si="46"/>
        <v>14682.345300885307</v>
      </c>
      <c r="AQ24" s="122">
        <f t="shared" si="47"/>
        <v>0</v>
      </c>
      <c r="AR24" s="122">
        <f t="shared" si="48"/>
        <v>0</v>
      </c>
      <c r="AS24" s="122">
        <f t="shared" si="49"/>
        <v>0</v>
      </c>
      <c r="AT24" s="122">
        <f t="shared" si="50"/>
        <v>6248.1767382263897</v>
      </c>
      <c r="AU24" s="122">
        <f t="shared" si="51"/>
        <v>1</v>
      </c>
      <c r="AV24" s="222">
        <f t="shared" si="52"/>
        <v>3601.3977254126862</v>
      </c>
    </row>
    <row r="25" spans="2:48" s="86" customFormat="1" x14ac:dyDescent="0.3">
      <c r="B25" s="184">
        <f t="shared" si="18"/>
        <v>14</v>
      </c>
      <c r="C25" s="346">
        <f t="shared" si="19"/>
        <v>2035</v>
      </c>
      <c r="D25" s="347">
        <f t="shared" si="20"/>
        <v>49310</v>
      </c>
      <c r="E25" s="440">
        <f t="shared" si="21"/>
        <v>49674</v>
      </c>
      <c r="F25" s="732">
        <f>IF(AND(B25&gt;0,B25&lt;=Greenhouse_Retrofit!$J$10),1,0)</f>
        <v>1</v>
      </c>
      <c r="G25" s="217">
        <f t="shared" si="22"/>
        <v>0</v>
      </c>
      <c r="H25" s="438">
        <f>(Greenhouse_Retrofit!$N$15*F25)+IF(B25=Greenhouse_Retrofit!$J$10,Greenhouse_Retrofit!$J$12,0)</f>
        <v>18943.350429836151</v>
      </c>
      <c r="I25" s="122">
        <f t="shared" si="23"/>
        <v>18943.350429836151</v>
      </c>
      <c r="J25" s="219">
        <f t="shared" si="24"/>
        <v>1</v>
      </c>
      <c r="K25" s="220">
        <f>Deprec!AG24</f>
        <v>4740</v>
      </c>
      <c r="L25" s="122">
        <f t="shared" si="25"/>
        <v>14203.350429836151</v>
      </c>
      <c r="M25" s="221">
        <f t="shared" si="26"/>
        <v>0</v>
      </c>
      <c r="N25" s="122">
        <f t="shared" si="27"/>
        <v>14203.350429836151</v>
      </c>
      <c r="O25" s="438">
        <f>IF(N25&lt;0,0,(N25*Greenhouse_Retrofit!$J$7))</f>
        <v>4261.0051289508456</v>
      </c>
      <c r="P25" s="122">
        <f t="shared" si="28"/>
        <v>9942.3453008853066</v>
      </c>
      <c r="Q25" s="123">
        <f t="shared" si="29"/>
        <v>0.52484619010298816</v>
      </c>
      <c r="T25" s="218">
        <f t="shared" si="30"/>
        <v>18943.350429836151</v>
      </c>
      <c r="U25" s="438">
        <f t="shared" si="31"/>
        <v>18943.350429836151</v>
      </c>
      <c r="V25" s="218">
        <f>IF(B25=0,Greenhouse_Retrofit!$C$29,0)</f>
        <v>0</v>
      </c>
      <c r="W25" s="435">
        <f t="shared" si="32"/>
        <v>0</v>
      </c>
      <c r="X25" s="438">
        <f t="shared" si="33"/>
        <v>18943.350429836151</v>
      </c>
      <c r="Y25" s="184">
        <f>IF(B25=0,Greenhouse_Retrofit!$G$15+Greenhouse_Retrofit!$G$16,0)</f>
        <v>0</v>
      </c>
      <c r="Z25" s="185">
        <f>IF(B25=0,Greenhouse_Retrofit!$G$14,0)</f>
        <v>0</v>
      </c>
      <c r="AA25" s="132">
        <f t="shared" si="34"/>
        <v>0</v>
      </c>
      <c r="AB25" s="218">
        <f t="shared" si="35"/>
        <v>18943.350429836151</v>
      </c>
      <c r="AC25" s="218">
        <f>Greenhouse_Retrofit!$G$20*AVERAGE(AR25,AS25)</f>
        <v>0</v>
      </c>
      <c r="AD25" s="132">
        <f t="shared" si="36"/>
        <v>4261.0051289508456</v>
      </c>
      <c r="AE25" s="132">
        <f t="shared" si="37"/>
        <v>18943.350429836151</v>
      </c>
      <c r="AF25" s="122">
        <f t="shared" si="38"/>
        <v>14682.345300885307</v>
      </c>
      <c r="AG25" s="438">
        <f t="shared" si="39"/>
        <v>14682.345300885307</v>
      </c>
      <c r="AH25" s="122">
        <f t="shared" si="40"/>
        <v>0</v>
      </c>
      <c r="AI25" s="122">
        <f t="shared" si="41"/>
        <v>0</v>
      </c>
      <c r="AJ25" s="122">
        <f>-Debt_Calc!CO23</f>
        <v>0</v>
      </c>
      <c r="AK25" s="122">
        <f>Debt_Calc!CP23</f>
        <v>0</v>
      </c>
      <c r="AL25" s="122">
        <f t="shared" si="42"/>
        <v>0</v>
      </c>
      <c r="AM25" s="217">
        <f t="shared" si="43"/>
        <v>0</v>
      </c>
      <c r="AN25" s="122">
        <f t="shared" si="44"/>
        <v>14682.345300885307</v>
      </c>
      <c r="AO25" s="122">
        <f t="shared" si="45"/>
        <v>18943.350429836151</v>
      </c>
      <c r="AP25" s="122">
        <f t="shared" si="46"/>
        <v>14682.345300885307</v>
      </c>
      <c r="AQ25" s="122">
        <f t="shared" si="47"/>
        <v>0</v>
      </c>
      <c r="AR25" s="122">
        <f t="shared" si="48"/>
        <v>0</v>
      </c>
      <c r="AS25" s="122">
        <f t="shared" si="49"/>
        <v>0</v>
      </c>
      <c r="AT25" s="122">
        <f t="shared" si="50"/>
        <v>20930.522039111696</v>
      </c>
      <c r="AU25" s="122">
        <f t="shared" si="51"/>
        <v>2</v>
      </c>
      <c r="AV25" s="222">
        <f t="shared" si="52"/>
        <v>3232.3848247617025</v>
      </c>
    </row>
    <row r="26" spans="2:48" s="86" customFormat="1" x14ac:dyDescent="0.3">
      <c r="B26" s="184">
        <f t="shared" si="18"/>
        <v>15</v>
      </c>
      <c r="C26" s="346">
        <f t="shared" si="19"/>
        <v>2036</v>
      </c>
      <c r="D26" s="347">
        <f t="shared" si="20"/>
        <v>49675</v>
      </c>
      <c r="E26" s="440">
        <f t="shared" si="21"/>
        <v>50040</v>
      </c>
      <c r="F26" s="732">
        <f>IF(AND(B26&gt;0,B26&lt;=Greenhouse_Retrofit!$J$10),1,0)</f>
        <v>1</v>
      </c>
      <c r="G26" s="217">
        <f t="shared" si="22"/>
        <v>0</v>
      </c>
      <c r="H26" s="438">
        <f>(Greenhouse_Retrofit!$N$15*F26)+IF(B26=Greenhouse_Retrofit!$J$10,Greenhouse_Retrofit!$J$12,0)</f>
        <v>18943.350429836151</v>
      </c>
      <c r="I26" s="122">
        <f t="shared" si="23"/>
        <v>18943.350429836151</v>
      </c>
      <c r="J26" s="219">
        <f t="shared" si="24"/>
        <v>1</v>
      </c>
      <c r="K26" s="220">
        <f>Deprec!AG25</f>
        <v>4740</v>
      </c>
      <c r="L26" s="122">
        <f t="shared" si="25"/>
        <v>14203.350429836151</v>
      </c>
      <c r="M26" s="221">
        <f t="shared" si="26"/>
        <v>0</v>
      </c>
      <c r="N26" s="122">
        <f t="shared" si="27"/>
        <v>14203.350429836151</v>
      </c>
      <c r="O26" s="438">
        <f>IF(N26&lt;0,0,(N26*Greenhouse_Retrofit!$J$7))</f>
        <v>4261.0051289508456</v>
      </c>
      <c r="P26" s="122">
        <f t="shared" si="28"/>
        <v>9942.3453008853066</v>
      </c>
      <c r="Q26" s="123">
        <f t="shared" si="29"/>
        <v>0.52484619010298816</v>
      </c>
      <c r="T26" s="218">
        <f t="shared" si="30"/>
        <v>18943.350429836151</v>
      </c>
      <c r="U26" s="438">
        <f t="shared" si="31"/>
        <v>18943.350429836151</v>
      </c>
      <c r="V26" s="218">
        <f>IF(B26=0,Greenhouse_Retrofit!$C$29,0)</f>
        <v>0</v>
      </c>
      <c r="W26" s="435">
        <f t="shared" si="32"/>
        <v>0</v>
      </c>
      <c r="X26" s="438">
        <f t="shared" si="33"/>
        <v>18943.350429836151</v>
      </c>
      <c r="Y26" s="184">
        <f>IF(B26=0,Greenhouse_Retrofit!$G$15+Greenhouse_Retrofit!$G$16,0)</f>
        <v>0</v>
      </c>
      <c r="Z26" s="185">
        <f>IF(B26=0,Greenhouse_Retrofit!$G$14,0)</f>
        <v>0</v>
      </c>
      <c r="AA26" s="132">
        <f t="shared" si="34"/>
        <v>0</v>
      </c>
      <c r="AB26" s="218">
        <f t="shared" si="35"/>
        <v>18943.350429836151</v>
      </c>
      <c r="AC26" s="218">
        <f>Greenhouse_Retrofit!$G$20*AVERAGE(AR26,AS26)</f>
        <v>0</v>
      </c>
      <c r="AD26" s="132">
        <f t="shared" si="36"/>
        <v>4261.0051289508456</v>
      </c>
      <c r="AE26" s="132">
        <f t="shared" si="37"/>
        <v>18943.350429836151</v>
      </c>
      <c r="AF26" s="122">
        <f t="shared" si="38"/>
        <v>14682.345300885307</v>
      </c>
      <c r="AG26" s="438">
        <f t="shared" si="39"/>
        <v>14682.345300885307</v>
      </c>
      <c r="AH26" s="122">
        <f t="shared" si="40"/>
        <v>0</v>
      </c>
      <c r="AI26" s="122">
        <f t="shared" si="41"/>
        <v>0</v>
      </c>
      <c r="AJ26" s="122">
        <f>-Debt_Calc!CO24</f>
        <v>0</v>
      </c>
      <c r="AK26" s="122">
        <f>Debt_Calc!CP24</f>
        <v>0</v>
      </c>
      <c r="AL26" s="122">
        <f t="shared" si="42"/>
        <v>0</v>
      </c>
      <c r="AM26" s="217">
        <f t="shared" si="43"/>
        <v>0</v>
      </c>
      <c r="AN26" s="122">
        <f t="shared" si="44"/>
        <v>14682.345300885307</v>
      </c>
      <c r="AO26" s="122">
        <f t="shared" si="45"/>
        <v>18943.350429836151</v>
      </c>
      <c r="AP26" s="122">
        <f t="shared" si="46"/>
        <v>14682.345300885307</v>
      </c>
      <c r="AQ26" s="122">
        <f t="shared" si="47"/>
        <v>0</v>
      </c>
      <c r="AR26" s="122">
        <f t="shared" si="48"/>
        <v>0</v>
      </c>
      <c r="AS26" s="122">
        <f t="shared" si="49"/>
        <v>0</v>
      </c>
      <c r="AT26" s="122">
        <f t="shared" si="50"/>
        <v>35612.867339996999</v>
      </c>
      <c r="AU26" s="122">
        <f t="shared" si="51"/>
        <v>2</v>
      </c>
      <c r="AV26" s="222">
        <f t="shared" si="52"/>
        <v>2901.1823886106508</v>
      </c>
    </row>
    <row r="27" spans="2:48" s="86" customFormat="1" x14ac:dyDescent="0.3">
      <c r="B27" s="184">
        <f t="shared" si="18"/>
        <v>16</v>
      </c>
      <c r="C27" s="346">
        <f t="shared" si="19"/>
        <v>2037</v>
      </c>
      <c r="D27" s="347">
        <f t="shared" si="20"/>
        <v>50041</v>
      </c>
      <c r="E27" s="440">
        <f t="shared" si="21"/>
        <v>50405</v>
      </c>
      <c r="F27" s="732">
        <f>IF(AND(B27&gt;0,B27&lt;=Greenhouse_Retrofit!$J$10),1,0)</f>
        <v>1</v>
      </c>
      <c r="G27" s="217">
        <f t="shared" si="22"/>
        <v>0</v>
      </c>
      <c r="H27" s="438">
        <f>(Greenhouse_Retrofit!$N$15*F27)+IF(B27=Greenhouse_Retrofit!$J$10,Greenhouse_Retrofit!$J$12,0)</f>
        <v>18943.350429836151</v>
      </c>
      <c r="I27" s="122">
        <f t="shared" si="23"/>
        <v>18943.350429836151</v>
      </c>
      <c r="J27" s="219">
        <f t="shared" si="24"/>
        <v>1</v>
      </c>
      <c r="K27" s="220">
        <f>Deprec!AG26</f>
        <v>4740</v>
      </c>
      <c r="L27" s="122">
        <f t="shared" si="25"/>
        <v>14203.350429836151</v>
      </c>
      <c r="M27" s="221">
        <f t="shared" si="26"/>
        <v>0</v>
      </c>
      <c r="N27" s="122">
        <f t="shared" si="27"/>
        <v>14203.350429836151</v>
      </c>
      <c r="O27" s="438">
        <f>IF(N27&lt;0,0,(N27*Greenhouse_Retrofit!$J$7))</f>
        <v>4261.0051289508456</v>
      </c>
      <c r="P27" s="122">
        <f t="shared" si="28"/>
        <v>9942.3453008853066</v>
      </c>
      <c r="Q27" s="123">
        <f t="shared" si="29"/>
        <v>0.52484619010298816</v>
      </c>
      <c r="T27" s="218">
        <f t="shared" si="30"/>
        <v>18943.350429836151</v>
      </c>
      <c r="U27" s="438">
        <f t="shared" si="31"/>
        <v>18943.350429836151</v>
      </c>
      <c r="V27" s="218">
        <f>IF(B27=0,Greenhouse_Retrofit!$C$29,0)</f>
        <v>0</v>
      </c>
      <c r="W27" s="435">
        <f t="shared" si="32"/>
        <v>0</v>
      </c>
      <c r="X27" s="438">
        <f t="shared" si="33"/>
        <v>18943.350429836151</v>
      </c>
      <c r="Y27" s="184">
        <f>IF(B27=0,Greenhouse_Retrofit!$G$15+Greenhouse_Retrofit!$G$16,0)</f>
        <v>0</v>
      </c>
      <c r="Z27" s="185">
        <f>IF(B27=0,Greenhouse_Retrofit!$G$14,0)</f>
        <v>0</v>
      </c>
      <c r="AA27" s="132">
        <f t="shared" si="34"/>
        <v>0</v>
      </c>
      <c r="AB27" s="218">
        <f t="shared" si="35"/>
        <v>18943.350429836151</v>
      </c>
      <c r="AC27" s="218">
        <f>Greenhouse_Retrofit!$G$20*AVERAGE(AR27,AS27)</f>
        <v>0</v>
      </c>
      <c r="AD27" s="132">
        <f t="shared" si="36"/>
        <v>4261.0051289508456</v>
      </c>
      <c r="AE27" s="132">
        <f t="shared" si="37"/>
        <v>18943.350429836151</v>
      </c>
      <c r="AF27" s="122">
        <f t="shared" si="38"/>
        <v>14682.345300885307</v>
      </c>
      <c r="AG27" s="438">
        <f t="shared" si="39"/>
        <v>14682.345300885307</v>
      </c>
      <c r="AH27" s="122">
        <f t="shared" si="40"/>
        <v>0</v>
      </c>
      <c r="AI27" s="122">
        <f t="shared" si="41"/>
        <v>0</v>
      </c>
      <c r="AJ27" s="122">
        <f>-Debt_Calc!CO25</f>
        <v>0</v>
      </c>
      <c r="AK27" s="122">
        <f>Debt_Calc!CP25</f>
        <v>0</v>
      </c>
      <c r="AL27" s="122">
        <f t="shared" si="42"/>
        <v>0</v>
      </c>
      <c r="AM27" s="217">
        <f t="shared" si="43"/>
        <v>0</v>
      </c>
      <c r="AN27" s="122">
        <f t="shared" si="44"/>
        <v>14682.345300885307</v>
      </c>
      <c r="AO27" s="122">
        <f t="shared" si="45"/>
        <v>18943.350429836151</v>
      </c>
      <c r="AP27" s="122">
        <f t="shared" si="46"/>
        <v>14682.345300885307</v>
      </c>
      <c r="AQ27" s="122">
        <f t="shared" si="47"/>
        <v>0</v>
      </c>
      <c r="AR27" s="122">
        <f t="shared" si="48"/>
        <v>0</v>
      </c>
      <c r="AS27" s="122">
        <f t="shared" si="49"/>
        <v>0</v>
      </c>
      <c r="AT27" s="122">
        <f t="shared" si="50"/>
        <v>50295.21264088231</v>
      </c>
      <c r="AU27" s="122">
        <f t="shared" si="51"/>
        <v>2</v>
      </c>
      <c r="AV27" s="222">
        <f t="shared" si="52"/>
        <v>2603.9162130409727</v>
      </c>
    </row>
    <row r="28" spans="2:48" s="86" customFormat="1" x14ac:dyDescent="0.3">
      <c r="B28" s="184">
        <f t="shared" si="18"/>
        <v>17</v>
      </c>
      <c r="C28" s="346">
        <f t="shared" si="19"/>
        <v>2038</v>
      </c>
      <c r="D28" s="347">
        <f t="shared" si="20"/>
        <v>50406</v>
      </c>
      <c r="E28" s="440">
        <f t="shared" si="21"/>
        <v>50770</v>
      </c>
      <c r="F28" s="732">
        <f>IF(AND(B28&gt;0,B28&lt;=Greenhouse_Retrofit!$J$10),1,0)</f>
        <v>1</v>
      </c>
      <c r="G28" s="217">
        <f t="shared" si="22"/>
        <v>0</v>
      </c>
      <c r="H28" s="438">
        <f>(Greenhouse_Retrofit!$N$15*F28)+IF(B28=Greenhouse_Retrofit!$J$10,Greenhouse_Retrofit!$J$12,0)</f>
        <v>18943.350429836151</v>
      </c>
      <c r="I28" s="122">
        <f t="shared" si="23"/>
        <v>18943.350429836151</v>
      </c>
      <c r="J28" s="219">
        <f t="shared" si="24"/>
        <v>1</v>
      </c>
      <c r="K28" s="220">
        <f>Deprec!AG27</f>
        <v>4740</v>
      </c>
      <c r="L28" s="122">
        <f t="shared" si="25"/>
        <v>14203.350429836151</v>
      </c>
      <c r="M28" s="221">
        <f t="shared" si="26"/>
        <v>0</v>
      </c>
      <c r="N28" s="122">
        <f t="shared" si="27"/>
        <v>14203.350429836151</v>
      </c>
      <c r="O28" s="438">
        <f>IF(N28&lt;0,0,(N28*Greenhouse_Retrofit!$J$7))</f>
        <v>4261.0051289508456</v>
      </c>
      <c r="P28" s="122">
        <f t="shared" si="28"/>
        <v>9942.3453008853066</v>
      </c>
      <c r="Q28" s="123">
        <f t="shared" si="29"/>
        <v>0.52484619010298816</v>
      </c>
      <c r="T28" s="218">
        <f t="shared" si="30"/>
        <v>18943.350429836151</v>
      </c>
      <c r="U28" s="438">
        <f t="shared" si="31"/>
        <v>18943.350429836151</v>
      </c>
      <c r="V28" s="218">
        <f>IF(B28=0,Greenhouse_Retrofit!$C$29,0)</f>
        <v>0</v>
      </c>
      <c r="W28" s="435">
        <f t="shared" si="32"/>
        <v>0</v>
      </c>
      <c r="X28" s="438">
        <f t="shared" si="33"/>
        <v>18943.350429836151</v>
      </c>
      <c r="Y28" s="184">
        <f>IF(B28=0,Greenhouse_Retrofit!$G$15+Greenhouse_Retrofit!$G$16,0)</f>
        <v>0</v>
      </c>
      <c r="Z28" s="185">
        <f>IF(B28=0,Greenhouse_Retrofit!$G$14,0)</f>
        <v>0</v>
      </c>
      <c r="AA28" s="132">
        <f t="shared" si="34"/>
        <v>0</v>
      </c>
      <c r="AB28" s="218">
        <f t="shared" si="35"/>
        <v>18943.350429836151</v>
      </c>
      <c r="AC28" s="218">
        <f>Greenhouse_Retrofit!$G$20*AVERAGE(AR28,AS28)</f>
        <v>0</v>
      </c>
      <c r="AD28" s="132">
        <f t="shared" si="36"/>
        <v>4261.0051289508456</v>
      </c>
      <c r="AE28" s="132">
        <f t="shared" si="37"/>
        <v>18943.350429836151</v>
      </c>
      <c r="AF28" s="122">
        <f t="shared" si="38"/>
        <v>14682.345300885307</v>
      </c>
      <c r="AG28" s="438">
        <f t="shared" si="39"/>
        <v>14682.345300885307</v>
      </c>
      <c r="AH28" s="122">
        <f t="shared" si="40"/>
        <v>0</v>
      </c>
      <c r="AI28" s="122">
        <f t="shared" si="41"/>
        <v>0</v>
      </c>
      <c r="AJ28" s="122">
        <f>-Debt_Calc!CO26</f>
        <v>0</v>
      </c>
      <c r="AK28" s="122">
        <f>Debt_Calc!CP26</f>
        <v>0</v>
      </c>
      <c r="AL28" s="122">
        <f t="shared" si="42"/>
        <v>0</v>
      </c>
      <c r="AM28" s="217">
        <f t="shared" si="43"/>
        <v>0</v>
      </c>
      <c r="AN28" s="122">
        <f t="shared" si="44"/>
        <v>14682.345300885307</v>
      </c>
      <c r="AO28" s="122">
        <f t="shared" si="45"/>
        <v>18943.350429836151</v>
      </c>
      <c r="AP28" s="122">
        <f t="shared" si="46"/>
        <v>14682.345300885307</v>
      </c>
      <c r="AQ28" s="122">
        <f t="shared" si="47"/>
        <v>0</v>
      </c>
      <c r="AR28" s="122">
        <f t="shared" si="48"/>
        <v>0</v>
      </c>
      <c r="AS28" s="122">
        <f t="shared" si="49"/>
        <v>0</v>
      </c>
      <c r="AT28" s="122">
        <f t="shared" si="50"/>
        <v>64977.55794176762</v>
      </c>
      <c r="AU28" s="122">
        <f t="shared" si="51"/>
        <v>2</v>
      </c>
      <c r="AV28" s="222">
        <f t="shared" si="52"/>
        <v>2337.1090597943075</v>
      </c>
    </row>
    <row r="29" spans="2:48" s="86" customFormat="1" x14ac:dyDescent="0.3">
      <c r="B29" s="184">
        <f t="shared" si="18"/>
        <v>18</v>
      </c>
      <c r="C29" s="346">
        <f t="shared" si="19"/>
        <v>2039</v>
      </c>
      <c r="D29" s="347">
        <f t="shared" si="20"/>
        <v>50771</v>
      </c>
      <c r="E29" s="440">
        <f t="shared" si="21"/>
        <v>51135</v>
      </c>
      <c r="F29" s="732">
        <f>IF(AND(B29&gt;0,B29&lt;=Greenhouse_Retrofit!$J$10),1,0)</f>
        <v>1</v>
      </c>
      <c r="G29" s="217">
        <f t="shared" si="22"/>
        <v>0</v>
      </c>
      <c r="H29" s="438">
        <f>(Greenhouse_Retrofit!$N$15*F29)+IF(B29=Greenhouse_Retrofit!$J$10,Greenhouse_Retrofit!$J$12,0)</f>
        <v>18943.350429836151</v>
      </c>
      <c r="I29" s="122">
        <f t="shared" si="23"/>
        <v>18943.350429836151</v>
      </c>
      <c r="J29" s="219">
        <f t="shared" si="24"/>
        <v>1</v>
      </c>
      <c r="K29" s="220">
        <f>Deprec!AG28</f>
        <v>4740</v>
      </c>
      <c r="L29" s="122">
        <f t="shared" si="25"/>
        <v>14203.350429836151</v>
      </c>
      <c r="M29" s="221">
        <f t="shared" si="26"/>
        <v>0</v>
      </c>
      <c r="N29" s="122">
        <f t="shared" si="27"/>
        <v>14203.350429836151</v>
      </c>
      <c r="O29" s="438">
        <f>IF(N29&lt;0,0,(N29*Greenhouse_Retrofit!$J$7))</f>
        <v>4261.0051289508456</v>
      </c>
      <c r="P29" s="122">
        <f t="shared" si="28"/>
        <v>9942.3453008853066</v>
      </c>
      <c r="Q29" s="123">
        <f t="shared" si="29"/>
        <v>0.52484619010298816</v>
      </c>
      <c r="T29" s="218">
        <f t="shared" si="30"/>
        <v>18943.350429836151</v>
      </c>
      <c r="U29" s="438">
        <f t="shared" si="31"/>
        <v>18943.350429836151</v>
      </c>
      <c r="V29" s="218">
        <f>IF(B29=0,Greenhouse_Retrofit!$C$29,0)</f>
        <v>0</v>
      </c>
      <c r="W29" s="435">
        <f t="shared" si="32"/>
        <v>0</v>
      </c>
      <c r="X29" s="438">
        <f t="shared" si="33"/>
        <v>18943.350429836151</v>
      </c>
      <c r="Y29" s="184">
        <f>IF(B29=0,Greenhouse_Retrofit!$G$15+Greenhouse_Retrofit!$G$16,0)</f>
        <v>0</v>
      </c>
      <c r="Z29" s="185">
        <f>IF(B29=0,Greenhouse_Retrofit!$G$14,0)</f>
        <v>0</v>
      </c>
      <c r="AA29" s="132">
        <f t="shared" si="34"/>
        <v>0</v>
      </c>
      <c r="AB29" s="218">
        <f t="shared" si="35"/>
        <v>18943.350429836151</v>
      </c>
      <c r="AC29" s="218">
        <f>Greenhouse_Retrofit!$G$20*AVERAGE(AR29,AS29)</f>
        <v>0</v>
      </c>
      <c r="AD29" s="132">
        <f t="shared" si="36"/>
        <v>4261.0051289508456</v>
      </c>
      <c r="AE29" s="132">
        <f t="shared" si="37"/>
        <v>18943.350429836151</v>
      </c>
      <c r="AF29" s="122">
        <f t="shared" si="38"/>
        <v>14682.345300885307</v>
      </c>
      <c r="AG29" s="438">
        <f t="shared" si="39"/>
        <v>14682.345300885307</v>
      </c>
      <c r="AH29" s="122">
        <f t="shared" si="40"/>
        <v>0</v>
      </c>
      <c r="AI29" s="122">
        <f t="shared" si="41"/>
        <v>0</v>
      </c>
      <c r="AJ29" s="122">
        <f>-Debt_Calc!CO27</f>
        <v>0</v>
      </c>
      <c r="AK29" s="122">
        <f>Debt_Calc!CP27</f>
        <v>0</v>
      </c>
      <c r="AL29" s="122">
        <f t="shared" si="42"/>
        <v>0</v>
      </c>
      <c r="AM29" s="217">
        <f t="shared" si="43"/>
        <v>0</v>
      </c>
      <c r="AN29" s="122">
        <f t="shared" si="44"/>
        <v>14682.345300885307</v>
      </c>
      <c r="AO29" s="122">
        <f t="shared" si="45"/>
        <v>18943.350429836151</v>
      </c>
      <c r="AP29" s="122">
        <f t="shared" si="46"/>
        <v>14682.345300885307</v>
      </c>
      <c r="AQ29" s="122">
        <f t="shared" si="47"/>
        <v>0</v>
      </c>
      <c r="AR29" s="122">
        <f t="shared" si="48"/>
        <v>0</v>
      </c>
      <c r="AS29" s="122">
        <f t="shared" si="49"/>
        <v>0</v>
      </c>
      <c r="AT29" s="122">
        <f t="shared" si="50"/>
        <v>79659.90324265293</v>
      </c>
      <c r="AU29" s="122">
        <f t="shared" si="51"/>
        <v>2</v>
      </c>
      <c r="AV29" s="222">
        <f t="shared" si="52"/>
        <v>2097.6399816619928</v>
      </c>
    </row>
    <row r="30" spans="2:48" s="86" customFormat="1" x14ac:dyDescent="0.3">
      <c r="B30" s="184">
        <f t="shared" si="18"/>
        <v>19</v>
      </c>
      <c r="C30" s="346">
        <f t="shared" si="19"/>
        <v>2040</v>
      </c>
      <c r="D30" s="347">
        <f t="shared" si="20"/>
        <v>51136</v>
      </c>
      <c r="E30" s="440">
        <f t="shared" si="21"/>
        <v>51501</v>
      </c>
      <c r="F30" s="732">
        <f>IF(AND(B30&gt;0,B30&lt;=Greenhouse_Retrofit!$J$10),1,0)</f>
        <v>1</v>
      </c>
      <c r="G30" s="217">
        <f t="shared" si="22"/>
        <v>0</v>
      </c>
      <c r="H30" s="438">
        <f>(Greenhouse_Retrofit!$N$15*F30)+IF(B30=Greenhouse_Retrofit!$J$10,Greenhouse_Retrofit!$J$12,0)</f>
        <v>18943.350429836151</v>
      </c>
      <c r="I30" s="122">
        <f t="shared" si="23"/>
        <v>18943.350429836151</v>
      </c>
      <c r="J30" s="219">
        <f t="shared" si="24"/>
        <v>1</v>
      </c>
      <c r="K30" s="220">
        <f>Deprec!AG29</f>
        <v>4740</v>
      </c>
      <c r="L30" s="122">
        <f t="shared" si="25"/>
        <v>14203.350429836151</v>
      </c>
      <c r="M30" s="221">
        <f t="shared" si="26"/>
        <v>0</v>
      </c>
      <c r="N30" s="122">
        <f t="shared" si="27"/>
        <v>14203.350429836151</v>
      </c>
      <c r="O30" s="438">
        <f>IF(N30&lt;0,0,(N30*Greenhouse_Retrofit!$J$7))</f>
        <v>4261.0051289508456</v>
      </c>
      <c r="P30" s="122">
        <f t="shared" si="28"/>
        <v>9942.3453008853066</v>
      </c>
      <c r="Q30" s="123">
        <f t="shared" si="29"/>
        <v>0.52484619010298816</v>
      </c>
      <c r="T30" s="218">
        <f t="shared" si="30"/>
        <v>18943.350429836151</v>
      </c>
      <c r="U30" s="438">
        <f t="shared" si="31"/>
        <v>18943.350429836151</v>
      </c>
      <c r="V30" s="218">
        <f>IF(B30=0,Greenhouse_Retrofit!$C$29,0)</f>
        <v>0</v>
      </c>
      <c r="W30" s="435">
        <f t="shared" si="32"/>
        <v>0</v>
      </c>
      <c r="X30" s="438">
        <f t="shared" si="33"/>
        <v>18943.350429836151</v>
      </c>
      <c r="Y30" s="184">
        <f>IF(B30=0,Greenhouse_Retrofit!$G$15+Greenhouse_Retrofit!$G$16,0)</f>
        <v>0</v>
      </c>
      <c r="Z30" s="185">
        <f>IF(B30=0,Greenhouse_Retrofit!$G$14,0)</f>
        <v>0</v>
      </c>
      <c r="AA30" s="132">
        <f t="shared" si="34"/>
        <v>0</v>
      </c>
      <c r="AB30" s="218">
        <f t="shared" si="35"/>
        <v>18943.350429836151</v>
      </c>
      <c r="AC30" s="218">
        <f>Greenhouse_Retrofit!$G$20*AVERAGE(AR30,AS30)</f>
        <v>0</v>
      </c>
      <c r="AD30" s="132">
        <f t="shared" si="36"/>
        <v>4261.0051289508456</v>
      </c>
      <c r="AE30" s="132">
        <f t="shared" si="37"/>
        <v>18943.350429836151</v>
      </c>
      <c r="AF30" s="122">
        <f t="shared" si="38"/>
        <v>14682.345300885307</v>
      </c>
      <c r="AG30" s="438">
        <f t="shared" si="39"/>
        <v>14682.345300885307</v>
      </c>
      <c r="AH30" s="122">
        <f t="shared" si="40"/>
        <v>0</v>
      </c>
      <c r="AI30" s="122">
        <f t="shared" si="41"/>
        <v>0</v>
      </c>
      <c r="AJ30" s="122">
        <f>-Debt_Calc!CO28</f>
        <v>0</v>
      </c>
      <c r="AK30" s="122">
        <f>Debt_Calc!CP28</f>
        <v>0</v>
      </c>
      <c r="AL30" s="122">
        <f t="shared" si="42"/>
        <v>0</v>
      </c>
      <c r="AM30" s="217">
        <f t="shared" si="43"/>
        <v>0</v>
      </c>
      <c r="AN30" s="122">
        <f t="shared" si="44"/>
        <v>14682.345300885307</v>
      </c>
      <c r="AO30" s="122">
        <f t="shared" si="45"/>
        <v>18943.350429836151</v>
      </c>
      <c r="AP30" s="122">
        <f t="shared" si="46"/>
        <v>14682.345300885307</v>
      </c>
      <c r="AQ30" s="122">
        <f t="shared" si="47"/>
        <v>0</v>
      </c>
      <c r="AR30" s="122">
        <f t="shared" si="48"/>
        <v>0</v>
      </c>
      <c r="AS30" s="122">
        <f t="shared" si="49"/>
        <v>0</v>
      </c>
      <c r="AT30" s="122">
        <f t="shared" si="50"/>
        <v>94342.24854353824</v>
      </c>
      <c r="AU30" s="122">
        <f t="shared" si="51"/>
        <v>2</v>
      </c>
      <c r="AV30" s="222">
        <f t="shared" si="52"/>
        <v>1882.7078155497738</v>
      </c>
    </row>
    <row r="31" spans="2:48" s="86" customFormat="1" x14ac:dyDescent="0.3">
      <c r="B31" s="184">
        <f t="shared" si="18"/>
        <v>20</v>
      </c>
      <c r="C31" s="346">
        <f t="shared" si="19"/>
        <v>2041</v>
      </c>
      <c r="D31" s="347">
        <f t="shared" si="20"/>
        <v>51502</v>
      </c>
      <c r="E31" s="440">
        <f t="shared" si="21"/>
        <v>51866</v>
      </c>
      <c r="F31" s="732">
        <f>IF(AND(B31&gt;0,B31&lt;=Greenhouse_Retrofit!$J$10),1,0)</f>
        <v>1</v>
      </c>
      <c r="G31" s="217">
        <f t="shared" si="22"/>
        <v>0</v>
      </c>
      <c r="H31" s="438">
        <f>(Greenhouse_Retrofit!$N$15*F31)+IF(B31=Greenhouse_Retrofit!$J$10,Greenhouse_Retrofit!$J$12,0)</f>
        <v>18943.350429836151</v>
      </c>
      <c r="I31" s="122">
        <f t="shared" si="23"/>
        <v>18943.350429836151</v>
      </c>
      <c r="J31" s="219">
        <f t="shared" si="24"/>
        <v>1</v>
      </c>
      <c r="K31" s="220">
        <f>Deprec!AG30</f>
        <v>4740</v>
      </c>
      <c r="L31" s="122">
        <f t="shared" si="25"/>
        <v>14203.350429836151</v>
      </c>
      <c r="M31" s="221">
        <f t="shared" si="26"/>
        <v>0</v>
      </c>
      <c r="N31" s="122">
        <f t="shared" si="27"/>
        <v>14203.350429836151</v>
      </c>
      <c r="O31" s="438">
        <f>IF(N31&lt;0,0,(N31*Greenhouse_Retrofit!$J$7))</f>
        <v>4261.0051289508456</v>
      </c>
      <c r="P31" s="122">
        <f t="shared" si="28"/>
        <v>9942.3453008853066</v>
      </c>
      <c r="Q31" s="123">
        <f t="shared" si="29"/>
        <v>0.52484619010298816</v>
      </c>
      <c r="T31" s="218">
        <f t="shared" si="30"/>
        <v>18943.350429836151</v>
      </c>
      <c r="U31" s="438">
        <f t="shared" si="31"/>
        <v>18943.350429836151</v>
      </c>
      <c r="V31" s="218">
        <f>IF(B31=0,Greenhouse_Retrofit!$C$29,0)</f>
        <v>0</v>
      </c>
      <c r="W31" s="435">
        <f t="shared" si="32"/>
        <v>0</v>
      </c>
      <c r="X31" s="438">
        <f t="shared" si="33"/>
        <v>18943.350429836151</v>
      </c>
      <c r="Y31" s="184">
        <f>IF(B31=0,Greenhouse_Retrofit!$G$15+Greenhouse_Retrofit!$G$16,0)</f>
        <v>0</v>
      </c>
      <c r="Z31" s="185">
        <f>IF(B31=0,Greenhouse_Retrofit!$G$14,0)</f>
        <v>0</v>
      </c>
      <c r="AA31" s="132">
        <f t="shared" si="34"/>
        <v>0</v>
      </c>
      <c r="AB31" s="218">
        <f t="shared" si="35"/>
        <v>18943.350429836151</v>
      </c>
      <c r="AC31" s="218">
        <f>Greenhouse_Retrofit!$G$20*AVERAGE(AR31,AS31)</f>
        <v>0</v>
      </c>
      <c r="AD31" s="132">
        <f t="shared" si="36"/>
        <v>4261.0051289508456</v>
      </c>
      <c r="AE31" s="132">
        <f t="shared" si="37"/>
        <v>18943.350429836151</v>
      </c>
      <c r="AF31" s="122">
        <f t="shared" si="38"/>
        <v>14682.345300885307</v>
      </c>
      <c r="AG31" s="438">
        <f t="shared" si="39"/>
        <v>14682.345300885307</v>
      </c>
      <c r="AH31" s="122">
        <f t="shared" si="40"/>
        <v>0</v>
      </c>
      <c r="AI31" s="122">
        <f t="shared" si="41"/>
        <v>0</v>
      </c>
      <c r="AJ31" s="122">
        <f>-Debt_Calc!CO29</f>
        <v>0</v>
      </c>
      <c r="AK31" s="122">
        <f>Debt_Calc!CP29</f>
        <v>0</v>
      </c>
      <c r="AL31" s="122">
        <f t="shared" si="42"/>
        <v>0</v>
      </c>
      <c r="AM31" s="217">
        <f t="shared" si="43"/>
        <v>0</v>
      </c>
      <c r="AN31" s="122">
        <f t="shared" si="44"/>
        <v>14682.345300885307</v>
      </c>
      <c r="AO31" s="122">
        <f t="shared" si="45"/>
        <v>18943.350429836151</v>
      </c>
      <c r="AP31" s="122">
        <f t="shared" si="46"/>
        <v>14682.345300885307</v>
      </c>
      <c r="AQ31" s="122">
        <f t="shared" si="47"/>
        <v>0</v>
      </c>
      <c r="AR31" s="122">
        <f t="shared" si="48"/>
        <v>0</v>
      </c>
      <c r="AS31" s="122">
        <f t="shared" si="49"/>
        <v>0</v>
      </c>
      <c r="AT31" s="122">
        <f t="shared" si="50"/>
        <v>109024.59384442355</v>
      </c>
      <c r="AU31" s="122">
        <f t="shared" si="51"/>
        <v>2</v>
      </c>
      <c r="AV31" s="222">
        <f t="shared" si="52"/>
        <v>1689.798416181869</v>
      </c>
    </row>
    <row r="32" spans="2:48" s="86" customFormat="1" x14ac:dyDescent="0.3">
      <c r="B32" s="184">
        <f t="shared" si="18"/>
        <v>21</v>
      </c>
      <c r="C32" s="346">
        <f t="shared" si="19"/>
        <v>2042</v>
      </c>
      <c r="D32" s="347">
        <f t="shared" si="20"/>
        <v>51867</v>
      </c>
      <c r="E32" s="440">
        <f t="shared" si="21"/>
        <v>52231</v>
      </c>
      <c r="F32" s="732">
        <f>IF(AND(B32&gt;0,B32&lt;=Greenhouse_Retrofit!$J$10),1,0)</f>
        <v>1</v>
      </c>
      <c r="G32" s="217">
        <f t="shared" si="22"/>
        <v>0</v>
      </c>
      <c r="H32" s="438">
        <f>(Greenhouse_Retrofit!$N$15*F32)+IF(B32=Greenhouse_Retrofit!$J$10,Greenhouse_Retrofit!$J$12,0)</f>
        <v>18943.350429836151</v>
      </c>
      <c r="I32" s="122">
        <f t="shared" si="23"/>
        <v>18943.350429836151</v>
      </c>
      <c r="J32" s="219">
        <f t="shared" si="24"/>
        <v>1</v>
      </c>
      <c r="K32" s="220">
        <f>Deprec!AG31</f>
        <v>4740</v>
      </c>
      <c r="L32" s="122">
        <f t="shared" si="25"/>
        <v>14203.350429836151</v>
      </c>
      <c r="M32" s="221">
        <f t="shared" si="26"/>
        <v>0</v>
      </c>
      <c r="N32" s="122">
        <f t="shared" si="27"/>
        <v>14203.350429836151</v>
      </c>
      <c r="O32" s="438">
        <f>IF(N32&lt;0,0,(N32*Greenhouse_Retrofit!$J$7))</f>
        <v>4261.0051289508456</v>
      </c>
      <c r="P32" s="122">
        <f t="shared" si="28"/>
        <v>9942.3453008853066</v>
      </c>
      <c r="Q32" s="123">
        <f t="shared" si="29"/>
        <v>0.52484619010298816</v>
      </c>
      <c r="T32" s="218">
        <f t="shared" si="30"/>
        <v>18943.350429836151</v>
      </c>
      <c r="U32" s="438">
        <f t="shared" si="31"/>
        <v>18943.350429836151</v>
      </c>
      <c r="V32" s="218">
        <f>IF(B32=0,Greenhouse_Retrofit!$C$29,0)</f>
        <v>0</v>
      </c>
      <c r="W32" s="435">
        <f t="shared" si="32"/>
        <v>0</v>
      </c>
      <c r="X32" s="438">
        <f t="shared" si="33"/>
        <v>18943.350429836151</v>
      </c>
      <c r="Y32" s="184">
        <f>IF(B32=0,Greenhouse_Retrofit!$G$15+Greenhouse_Retrofit!$G$16,0)</f>
        <v>0</v>
      </c>
      <c r="Z32" s="185">
        <f>IF(B32=0,Greenhouse_Retrofit!$G$14,0)</f>
        <v>0</v>
      </c>
      <c r="AA32" s="132">
        <f t="shared" si="34"/>
        <v>0</v>
      </c>
      <c r="AB32" s="218">
        <f t="shared" si="35"/>
        <v>18943.350429836151</v>
      </c>
      <c r="AC32" s="218">
        <f>Greenhouse_Retrofit!$G$20*AVERAGE(AR32,AS32)</f>
        <v>0</v>
      </c>
      <c r="AD32" s="132">
        <f t="shared" si="36"/>
        <v>4261.0051289508456</v>
      </c>
      <c r="AE32" s="132">
        <f t="shared" si="37"/>
        <v>18943.350429836151</v>
      </c>
      <c r="AF32" s="122">
        <f t="shared" si="38"/>
        <v>14682.345300885307</v>
      </c>
      <c r="AG32" s="438">
        <f t="shared" si="39"/>
        <v>14682.345300885307</v>
      </c>
      <c r="AH32" s="122">
        <f t="shared" si="40"/>
        <v>0</v>
      </c>
      <c r="AI32" s="122">
        <f t="shared" si="41"/>
        <v>0</v>
      </c>
      <c r="AJ32" s="122">
        <f>-Debt_Calc!CO30</f>
        <v>0</v>
      </c>
      <c r="AK32" s="122">
        <f>Debt_Calc!CP30</f>
        <v>0</v>
      </c>
      <c r="AL32" s="122">
        <f t="shared" si="42"/>
        <v>0</v>
      </c>
      <c r="AM32" s="217">
        <f t="shared" si="43"/>
        <v>0</v>
      </c>
      <c r="AN32" s="122">
        <f t="shared" si="44"/>
        <v>14682.345300885307</v>
      </c>
      <c r="AO32" s="122">
        <f t="shared" si="45"/>
        <v>18943.350429836151</v>
      </c>
      <c r="AP32" s="122">
        <f t="shared" si="46"/>
        <v>14682.345300885307</v>
      </c>
      <c r="AQ32" s="122">
        <f t="shared" si="47"/>
        <v>0</v>
      </c>
      <c r="AR32" s="122">
        <f t="shared" si="48"/>
        <v>0</v>
      </c>
      <c r="AS32" s="122">
        <f t="shared" si="49"/>
        <v>0</v>
      </c>
      <c r="AT32" s="122">
        <f t="shared" si="50"/>
        <v>123706.93914530886</v>
      </c>
      <c r="AU32" s="122">
        <f t="shared" si="51"/>
        <v>2</v>
      </c>
      <c r="AV32" s="222">
        <f t="shared" si="52"/>
        <v>1516.6552471642744</v>
      </c>
    </row>
    <row r="33" spans="2:67" s="86" customFormat="1" x14ac:dyDescent="0.3">
      <c r="B33" s="184">
        <f t="shared" si="18"/>
        <v>22</v>
      </c>
      <c r="C33" s="346">
        <f t="shared" si="19"/>
        <v>2043</v>
      </c>
      <c r="D33" s="347">
        <f t="shared" si="20"/>
        <v>52232</v>
      </c>
      <c r="E33" s="440">
        <f t="shared" si="21"/>
        <v>52596</v>
      </c>
      <c r="F33" s="732">
        <f>IF(AND(B33&gt;0,B33&lt;=Greenhouse_Retrofit!$J$10),1,0)</f>
        <v>1</v>
      </c>
      <c r="G33" s="217">
        <f t="shared" si="22"/>
        <v>0</v>
      </c>
      <c r="H33" s="438">
        <f>(Greenhouse_Retrofit!$N$15*F33)+IF(B33=Greenhouse_Retrofit!$J$10,Greenhouse_Retrofit!$J$12,0)</f>
        <v>18943.350429836151</v>
      </c>
      <c r="I33" s="122">
        <f t="shared" si="23"/>
        <v>18943.350429836151</v>
      </c>
      <c r="J33" s="219">
        <f t="shared" si="24"/>
        <v>1</v>
      </c>
      <c r="K33" s="220">
        <f>Deprec!AG32</f>
        <v>4740</v>
      </c>
      <c r="L33" s="122">
        <f t="shared" si="25"/>
        <v>14203.350429836151</v>
      </c>
      <c r="M33" s="221">
        <f t="shared" si="26"/>
        <v>0</v>
      </c>
      <c r="N33" s="122">
        <f t="shared" si="27"/>
        <v>14203.350429836151</v>
      </c>
      <c r="O33" s="438">
        <f>IF(N33&lt;0,0,(N33*Greenhouse_Retrofit!$J$7))</f>
        <v>4261.0051289508456</v>
      </c>
      <c r="P33" s="122">
        <f t="shared" si="28"/>
        <v>9942.3453008853066</v>
      </c>
      <c r="Q33" s="123">
        <f t="shared" si="29"/>
        <v>0.52484619010298816</v>
      </c>
      <c r="T33" s="218">
        <f t="shared" si="30"/>
        <v>18943.350429836151</v>
      </c>
      <c r="U33" s="438">
        <f t="shared" si="31"/>
        <v>18943.350429836151</v>
      </c>
      <c r="V33" s="218">
        <f>IF(B33=0,Greenhouse_Retrofit!$C$29,0)</f>
        <v>0</v>
      </c>
      <c r="W33" s="435">
        <f t="shared" si="32"/>
        <v>0</v>
      </c>
      <c r="X33" s="438">
        <f t="shared" si="33"/>
        <v>18943.350429836151</v>
      </c>
      <c r="Y33" s="184">
        <f>IF(B33=0,Greenhouse_Retrofit!$G$15+Greenhouse_Retrofit!$G$16,0)</f>
        <v>0</v>
      </c>
      <c r="Z33" s="185">
        <f>IF(B33=0,Greenhouse_Retrofit!$G$14,0)</f>
        <v>0</v>
      </c>
      <c r="AA33" s="132">
        <f t="shared" si="34"/>
        <v>0</v>
      </c>
      <c r="AB33" s="218">
        <f t="shared" si="35"/>
        <v>18943.350429836151</v>
      </c>
      <c r="AC33" s="218">
        <f>Greenhouse_Retrofit!$G$20*AVERAGE(AR33,AS33)</f>
        <v>0</v>
      </c>
      <c r="AD33" s="132">
        <f t="shared" si="36"/>
        <v>4261.0051289508456</v>
      </c>
      <c r="AE33" s="132">
        <f t="shared" si="37"/>
        <v>18943.350429836151</v>
      </c>
      <c r="AF33" s="122">
        <f t="shared" si="38"/>
        <v>14682.345300885307</v>
      </c>
      <c r="AG33" s="438">
        <f t="shared" si="39"/>
        <v>14682.345300885307</v>
      </c>
      <c r="AH33" s="122">
        <f t="shared" si="40"/>
        <v>0</v>
      </c>
      <c r="AI33" s="122">
        <f t="shared" si="41"/>
        <v>0</v>
      </c>
      <c r="AJ33" s="122">
        <f>-Debt_Calc!CO31</f>
        <v>0</v>
      </c>
      <c r="AK33" s="122">
        <f>Debt_Calc!CP31</f>
        <v>0</v>
      </c>
      <c r="AL33" s="122">
        <f t="shared" si="42"/>
        <v>0</v>
      </c>
      <c r="AM33" s="217">
        <f t="shared" si="43"/>
        <v>0</v>
      </c>
      <c r="AN33" s="122">
        <f t="shared" si="44"/>
        <v>14682.345300885307</v>
      </c>
      <c r="AO33" s="122">
        <f t="shared" si="45"/>
        <v>18943.350429836151</v>
      </c>
      <c r="AP33" s="122">
        <f t="shared" si="46"/>
        <v>14682.345300885307</v>
      </c>
      <c r="AQ33" s="122">
        <f t="shared" si="47"/>
        <v>0</v>
      </c>
      <c r="AR33" s="122">
        <f t="shared" si="48"/>
        <v>0</v>
      </c>
      <c r="AS33" s="122">
        <f t="shared" si="49"/>
        <v>0</v>
      </c>
      <c r="AT33" s="122">
        <f t="shared" si="50"/>
        <v>138389.28444619416</v>
      </c>
      <c r="AU33" s="122">
        <f t="shared" si="51"/>
        <v>2</v>
      </c>
      <c r="AV33" s="222">
        <f t="shared" si="52"/>
        <v>1361.2529853995059</v>
      </c>
    </row>
    <row r="34" spans="2:67" s="86" customFormat="1" x14ac:dyDescent="0.3">
      <c r="B34" s="184">
        <f t="shared" si="18"/>
        <v>23</v>
      </c>
      <c r="C34" s="346">
        <f t="shared" si="19"/>
        <v>2044</v>
      </c>
      <c r="D34" s="347">
        <f t="shared" si="20"/>
        <v>52597</v>
      </c>
      <c r="E34" s="440">
        <f t="shared" si="21"/>
        <v>52962</v>
      </c>
      <c r="F34" s="732">
        <f>IF(AND(B34&gt;0,B34&lt;=Greenhouse_Retrofit!$J$10),1,0)</f>
        <v>1</v>
      </c>
      <c r="G34" s="217">
        <f t="shared" si="22"/>
        <v>0</v>
      </c>
      <c r="H34" s="438">
        <f>(Greenhouse_Retrofit!$N$15*F34)+IF(B34=Greenhouse_Retrofit!$J$10,Greenhouse_Retrofit!$J$12,0)</f>
        <v>18943.350429836151</v>
      </c>
      <c r="I34" s="122">
        <f t="shared" si="23"/>
        <v>18943.350429836151</v>
      </c>
      <c r="J34" s="219">
        <f t="shared" si="24"/>
        <v>1</v>
      </c>
      <c r="K34" s="220">
        <f>Deprec!AG33</f>
        <v>4740</v>
      </c>
      <c r="L34" s="122">
        <f t="shared" si="25"/>
        <v>14203.350429836151</v>
      </c>
      <c r="M34" s="221">
        <f t="shared" si="26"/>
        <v>0</v>
      </c>
      <c r="N34" s="122">
        <f t="shared" si="27"/>
        <v>14203.350429836151</v>
      </c>
      <c r="O34" s="438">
        <f>IF(N34&lt;0,0,(N34*Greenhouse_Retrofit!$J$7))</f>
        <v>4261.0051289508456</v>
      </c>
      <c r="P34" s="122">
        <f t="shared" si="28"/>
        <v>9942.3453008853066</v>
      </c>
      <c r="Q34" s="123">
        <f t="shared" si="29"/>
        <v>0.52484619010298816</v>
      </c>
      <c r="T34" s="218">
        <f t="shared" si="30"/>
        <v>18943.350429836151</v>
      </c>
      <c r="U34" s="438">
        <f t="shared" si="31"/>
        <v>18943.350429836151</v>
      </c>
      <c r="V34" s="218">
        <f>IF(B34=0,Greenhouse_Retrofit!$C$29,0)</f>
        <v>0</v>
      </c>
      <c r="W34" s="435">
        <f t="shared" si="32"/>
        <v>0</v>
      </c>
      <c r="X34" s="438">
        <f t="shared" si="33"/>
        <v>18943.350429836151</v>
      </c>
      <c r="Y34" s="184">
        <f>IF(B34=0,Greenhouse_Retrofit!$G$15+Greenhouse_Retrofit!$G$16,0)</f>
        <v>0</v>
      </c>
      <c r="Z34" s="185">
        <f>IF(B34=0,Greenhouse_Retrofit!$G$14,0)</f>
        <v>0</v>
      </c>
      <c r="AA34" s="132">
        <f t="shared" si="34"/>
        <v>0</v>
      </c>
      <c r="AB34" s="218">
        <f t="shared" si="35"/>
        <v>18943.350429836151</v>
      </c>
      <c r="AC34" s="218">
        <f>Greenhouse_Retrofit!$G$20*AVERAGE(AR34,AS34)</f>
        <v>0</v>
      </c>
      <c r="AD34" s="132">
        <f t="shared" si="36"/>
        <v>4261.0051289508456</v>
      </c>
      <c r="AE34" s="132">
        <f t="shared" si="37"/>
        <v>18943.350429836151</v>
      </c>
      <c r="AF34" s="122">
        <f t="shared" si="38"/>
        <v>14682.345300885307</v>
      </c>
      <c r="AG34" s="438">
        <f t="shared" si="39"/>
        <v>14682.345300885307</v>
      </c>
      <c r="AH34" s="122">
        <f t="shared" si="40"/>
        <v>0</v>
      </c>
      <c r="AI34" s="122">
        <f t="shared" si="41"/>
        <v>0</v>
      </c>
      <c r="AJ34" s="122">
        <f>-Debt_Calc!CO32</f>
        <v>0</v>
      </c>
      <c r="AK34" s="122">
        <f>Debt_Calc!CP32</f>
        <v>0</v>
      </c>
      <c r="AL34" s="122">
        <f t="shared" si="42"/>
        <v>0</v>
      </c>
      <c r="AM34" s="217">
        <f t="shared" si="43"/>
        <v>0</v>
      </c>
      <c r="AN34" s="122">
        <f t="shared" si="44"/>
        <v>14682.345300885307</v>
      </c>
      <c r="AO34" s="122">
        <f t="shared" si="45"/>
        <v>18943.350429836151</v>
      </c>
      <c r="AP34" s="122">
        <f t="shared" si="46"/>
        <v>14682.345300885307</v>
      </c>
      <c r="AQ34" s="122">
        <f t="shared" si="47"/>
        <v>0</v>
      </c>
      <c r="AR34" s="122">
        <f t="shared" si="48"/>
        <v>0</v>
      </c>
      <c r="AS34" s="122">
        <f t="shared" si="49"/>
        <v>0</v>
      </c>
      <c r="AT34" s="122">
        <f t="shared" si="50"/>
        <v>153071.62974707945</v>
      </c>
      <c r="AU34" s="122">
        <f t="shared" si="51"/>
        <v>2</v>
      </c>
      <c r="AV34" s="222">
        <f t="shared" si="52"/>
        <v>1221.7738300933472</v>
      </c>
    </row>
    <row r="35" spans="2:67" s="86" customFormat="1" x14ac:dyDescent="0.3">
      <c r="B35" s="184">
        <f t="shared" si="18"/>
        <v>24</v>
      </c>
      <c r="C35" s="346">
        <f t="shared" si="19"/>
        <v>2045</v>
      </c>
      <c r="D35" s="347">
        <f t="shared" si="20"/>
        <v>52963</v>
      </c>
      <c r="E35" s="440">
        <f t="shared" si="21"/>
        <v>53327</v>
      </c>
      <c r="F35" s="732">
        <f>IF(AND(B35&gt;0,B35&lt;=Greenhouse_Retrofit!$J$10),1,0)</f>
        <v>1</v>
      </c>
      <c r="G35" s="217">
        <f t="shared" si="22"/>
        <v>0</v>
      </c>
      <c r="H35" s="438">
        <f>(Greenhouse_Retrofit!$N$15*F35)+IF(B35=Greenhouse_Retrofit!$J$10,Greenhouse_Retrofit!$J$12,0)</f>
        <v>18943.350429836151</v>
      </c>
      <c r="I35" s="122">
        <f t="shared" si="23"/>
        <v>18943.350429836151</v>
      </c>
      <c r="J35" s="219">
        <f t="shared" si="24"/>
        <v>1</v>
      </c>
      <c r="K35" s="220">
        <f>Deprec!AG34</f>
        <v>4740</v>
      </c>
      <c r="L35" s="122">
        <f t="shared" si="25"/>
        <v>14203.350429836151</v>
      </c>
      <c r="M35" s="221">
        <f t="shared" si="26"/>
        <v>0</v>
      </c>
      <c r="N35" s="122">
        <f t="shared" si="27"/>
        <v>14203.350429836151</v>
      </c>
      <c r="O35" s="438">
        <f>IF(N35&lt;0,0,(N35*Greenhouse_Retrofit!$J$7))</f>
        <v>4261.0051289508456</v>
      </c>
      <c r="P35" s="122">
        <f t="shared" si="28"/>
        <v>9942.3453008853066</v>
      </c>
      <c r="Q35" s="123">
        <f t="shared" si="29"/>
        <v>0.52484619010298816</v>
      </c>
      <c r="T35" s="218">
        <f t="shared" si="30"/>
        <v>18943.350429836151</v>
      </c>
      <c r="U35" s="438">
        <f t="shared" si="31"/>
        <v>18943.350429836151</v>
      </c>
      <c r="V35" s="218">
        <f>IF(B35=0,Greenhouse_Retrofit!$C$29,0)</f>
        <v>0</v>
      </c>
      <c r="W35" s="435">
        <f t="shared" si="32"/>
        <v>0</v>
      </c>
      <c r="X35" s="438">
        <f t="shared" si="33"/>
        <v>18943.350429836151</v>
      </c>
      <c r="Y35" s="184">
        <f>IF(B35=0,Greenhouse_Retrofit!$G$15+Greenhouse_Retrofit!$G$16,0)</f>
        <v>0</v>
      </c>
      <c r="Z35" s="185">
        <f>IF(B35=0,Greenhouse_Retrofit!$G$14,0)</f>
        <v>0</v>
      </c>
      <c r="AA35" s="132">
        <f t="shared" si="34"/>
        <v>0</v>
      </c>
      <c r="AB35" s="218">
        <f t="shared" si="35"/>
        <v>18943.350429836151</v>
      </c>
      <c r="AC35" s="218">
        <f>Greenhouse_Retrofit!$G$20*AVERAGE(AR35,AS35)</f>
        <v>0</v>
      </c>
      <c r="AD35" s="132">
        <f t="shared" si="36"/>
        <v>4261.0051289508456</v>
      </c>
      <c r="AE35" s="132">
        <f t="shared" si="37"/>
        <v>18943.350429836151</v>
      </c>
      <c r="AF35" s="122">
        <f t="shared" si="38"/>
        <v>14682.345300885307</v>
      </c>
      <c r="AG35" s="438">
        <f t="shared" si="39"/>
        <v>14682.345300885307</v>
      </c>
      <c r="AH35" s="122">
        <f t="shared" si="40"/>
        <v>0</v>
      </c>
      <c r="AI35" s="122">
        <f t="shared" si="41"/>
        <v>0</v>
      </c>
      <c r="AJ35" s="122">
        <f>-Debt_Calc!CO33</f>
        <v>0</v>
      </c>
      <c r="AK35" s="122">
        <f>Debt_Calc!CP33</f>
        <v>0</v>
      </c>
      <c r="AL35" s="122">
        <f t="shared" si="42"/>
        <v>0</v>
      </c>
      <c r="AM35" s="217">
        <f t="shared" si="43"/>
        <v>0</v>
      </c>
      <c r="AN35" s="122">
        <f t="shared" si="44"/>
        <v>14682.345300885307</v>
      </c>
      <c r="AO35" s="122">
        <f t="shared" si="45"/>
        <v>18943.350429836151</v>
      </c>
      <c r="AP35" s="122">
        <f t="shared" si="46"/>
        <v>14682.345300885307</v>
      </c>
      <c r="AQ35" s="122">
        <f t="shared" si="47"/>
        <v>0</v>
      </c>
      <c r="AR35" s="122">
        <f t="shared" si="48"/>
        <v>0</v>
      </c>
      <c r="AS35" s="122">
        <f t="shared" si="49"/>
        <v>0</v>
      </c>
      <c r="AT35" s="122">
        <f t="shared" si="50"/>
        <v>167753.97504796475</v>
      </c>
      <c r="AU35" s="122">
        <f t="shared" si="51"/>
        <v>2</v>
      </c>
      <c r="AV35" s="222">
        <f t="shared" si="52"/>
        <v>1096.5862392308175</v>
      </c>
    </row>
    <row r="36" spans="2:67" s="86" customFormat="1" x14ac:dyDescent="0.3">
      <c r="B36" s="184">
        <f t="shared" si="18"/>
        <v>25</v>
      </c>
      <c r="C36" s="346">
        <f t="shared" si="19"/>
        <v>2046</v>
      </c>
      <c r="D36" s="347">
        <f t="shared" si="20"/>
        <v>53328</v>
      </c>
      <c r="E36" s="440">
        <f t="shared" si="21"/>
        <v>53692</v>
      </c>
      <c r="F36" s="732">
        <f>IF(AND(B36&gt;0,B36&lt;=Greenhouse_Retrofit!$J$10),1,0)</f>
        <v>1</v>
      </c>
      <c r="G36" s="217">
        <f t="shared" si="22"/>
        <v>0</v>
      </c>
      <c r="H36" s="438">
        <f>(Greenhouse_Retrofit!$N$15*F36)+IF(B36=Greenhouse_Retrofit!$J$10,Greenhouse_Retrofit!$J$12,0)</f>
        <v>18943.350429836151</v>
      </c>
      <c r="I36" s="122">
        <f t="shared" si="23"/>
        <v>18943.350429836151</v>
      </c>
      <c r="J36" s="219">
        <f t="shared" si="24"/>
        <v>1</v>
      </c>
      <c r="K36" s="220">
        <f>Deprec!AG35</f>
        <v>4740</v>
      </c>
      <c r="L36" s="122">
        <f t="shared" si="25"/>
        <v>14203.350429836151</v>
      </c>
      <c r="M36" s="221">
        <f t="shared" si="26"/>
        <v>0</v>
      </c>
      <c r="N36" s="122">
        <f t="shared" si="27"/>
        <v>14203.350429836151</v>
      </c>
      <c r="O36" s="438">
        <f>IF(N36&lt;0,0,(N36*Greenhouse_Retrofit!$J$7))</f>
        <v>4261.0051289508456</v>
      </c>
      <c r="P36" s="122">
        <f t="shared" si="28"/>
        <v>9942.3453008853066</v>
      </c>
      <c r="Q36" s="123">
        <f t="shared" si="29"/>
        <v>0.52484619010298816</v>
      </c>
      <c r="T36" s="218">
        <f t="shared" si="30"/>
        <v>18943.350429836151</v>
      </c>
      <c r="U36" s="438">
        <f t="shared" si="31"/>
        <v>18943.350429836151</v>
      </c>
      <c r="V36" s="218">
        <f>IF(B36=0,Greenhouse_Retrofit!$C$29,0)</f>
        <v>0</v>
      </c>
      <c r="W36" s="435">
        <f t="shared" si="32"/>
        <v>0</v>
      </c>
      <c r="X36" s="438">
        <f t="shared" si="33"/>
        <v>18943.350429836151</v>
      </c>
      <c r="Y36" s="184">
        <f>IF(B36=0,Greenhouse_Retrofit!$G$15+Greenhouse_Retrofit!$G$16,0)</f>
        <v>0</v>
      </c>
      <c r="Z36" s="185">
        <f>IF(B36=0,Greenhouse_Retrofit!$G$14,0)</f>
        <v>0</v>
      </c>
      <c r="AA36" s="132">
        <f t="shared" si="34"/>
        <v>0</v>
      </c>
      <c r="AB36" s="218">
        <f t="shared" si="35"/>
        <v>18943.350429836151</v>
      </c>
      <c r="AC36" s="218">
        <f>Greenhouse_Retrofit!$G$20*AVERAGE(AR36,AS36)</f>
        <v>0</v>
      </c>
      <c r="AD36" s="132">
        <f t="shared" si="36"/>
        <v>4261.0051289508456</v>
      </c>
      <c r="AE36" s="132">
        <f t="shared" si="37"/>
        <v>18943.350429836151</v>
      </c>
      <c r="AF36" s="122">
        <f t="shared" si="38"/>
        <v>14682.345300885307</v>
      </c>
      <c r="AG36" s="438">
        <f t="shared" si="39"/>
        <v>14682.345300885307</v>
      </c>
      <c r="AH36" s="122">
        <f t="shared" si="40"/>
        <v>0</v>
      </c>
      <c r="AI36" s="122">
        <f t="shared" si="41"/>
        <v>0</v>
      </c>
      <c r="AJ36" s="122">
        <f>-Debt_Calc!CO34</f>
        <v>0</v>
      </c>
      <c r="AK36" s="122">
        <f>Debt_Calc!CP34</f>
        <v>0</v>
      </c>
      <c r="AL36" s="122">
        <f t="shared" si="42"/>
        <v>0</v>
      </c>
      <c r="AM36" s="217">
        <f t="shared" si="43"/>
        <v>0</v>
      </c>
      <c r="AN36" s="122">
        <f t="shared" si="44"/>
        <v>14682.345300885307</v>
      </c>
      <c r="AO36" s="122">
        <f t="shared" si="45"/>
        <v>18943.350429836151</v>
      </c>
      <c r="AP36" s="122">
        <f t="shared" si="46"/>
        <v>14682.345300885307</v>
      </c>
      <c r="AQ36" s="122">
        <f t="shared" si="47"/>
        <v>0</v>
      </c>
      <c r="AR36" s="122">
        <f t="shared" si="48"/>
        <v>0</v>
      </c>
      <c r="AS36" s="122">
        <f t="shared" si="49"/>
        <v>0</v>
      </c>
      <c r="AT36" s="122">
        <f t="shared" si="50"/>
        <v>182436.32034885004</v>
      </c>
      <c r="AU36" s="122">
        <f t="shared" si="51"/>
        <v>2</v>
      </c>
      <c r="AV36" s="222">
        <f t="shared" si="52"/>
        <v>984.2258447936415</v>
      </c>
    </row>
    <row r="37" spans="2:67" s="86" customFormat="1" x14ac:dyDescent="0.3">
      <c r="B37" s="184">
        <f t="shared" si="18"/>
        <v>26</v>
      </c>
      <c r="C37" s="346">
        <f t="shared" si="19"/>
        <v>2047</v>
      </c>
      <c r="D37" s="347">
        <f t="shared" si="20"/>
        <v>53693</v>
      </c>
      <c r="E37" s="440">
        <f t="shared" si="21"/>
        <v>54057</v>
      </c>
      <c r="F37" s="732">
        <f>IF(AND(B37&gt;0,B37&lt;=Greenhouse_Retrofit!$J$10),1,0)</f>
        <v>0</v>
      </c>
      <c r="G37" s="217">
        <f t="shared" si="22"/>
        <v>0</v>
      </c>
      <c r="H37" s="438">
        <f>(Greenhouse_Retrofit!$N$15*F37)+IF(B37=Greenhouse_Retrofit!$J$10,Greenhouse_Retrofit!$J$12,0)</f>
        <v>0</v>
      </c>
      <c r="I37" s="122">
        <f t="shared" si="23"/>
        <v>0</v>
      </c>
      <c r="J37" s="219">
        <f t="shared" si="24"/>
        <v>0</v>
      </c>
      <c r="K37" s="220">
        <f>Deprec!AG36</f>
        <v>0</v>
      </c>
      <c r="L37" s="122">
        <f t="shared" si="25"/>
        <v>0</v>
      </c>
      <c r="M37" s="221">
        <f t="shared" si="26"/>
        <v>0</v>
      </c>
      <c r="N37" s="122">
        <f t="shared" si="27"/>
        <v>0</v>
      </c>
      <c r="O37" s="438">
        <f>IF(N37&lt;0,0,(N37*Greenhouse_Retrofit!$J$7))</f>
        <v>0</v>
      </c>
      <c r="P37" s="122">
        <f t="shared" si="28"/>
        <v>0</v>
      </c>
      <c r="Q37" s="123">
        <f t="shared" si="29"/>
        <v>0</v>
      </c>
      <c r="T37" s="218">
        <f t="shared" si="30"/>
        <v>0</v>
      </c>
      <c r="U37" s="438">
        <f t="shared" si="31"/>
        <v>0</v>
      </c>
      <c r="V37" s="218">
        <f>IF(B37=0,Greenhouse_Retrofit!$C$29,0)</f>
        <v>0</v>
      </c>
      <c r="W37" s="435">
        <f t="shared" si="32"/>
        <v>0</v>
      </c>
      <c r="X37" s="438">
        <f t="shared" si="33"/>
        <v>0</v>
      </c>
      <c r="Y37" s="184">
        <f>IF(B37=0,Greenhouse_Retrofit!$G$15+Greenhouse_Retrofit!$G$16,0)</f>
        <v>0</v>
      </c>
      <c r="Z37" s="185">
        <f>IF(B37=0,Greenhouse_Retrofit!$G$14,0)</f>
        <v>0</v>
      </c>
      <c r="AA37" s="132">
        <f t="shared" si="34"/>
        <v>0</v>
      </c>
      <c r="AB37" s="218">
        <f t="shared" si="35"/>
        <v>0</v>
      </c>
      <c r="AC37" s="218">
        <f>Greenhouse_Retrofit!$G$20*AVERAGE(AR37,AS37)</f>
        <v>0</v>
      </c>
      <c r="AD37" s="132">
        <f t="shared" si="36"/>
        <v>0</v>
      </c>
      <c r="AE37" s="132">
        <f t="shared" si="37"/>
        <v>0</v>
      </c>
      <c r="AF37" s="122">
        <f t="shared" si="38"/>
        <v>0</v>
      </c>
      <c r="AG37" s="438">
        <f t="shared" si="39"/>
        <v>0</v>
      </c>
      <c r="AH37" s="122">
        <f t="shared" si="40"/>
        <v>0</v>
      </c>
      <c r="AI37" s="122">
        <f t="shared" si="41"/>
        <v>0</v>
      </c>
      <c r="AJ37" s="122">
        <f>-Debt_Calc!CO35</f>
        <v>0</v>
      </c>
      <c r="AK37" s="122">
        <f>Debt_Calc!CP35</f>
        <v>0</v>
      </c>
      <c r="AL37" s="122">
        <f t="shared" si="42"/>
        <v>0</v>
      </c>
      <c r="AM37" s="217">
        <f t="shared" si="43"/>
        <v>0</v>
      </c>
      <c r="AN37" s="122">
        <f t="shared" si="44"/>
        <v>0</v>
      </c>
      <c r="AO37" s="122">
        <f t="shared" si="45"/>
        <v>0</v>
      </c>
      <c r="AP37" s="122">
        <f t="shared" si="46"/>
        <v>0</v>
      </c>
      <c r="AQ37" s="122">
        <f t="shared" si="47"/>
        <v>0</v>
      </c>
      <c r="AR37" s="122">
        <f t="shared" si="48"/>
        <v>0</v>
      </c>
      <c r="AS37" s="122">
        <f t="shared" si="49"/>
        <v>0</v>
      </c>
      <c r="AT37" s="122">
        <f t="shared" si="50"/>
        <v>182436.32034885004</v>
      </c>
      <c r="AU37" s="122">
        <f t="shared" si="51"/>
        <v>2</v>
      </c>
      <c r="AV37" s="222">
        <f t="shared" si="52"/>
        <v>0</v>
      </c>
    </row>
    <row r="38" spans="2:67" s="86" customFormat="1" x14ac:dyDescent="0.3">
      <c r="B38" s="184">
        <f t="shared" si="18"/>
        <v>27</v>
      </c>
      <c r="C38" s="346">
        <f t="shared" si="19"/>
        <v>2048</v>
      </c>
      <c r="D38" s="347">
        <f t="shared" si="20"/>
        <v>54058</v>
      </c>
      <c r="E38" s="440">
        <f t="shared" si="21"/>
        <v>54423</v>
      </c>
      <c r="F38" s="732">
        <f>IF(AND(B38&gt;0,B38&lt;=Greenhouse_Retrofit!$J$10),1,0)</f>
        <v>0</v>
      </c>
      <c r="G38" s="217">
        <f t="shared" si="22"/>
        <v>0</v>
      </c>
      <c r="H38" s="438">
        <f>(Greenhouse_Retrofit!$N$15*F38)+IF(B38=Greenhouse_Retrofit!$J$10,Greenhouse_Retrofit!$J$12,0)</f>
        <v>0</v>
      </c>
      <c r="I38" s="122">
        <f t="shared" si="23"/>
        <v>0</v>
      </c>
      <c r="J38" s="219">
        <f t="shared" si="24"/>
        <v>0</v>
      </c>
      <c r="K38" s="220">
        <f>Deprec!AG37</f>
        <v>0</v>
      </c>
      <c r="L38" s="122">
        <f t="shared" si="25"/>
        <v>0</v>
      </c>
      <c r="M38" s="221">
        <f t="shared" si="26"/>
        <v>0</v>
      </c>
      <c r="N38" s="122">
        <f t="shared" si="27"/>
        <v>0</v>
      </c>
      <c r="O38" s="438">
        <f>IF(N38&lt;0,0,(N38*Greenhouse_Retrofit!$J$7))</f>
        <v>0</v>
      </c>
      <c r="P38" s="122">
        <f t="shared" si="28"/>
        <v>0</v>
      </c>
      <c r="Q38" s="123">
        <f t="shared" si="29"/>
        <v>0</v>
      </c>
      <c r="T38" s="218">
        <f t="shared" si="30"/>
        <v>0</v>
      </c>
      <c r="U38" s="438">
        <f t="shared" si="31"/>
        <v>0</v>
      </c>
      <c r="V38" s="218">
        <f>IF(B38=0,Greenhouse_Retrofit!$C$29,0)</f>
        <v>0</v>
      </c>
      <c r="W38" s="435">
        <f t="shared" si="32"/>
        <v>0</v>
      </c>
      <c r="X38" s="438">
        <f t="shared" si="33"/>
        <v>0</v>
      </c>
      <c r="Y38" s="184">
        <f>IF(B38=0,Greenhouse_Retrofit!$G$15+Greenhouse_Retrofit!$G$16,0)</f>
        <v>0</v>
      </c>
      <c r="Z38" s="185">
        <f>IF(B38=0,Greenhouse_Retrofit!$G$14,0)</f>
        <v>0</v>
      </c>
      <c r="AA38" s="132">
        <f t="shared" si="34"/>
        <v>0</v>
      </c>
      <c r="AB38" s="218">
        <f t="shared" si="35"/>
        <v>0</v>
      </c>
      <c r="AC38" s="218">
        <f>Greenhouse_Retrofit!$G$20*AVERAGE(AR38,AS38)</f>
        <v>0</v>
      </c>
      <c r="AD38" s="132">
        <f t="shared" si="36"/>
        <v>0</v>
      </c>
      <c r="AE38" s="132">
        <f t="shared" si="37"/>
        <v>0</v>
      </c>
      <c r="AF38" s="122">
        <f t="shared" si="38"/>
        <v>0</v>
      </c>
      <c r="AG38" s="438">
        <f t="shared" si="39"/>
        <v>0</v>
      </c>
      <c r="AH38" s="122">
        <f t="shared" si="40"/>
        <v>0</v>
      </c>
      <c r="AI38" s="122">
        <f t="shared" si="41"/>
        <v>0</v>
      </c>
      <c r="AJ38" s="122">
        <f>-Debt_Calc!CO36</f>
        <v>0</v>
      </c>
      <c r="AK38" s="122">
        <f>Debt_Calc!CP36</f>
        <v>0</v>
      </c>
      <c r="AL38" s="122">
        <f t="shared" si="42"/>
        <v>0</v>
      </c>
      <c r="AM38" s="217">
        <f t="shared" si="43"/>
        <v>0</v>
      </c>
      <c r="AN38" s="122">
        <f t="shared" si="44"/>
        <v>0</v>
      </c>
      <c r="AO38" s="122">
        <f t="shared" si="45"/>
        <v>0</v>
      </c>
      <c r="AP38" s="122">
        <f t="shared" si="46"/>
        <v>0</v>
      </c>
      <c r="AQ38" s="122">
        <f t="shared" si="47"/>
        <v>0</v>
      </c>
      <c r="AR38" s="122">
        <f t="shared" si="48"/>
        <v>0</v>
      </c>
      <c r="AS38" s="122">
        <f t="shared" si="49"/>
        <v>0</v>
      </c>
      <c r="AT38" s="122">
        <f t="shared" si="50"/>
        <v>182436.32034885004</v>
      </c>
      <c r="AU38" s="122">
        <f t="shared" si="51"/>
        <v>2</v>
      </c>
      <c r="AV38" s="222">
        <f t="shared" si="52"/>
        <v>0</v>
      </c>
    </row>
    <row r="39" spans="2:67" s="86" customFormat="1" x14ac:dyDescent="0.3">
      <c r="B39" s="184">
        <f t="shared" si="18"/>
        <v>28</v>
      </c>
      <c r="C39" s="346">
        <f t="shared" si="19"/>
        <v>2049</v>
      </c>
      <c r="D39" s="347">
        <f t="shared" si="20"/>
        <v>54424</v>
      </c>
      <c r="E39" s="440">
        <f t="shared" si="21"/>
        <v>54788</v>
      </c>
      <c r="F39" s="732">
        <f>IF(AND(B39&gt;0,B39&lt;=Greenhouse_Retrofit!$J$10),1,0)</f>
        <v>0</v>
      </c>
      <c r="G39" s="217">
        <f t="shared" si="22"/>
        <v>0</v>
      </c>
      <c r="H39" s="438">
        <f>(Greenhouse_Retrofit!$N$15*F39)+IF(B39=Greenhouse_Retrofit!$J$10,Greenhouse_Retrofit!$J$12,0)</f>
        <v>0</v>
      </c>
      <c r="I39" s="122">
        <f t="shared" si="23"/>
        <v>0</v>
      </c>
      <c r="J39" s="219">
        <f t="shared" si="24"/>
        <v>0</v>
      </c>
      <c r="K39" s="220">
        <f>Deprec!AG38</f>
        <v>0</v>
      </c>
      <c r="L39" s="122">
        <f t="shared" si="25"/>
        <v>0</v>
      </c>
      <c r="M39" s="221">
        <f t="shared" si="26"/>
        <v>0</v>
      </c>
      <c r="N39" s="122">
        <f t="shared" si="27"/>
        <v>0</v>
      </c>
      <c r="O39" s="438">
        <f>IF(N39&lt;0,0,(N39*Greenhouse_Retrofit!$J$7))</f>
        <v>0</v>
      </c>
      <c r="P39" s="122">
        <f t="shared" si="28"/>
        <v>0</v>
      </c>
      <c r="Q39" s="123">
        <f t="shared" si="29"/>
        <v>0</v>
      </c>
      <c r="T39" s="218">
        <f t="shared" si="30"/>
        <v>0</v>
      </c>
      <c r="U39" s="438">
        <f t="shared" si="31"/>
        <v>0</v>
      </c>
      <c r="V39" s="218">
        <f>IF(B39=0,Greenhouse_Retrofit!$C$29,0)</f>
        <v>0</v>
      </c>
      <c r="W39" s="435">
        <f t="shared" si="32"/>
        <v>0</v>
      </c>
      <c r="X39" s="438">
        <f t="shared" si="33"/>
        <v>0</v>
      </c>
      <c r="Y39" s="184">
        <f>IF(B39=0,Greenhouse_Retrofit!$G$15+Greenhouse_Retrofit!$G$16,0)</f>
        <v>0</v>
      </c>
      <c r="Z39" s="185">
        <f>IF(B39=0,Greenhouse_Retrofit!$G$14,0)</f>
        <v>0</v>
      </c>
      <c r="AA39" s="132">
        <f t="shared" si="34"/>
        <v>0</v>
      </c>
      <c r="AB39" s="218">
        <f t="shared" si="35"/>
        <v>0</v>
      </c>
      <c r="AC39" s="218">
        <f>Greenhouse_Retrofit!$G$20*AVERAGE(AR39,AS39)</f>
        <v>0</v>
      </c>
      <c r="AD39" s="132">
        <f t="shared" si="36"/>
        <v>0</v>
      </c>
      <c r="AE39" s="132">
        <f t="shared" si="37"/>
        <v>0</v>
      </c>
      <c r="AF39" s="122">
        <f t="shared" si="38"/>
        <v>0</v>
      </c>
      <c r="AG39" s="438">
        <f t="shared" si="39"/>
        <v>0</v>
      </c>
      <c r="AH39" s="122">
        <f t="shared" si="40"/>
        <v>0</v>
      </c>
      <c r="AI39" s="122">
        <f t="shared" si="41"/>
        <v>0</v>
      </c>
      <c r="AJ39" s="122">
        <f>-Debt_Calc!CO37</f>
        <v>0</v>
      </c>
      <c r="AK39" s="122">
        <f>Debt_Calc!CP37</f>
        <v>0</v>
      </c>
      <c r="AL39" s="122">
        <f t="shared" si="42"/>
        <v>0</v>
      </c>
      <c r="AM39" s="217">
        <f t="shared" si="43"/>
        <v>0</v>
      </c>
      <c r="AN39" s="122">
        <f t="shared" si="44"/>
        <v>0</v>
      </c>
      <c r="AO39" s="122">
        <f t="shared" si="45"/>
        <v>0</v>
      </c>
      <c r="AP39" s="122">
        <f t="shared" si="46"/>
        <v>0</v>
      </c>
      <c r="AQ39" s="122">
        <f t="shared" si="47"/>
        <v>0</v>
      </c>
      <c r="AR39" s="122">
        <f t="shared" si="48"/>
        <v>0</v>
      </c>
      <c r="AS39" s="122">
        <f t="shared" si="49"/>
        <v>0</v>
      </c>
      <c r="AT39" s="122">
        <f t="shared" si="50"/>
        <v>182436.32034885004</v>
      </c>
      <c r="AU39" s="122">
        <f t="shared" si="51"/>
        <v>2</v>
      </c>
      <c r="AV39" s="222">
        <f t="shared" si="52"/>
        <v>0</v>
      </c>
    </row>
    <row r="40" spans="2:67" s="86" customFormat="1" x14ac:dyDescent="0.3">
      <c r="B40" s="184">
        <f t="shared" si="18"/>
        <v>29</v>
      </c>
      <c r="C40" s="346">
        <f t="shared" si="19"/>
        <v>2050</v>
      </c>
      <c r="D40" s="347">
        <f t="shared" si="20"/>
        <v>54789</v>
      </c>
      <c r="E40" s="440">
        <f t="shared" si="21"/>
        <v>55153</v>
      </c>
      <c r="F40" s="732">
        <f>IF(AND(B40&gt;0,B40&lt;=Greenhouse_Retrofit!$J$10),1,0)</f>
        <v>0</v>
      </c>
      <c r="G40" s="217">
        <f t="shared" si="22"/>
        <v>0</v>
      </c>
      <c r="H40" s="438">
        <f>(Greenhouse_Retrofit!$N$15*F40)+IF(B40=Greenhouse_Retrofit!$J$10,Greenhouse_Retrofit!$J$12,0)</f>
        <v>0</v>
      </c>
      <c r="I40" s="122">
        <f t="shared" si="23"/>
        <v>0</v>
      </c>
      <c r="J40" s="219">
        <f t="shared" si="24"/>
        <v>0</v>
      </c>
      <c r="K40" s="220">
        <f>Deprec!AG39</f>
        <v>0</v>
      </c>
      <c r="L40" s="122">
        <f t="shared" si="25"/>
        <v>0</v>
      </c>
      <c r="M40" s="221">
        <f t="shared" si="26"/>
        <v>0</v>
      </c>
      <c r="N40" s="122">
        <f t="shared" si="27"/>
        <v>0</v>
      </c>
      <c r="O40" s="438">
        <f>IF(N40&lt;0,0,(N40*Greenhouse_Retrofit!$J$7))</f>
        <v>0</v>
      </c>
      <c r="P40" s="122">
        <f t="shared" si="28"/>
        <v>0</v>
      </c>
      <c r="Q40" s="123">
        <f t="shared" si="29"/>
        <v>0</v>
      </c>
      <c r="T40" s="218">
        <f t="shared" si="30"/>
        <v>0</v>
      </c>
      <c r="U40" s="438">
        <f t="shared" si="31"/>
        <v>0</v>
      </c>
      <c r="V40" s="218">
        <f>IF(B40=0,Greenhouse_Retrofit!$C$29,0)</f>
        <v>0</v>
      </c>
      <c r="W40" s="435">
        <f t="shared" si="32"/>
        <v>0</v>
      </c>
      <c r="X40" s="438">
        <f t="shared" si="33"/>
        <v>0</v>
      </c>
      <c r="Y40" s="184">
        <f>IF(B40=0,Greenhouse_Retrofit!$G$15+Greenhouse_Retrofit!$G$16,0)</f>
        <v>0</v>
      </c>
      <c r="Z40" s="185">
        <f>IF(B40=0,Greenhouse_Retrofit!$G$14,0)</f>
        <v>0</v>
      </c>
      <c r="AA40" s="132">
        <f t="shared" si="34"/>
        <v>0</v>
      </c>
      <c r="AB40" s="218">
        <f t="shared" si="35"/>
        <v>0</v>
      </c>
      <c r="AC40" s="218">
        <f>Greenhouse_Retrofit!$G$20*AVERAGE(AR40,AS40)</f>
        <v>0</v>
      </c>
      <c r="AD40" s="132">
        <f t="shared" si="36"/>
        <v>0</v>
      </c>
      <c r="AE40" s="132">
        <f t="shared" si="37"/>
        <v>0</v>
      </c>
      <c r="AF40" s="122">
        <f t="shared" si="38"/>
        <v>0</v>
      </c>
      <c r="AG40" s="438">
        <f t="shared" si="39"/>
        <v>0</v>
      </c>
      <c r="AH40" s="122">
        <f t="shared" si="40"/>
        <v>0</v>
      </c>
      <c r="AI40" s="122">
        <f t="shared" si="41"/>
        <v>0</v>
      </c>
      <c r="AJ40" s="122">
        <f>-Debt_Calc!CO38</f>
        <v>0</v>
      </c>
      <c r="AK40" s="122">
        <f>Debt_Calc!CP38</f>
        <v>0</v>
      </c>
      <c r="AL40" s="122">
        <f t="shared" si="42"/>
        <v>0</v>
      </c>
      <c r="AM40" s="217">
        <f t="shared" si="43"/>
        <v>0</v>
      </c>
      <c r="AN40" s="122">
        <f t="shared" si="44"/>
        <v>0</v>
      </c>
      <c r="AO40" s="122">
        <f t="shared" si="45"/>
        <v>0</v>
      </c>
      <c r="AP40" s="122">
        <f t="shared" si="46"/>
        <v>0</v>
      </c>
      <c r="AQ40" s="122">
        <f t="shared" si="47"/>
        <v>0</v>
      </c>
      <c r="AR40" s="122">
        <f t="shared" si="48"/>
        <v>0</v>
      </c>
      <c r="AS40" s="122">
        <f t="shared" si="49"/>
        <v>0</v>
      </c>
      <c r="AT40" s="122">
        <f t="shared" si="50"/>
        <v>182436.32034885004</v>
      </c>
      <c r="AU40" s="122">
        <f t="shared" si="51"/>
        <v>2</v>
      </c>
      <c r="AV40" s="222">
        <f t="shared" si="52"/>
        <v>0</v>
      </c>
    </row>
    <row r="41" spans="2:67" s="86" customFormat="1" x14ac:dyDescent="0.3">
      <c r="B41" s="184">
        <f t="shared" si="18"/>
        <v>30</v>
      </c>
      <c r="C41" s="346">
        <f t="shared" si="19"/>
        <v>2051</v>
      </c>
      <c r="D41" s="347">
        <f t="shared" si="20"/>
        <v>55154</v>
      </c>
      <c r="E41" s="440">
        <f t="shared" si="21"/>
        <v>55518</v>
      </c>
      <c r="F41" s="732">
        <f>IF(AND(B41&gt;0,B41&lt;=Greenhouse_Retrofit!$J$10),1,0)</f>
        <v>0</v>
      </c>
      <c r="G41" s="217">
        <f t="shared" si="22"/>
        <v>0</v>
      </c>
      <c r="H41" s="438">
        <f>(Greenhouse_Retrofit!$N$15*F41)+IF(B41=Greenhouse_Retrofit!$J$10,Greenhouse_Retrofit!$J$12,0)</f>
        <v>0</v>
      </c>
      <c r="I41" s="122">
        <f t="shared" si="23"/>
        <v>0</v>
      </c>
      <c r="J41" s="219">
        <f t="shared" si="24"/>
        <v>0</v>
      </c>
      <c r="K41" s="220">
        <f>Deprec!AG40</f>
        <v>0</v>
      </c>
      <c r="L41" s="122">
        <f t="shared" si="25"/>
        <v>0</v>
      </c>
      <c r="M41" s="221">
        <f t="shared" si="26"/>
        <v>0</v>
      </c>
      <c r="N41" s="122">
        <f t="shared" si="27"/>
        <v>0</v>
      </c>
      <c r="O41" s="438">
        <f>IF(N41&lt;0,0,(N41*Greenhouse_Retrofit!$J$7))</f>
        <v>0</v>
      </c>
      <c r="P41" s="122">
        <f t="shared" si="28"/>
        <v>0</v>
      </c>
      <c r="Q41" s="123">
        <f t="shared" si="29"/>
        <v>0</v>
      </c>
      <c r="T41" s="218">
        <f t="shared" si="30"/>
        <v>0</v>
      </c>
      <c r="U41" s="438">
        <f t="shared" si="31"/>
        <v>0</v>
      </c>
      <c r="V41" s="218">
        <f>IF(B41=0,Greenhouse_Retrofit!$C$29,0)</f>
        <v>0</v>
      </c>
      <c r="W41" s="435">
        <f t="shared" si="32"/>
        <v>0</v>
      </c>
      <c r="X41" s="438">
        <f t="shared" si="33"/>
        <v>0</v>
      </c>
      <c r="Y41" s="184">
        <f>IF(B41=0,Greenhouse_Retrofit!$G$15+Greenhouse_Retrofit!$G$16,0)</f>
        <v>0</v>
      </c>
      <c r="Z41" s="185">
        <f>IF(B41=0,Greenhouse_Retrofit!$G$14,0)</f>
        <v>0</v>
      </c>
      <c r="AA41" s="132">
        <f t="shared" si="34"/>
        <v>0</v>
      </c>
      <c r="AB41" s="218">
        <f t="shared" si="35"/>
        <v>0</v>
      </c>
      <c r="AC41" s="218">
        <f>Greenhouse_Retrofit!$G$20*AVERAGE(AR41,AS41)</f>
        <v>0</v>
      </c>
      <c r="AD41" s="132">
        <f t="shared" si="36"/>
        <v>0</v>
      </c>
      <c r="AE41" s="132">
        <f t="shared" si="37"/>
        <v>0</v>
      </c>
      <c r="AF41" s="122">
        <f t="shared" si="38"/>
        <v>0</v>
      </c>
      <c r="AG41" s="438">
        <f t="shared" si="39"/>
        <v>0</v>
      </c>
      <c r="AH41" s="122">
        <f t="shared" si="40"/>
        <v>0</v>
      </c>
      <c r="AI41" s="122">
        <f t="shared" si="41"/>
        <v>0</v>
      </c>
      <c r="AJ41" s="122">
        <f>-Debt_Calc!CO39</f>
        <v>0</v>
      </c>
      <c r="AK41" s="122">
        <f>Debt_Calc!CP39</f>
        <v>0</v>
      </c>
      <c r="AL41" s="122">
        <f t="shared" si="42"/>
        <v>0</v>
      </c>
      <c r="AM41" s="217">
        <f t="shared" si="43"/>
        <v>0</v>
      </c>
      <c r="AN41" s="122">
        <f t="shared" si="44"/>
        <v>0</v>
      </c>
      <c r="AO41" s="122">
        <f t="shared" si="45"/>
        <v>0</v>
      </c>
      <c r="AP41" s="122">
        <f t="shared" si="46"/>
        <v>0</v>
      </c>
      <c r="AQ41" s="122">
        <f t="shared" si="47"/>
        <v>0</v>
      </c>
      <c r="AR41" s="122">
        <f t="shared" si="48"/>
        <v>0</v>
      </c>
      <c r="AS41" s="122">
        <f t="shared" si="49"/>
        <v>0</v>
      </c>
      <c r="AT41" s="122">
        <f t="shared" si="50"/>
        <v>182436.32034885004</v>
      </c>
      <c r="AU41" s="122">
        <f t="shared" si="51"/>
        <v>2</v>
      </c>
      <c r="AV41" s="222">
        <f t="shared" si="52"/>
        <v>0</v>
      </c>
    </row>
    <row r="42" spans="2:67" s="86" customFormat="1" x14ac:dyDescent="0.3">
      <c r="B42" s="184">
        <f t="shared" si="18"/>
        <v>31</v>
      </c>
      <c r="C42" s="346">
        <f t="shared" si="19"/>
        <v>2052</v>
      </c>
      <c r="D42" s="347">
        <f t="shared" si="20"/>
        <v>55519</v>
      </c>
      <c r="E42" s="440">
        <f t="shared" si="21"/>
        <v>55884</v>
      </c>
      <c r="F42" s="732">
        <f>IF(AND(B42&gt;0,B42&lt;=Greenhouse_Retrofit!$J$10),1,0)</f>
        <v>0</v>
      </c>
      <c r="G42" s="217">
        <f t="shared" si="22"/>
        <v>0</v>
      </c>
      <c r="H42" s="438">
        <f>(Greenhouse_Retrofit!$N$15*F42)+IF(B42=Greenhouse_Retrofit!$J$10,Greenhouse_Retrofit!$J$12,0)</f>
        <v>0</v>
      </c>
      <c r="I42" s="122">
        <f t="shared" si="23"/>
        <v>0</v>
      </c>
      <c r="J42" s="219">
        <f t="shared" si="24"/>
        <v>0</v>
      </c>
      <c r="K42" s="220">
        <f>Deprec!AG41</f>
        <v>0</v>
      </c>
      <c r="L42" s="122">
        <f t="shared" si="25"/>
        <v>0</v>
      </c>
      <c r="M42" s="221">
        <f t="shared" si="26"/>
        <v>0</v>
      </c>
      <c r="N42" s="122">
        <f t="shared" si="27"/>
        <v>0</v>
      </c>
      <c r="O42" s="438">
        <f>IF(N42&lt;0,0,(N42*Greenhouse_Retrofit!$J$7))</f>
        <v>0</v>
      </c>
      <c r="P42" s="122">
        <f t="shared" si="28"/>
        <v>0</v>
      </c>
      <c r="Q42" s="123">
        <f t="shared" si="29"/>
        <v>0</v>
      </c>
      <c r="T42" s="218">
        <f t="shared" si="30"/>
        <v>0</v>
      </c>
      <c r="U42" s="438">
        <f t="shared" si="31"/>
        <v>0</v>
      </c>
      <c r="V42" s="218">
        <f>IF(B42=0,Greenhouse_Retrofit!$C$29,0)</f>
        <v>0</v>
      </c>
      <c r="W42" s="435">
        <f t="shared" si="32"/>
        <v>0</v>
      </c>
      <c r="X42" s="438">
        <f t="shared" si="33"/>
        <v>0</v>
      </c>
      <c r="Y42" s="184">
        <f>IF(B42=0,Greenhouse_Retrofit!$G$15+Greenhouse_Retrofit!$G$16,0)</f>
        <v>0</v>
      </c>
      <c r="Z42" s="185">
        <f>IF(B42=0,Greenhouse_Retrofit!$G$14,0)</f>
        <v>0</v>
      </c>
      <c r="AA42" s="132">
        <f t="shared" si="34"/>
        <v>0</v>
      </c>
      <c r="AB42" s="218">
        <f t="shared" si="35"/>
        <v>0</v>
      </c>
      <c r="AC42" s="218">
        <f>Greenhouse_Retrofit!$G$20*AVERAGE(AR42,AS42)</f>
        <v>0</v>
      </c>
      <c r="AD42" s="132">
        <f t="shared" si="36"/>
        <v>0</v>
      </c>
      <c r="AE42" s="132">
        <f t="shared" si="37"/>
        <v>0</v>
      </c>
      <c r="AF42" s="122">
        <f t="shared" si="38"/>
        <v>0</v>
      </c>
      <c r="AG42" s="438">
        <f t="shared" si="39"/>
        <v>0</v>
      </c>
      <c r="AH42" s="122">
        <f t="shared" si="40"/>
        <v>0</v>
      </c>
      <c r="AI42" s="122">
        <f t="shared" si="41"/>
        <v>0</v>
      </c>
      <c r="AJ42" s="122">
        <f>-Debt_Calc!CO40</f>
        <v>0</v>
      </c>
      <c r="AK42" s="122">
        <f>Debt_Calc!CP40</f>
        <v>0</v>
      </c>
      <c r="AL42" s="122">
        <f t="shared" si="42"/>
        <v>0</v>
      </c>
      <c r="AM42" s="217">
        <f t="shared" si="43"/>
        <v>0</v>
      </c>
      <c r="AN42" s="122">
        <f t="shared" si="44"/>
        <v>0</v>
      </c>
      <c r="AO42" s="122">
        <f t="shared" si="45"/>
        <v>0</v>
      </c>
      <c r="AP42" s="122">
        <f t="shared" si="46"/>
        <v>0</v>
      </c>
      <c r="AQ42" s="122">
        <f t="shared" si="47"/>
        <v>0</v>
      </c>
      <c r="AR42" s="122">
        <f t="shared" si="48"/>
        <v>0</v>
      </c>
      <c r="AS42" s="122">
        <f t="shared" si="49"/>
        <v>0</v>
      </c>
      <c r="AT42" s="122">
        <f t="shared" si="50"/>
        <v>182436.32034885004</v>
      </c>
      <c r="AU42" s="122">
        <f t="shared" si="51"/>
        <v>2</v>
      </c>
      <c r="AV42" s="222">
        <f t="shared" si="52"/>
        <v>0</v>
      </c>
    </row>
    <row r="43" spans="2:67" s="86" customFormat="1" x14ac:dyDescent="0.3">
      <c r="B43" s="184">
        <f t="shared" si="18"/>
        <v>32</v>
      </c>
      <c r="C43" s="346">
        <f t="shared" si="19"/>
        <v>2053</v>
      </c>
      <c r="D43" s="347">
        <f t="shared" si="20"/>
        <v>55885</v>
      </c>
      <c r="E43" s="440">
        <f t="shared" si="21"/>
        <v>56249</v>
      </c>
      <c r="F43" s="732">
        <f>IF(AND(B43&gt;0,B43&lt;=Greenhouse_Retrofit!$J$10),1,0)</f>
        <v>0</v>
      </c>
      <c r="G43" s="217">
        <f t="shared" si="22"/>
        <v>0</v>
      </c>
      <c r="H43" s="438">
        <f>(Greenhouse_Retrofit!$N$15*F43)+IF(B43=Greenhouse_Retrofit!$J$10,Greenhouse_Retrofit!$J$12,0)</f>
        <v>0</v>
      </c>
      <c r="I43" s="122">
        <f t="shared" si="23"/>
        <v>0</v>
      </c>
      <c r="J43" s="219">
        <f t="shared" si="24"/>
        <v>0</v>
      </c>
      <c r="K43" s="220">
        <f>Deprec!AG42</f>
        <v>0</v>
      </c>
      <c r="L43" s="122">
        <f t="shared" si="25"/>
        <v>0</v>
      </c>
      <c r="M43" s="221">
        <f t="shared" si="26"/>
        <v>0</v>
      </c>
      <c r="N43" s="122">
        <f t="shared" si="27"/>
        <v>0</v>
      </c>
      <c r="O43" s="438">
        <f>IF(N43&lt;0,0,(N43*Greenhouse_Retrofit!$J$7))</f>
        <v>0</v>
      </c>
      <c r="P43" s="122">
        <f t="shared" si="28"/>
        <v>0</v>
      </c>
      <c r="Q43" s="123">
        <f t="shared" si="29"/>
        <v>0</v>
      </c>
      <c r="T43" s="218">
        <f t="shared" si="30"/>
        <v>0</v>
      </c>
      <c r="U43" s="438">
        <f t="shared" si="31"/>
        <v>0</v>
      </c>
      <c r="V43" s="218">
        <f>IF(B43=0,Greenhouse_Retrofit!$C$29,0)</f>
        <v>0</v>
      </c>
      <c r="W43" s="435">
        <f t="shared" si="32"/>
        <v>0</v>
      </c>
      <c r="X43" s="438">
        <f t="shared" si="33"/>
        <v>0</v>
      </c>
      <c r="Y43" s="184">
        <f>IF(B43=0,Greenhouse_Retrofit!$G$15+Greenhouse_Retrofit!$G$16,0)</f>
        <v>0</v>
      </c>
      <c r="Z43" s="185">
        <f>IF(B43=0,Greenhouse_Retrofit!$G$14,0)</f>
        <v>0</v>
      </c>
      <c r="AA43" s="132">
        <f t="shared" si="34"/>
        <v>0</v>
      </c>
      <c r="AB43" s="218">
        <f t="shared" si="35"/>
        <v>0</v>
      </c>
      <c r="AC43" s="218">
        <f>Greenhouse_Retrofit!$G$20*AVERAGE(AR43,AS43)</f>
        <v>0</v>
      </c>
      <c r="AD43" s="132">
        <f t="shared" si="36"/>
        <v>0</v>
      </c>
      <c r="AE43" s="132">
        <f t="shared" si="37"/>
        <v>0</v>
      </c>
      <c r="AF43" s="122">
        <f t="shared" si="38"/>
        <v>0</v>
      </c>
      <c r="AG43" s="438">
        <f t="shared" si="39"/>
        <v>0</v>
      </c>
      <c r="AH43" s="122">
        <f t="shared" si="40"/>
        <v>0</v>
      </c>
      <c r="AI43" s="122">
        <f t="shared" si="41"/>
        <v>0</v>
      </c>
      <c r="AJ43" s="122">
        <f>-Debt_Calc!CO41</f>
        <v>0</v>
      </c>
      <c r="AK43" s="122">
        <f>Debt_Calc!CP41</f>
        <v>0</v>
      </c>
      <c r="AL43" s="122">
        <f t="shared" si="42"/>
        <v>0</v>
      </c>
      <c r="AM43" s="217">
        <f t="shared" si="43"/>
        <v>0</v>
      </c>
      <c r="AN43" s="122">
        <f t="shared" si="44"/>
        <v>0</v>
      </c>
      <c r="AO43" s="122">
        <f t="shared" si="45"/>
        <v>0</v>
      </c>
      <c r="AP43" s="122">
        <f t="shared" si="46"/>
        <v>0</v>
      </c>
      <c r="AQ43" s="122">
        <f t="shared" si="47"/>
        <v>0</v>
      </c>
      <c r="AR43" s="122">
        <f t="shared" si="48"/>
        <v>0</v>
      </c>
      <c r="AS43" s="122">
        <f t="shared" si="49"/>
        <v>0</v>
      </c>
      <c r="AT43" s="122">
        <f t="shared" si="50"/>
        <v>182436.32034885004</v>
      </c>
      <c r="AU43" s="122">
        <f t="shared" si="51"/>
        <v>2</v>
      </c>
      <c r="AV43" s="222">
        <f t="shared" si="52"/>
        <v>0</v>
      </c>
    </row>
    <row r="44" spans="2:67" s="86" customFormat="1" x14ac:dyDescent="0.3">
      <c r="B44" s="748">
        <f t="shared" si="18"/>
        <v>33</v>
      </c>
      <c r="C44" s="756">
        <f t="shared" si="19"/>
        <v>2054</v>
      </c>
      <c r="D44" s="757">
        <f t="shared" si="20"/>
        <v>56250</v>
      </c>
      <c r="E44" s="758">
        <f t="shared" si="21"/>
        <v>56614</v>
      </c>
      <c r="F44" s="762">
        <f>IF(AND(B44&gt;0,B44&lt;=Greenhouse_Retrofit!$J$10),1,0)</f>
        <v>0</v>
      </c>
      <c r="G44" s="759">
        <f t="shared" si="22"/>
        <v>0</v>
      </c>
      <c r="H44" s="749">
        <f>(Greenhouse_Retrofit!$N$15*F44)+IF(B44=Greenhouse_Retrofit!$J$10,Greenhouse_Retrofit!$J$12,0)</f>
        <v>0</v>
      </c>
      <c r="I44" s="83">
        <f t="shared" si="23"/>
        <v>0</v>
      </c>
      <c r="J44" s="738">
        <f t="shared" si="24"/>
        <v>0</v>
      </c>
      <c r="K44" s="750">
        <f>Deprec!AG43</f>
        <v>0</v>
      </c>
      <c r="L44" s="83">
        <f t="shared" si="25"/>
        <v>0</v>
      </c>
      <c r="M44" s="751">
        <f t="shared" si="26"/>
        <v>0</v>
      </c>
      <c r="N44" s="83">
        <f t="shared" si="27"/>
        <v>0</v>
      </c>
      <c r="O44" s="749">
        <f>IF(N44&lt;0,0,(N44*Greenhouse_Retrofit!$J$7))</f>
        <v>0</v>
      </c>
      <c r="P44" s="83">
        <f t="shared" si="28"/>
        <v>0</v>
      </c>
      <c r="Q44" s="688">
        <f t="shared" si="29"/>
        <v>0</v>
      </c>
      <c r="R44" s="232"/>
      <c r="S44" s="232"/>
      <c r="T44" s="746">
        <f t="shared" si="30"/>
        <v>0</v>
      </c>
      <c r="U44" s="749">
        <f t="shared" si="31"/>
        <v>0</v>
      </c>
      <c r="V44" s="746">
        <f>IF(B44=0,Greenhouse_Retrofit!$C$29,0)</f>
        <v>0</v>
      </c>
      <c r="W44" s="760">
        <f t="shared" si="32"/>
        <v>0</v>
      </c>
      <c r="X44" s="749">
        <f t="shared" si="33"/>
        <v>0</v>
      </c>
      <c r="Y44" s="748">
        <f>IF(B44=0,Greenhouse_Retrofit!$G$15+Greenhouse_Retrofit!$G$16,0)</f>
        <v>0</v>
      </c>
      <c r="Z44" s="150">
        <f>IF(B44=0,Greenhouse_Retrofit!$G$14,0)</f>
        <v>0</v>
      </c>
      <c r="AA44" s="84">
        <f t="shared" si="34"/>
        <v>0</v>
      </c>
      <c r="AB44" s="746">
        <f t="shared" si="35"/>
        <v>0</v>
      </c>
      <c r="AC44" s="746">
        <f>Greenhouse_Retrofit!$G$20*AVERAGE(AR44,AS44)</f>
        <v>0</v>
      </c>
      <c r="AD44" s="84">
        <f t="shared" si="36"/>
        <v>0</v>
      </c>
      <c r="AE44" s="84">
        <f t="shared" si="37"/>
        <v>0</v>
      </c>
      <c r="AF44" s="83">
        <f t="shared" si="38"/>
        <v>0</v>
      </c>
      <c r="AG44" s="749">
        <f t="shared" si="39"/>
        <v>0</v>
      </c>
      <c r="AH44" s="83">
        <f t="shared" si="40"/>
        <v>0</v>
      </c>
      <c r="AI44" s="83">
        <f t="shared" si="41"/>
        <v>0</v>
      </c>
      <c r="AJ44" s="83">
        <f>-Debt_Calc!CO42</f>
        <v>0</v>
      </c>
      <c r="AK44" s="83">
        <f>Debt_Calc!CP42</f>
        <v>0</v>
      </c>
      <c r="AL44" s="83">
        <f t="shared" si="42"/>
        <v>0</v>
      </c>
      <c r="AM44" s="759">
        <f t="shared" si="43"/>
        <v>0</v>
      </c>
      <c r="AN44" s="83">
        <f t="shared" si="44"/>
        <v>0</v>
      </c>
      <c r="AO44" s="83">
        <f t="shared" si="45"/>
        <v>0</v>
      </c>
      <c r="AP44" s="83">
        <f t="shared" si="46"/>
        <v>0</v>
      </c>
      <c r="AQ44" s="83">
        <f t="shared" si="47"/>
        <v>0</v>
      </c>
      <c r="AR44" s="83">
        <f t="shared" si="48"/>
        <v>0</v>
      </c>
      <c r="AS44" s="83">
        <f t="shared" si="49"/>
        <v>0</v>
      </c>
      <c r="AT44" s="83">
        <f t="shared" si="50"/>
        <v>182436.32034885004</v>
      </c>
      <c r="AU44" s="83">
        <f t="shared" si="51"/>
        <v>2</v>
      </c>
      <c r="AV44" s="739">
        <f t="shared" si="52"/>
        <v>0</v>
      </c>
    </row>
    <row r="45" spans="2:67" s="227" customFormat="1" x14ac:dyDescent="0.3">
      <c r="G45" s="202"/>
      <c r="H45" s="86"/>
      <c r="I45" s="86"/>
      <c r="J45" s="86"/>
      <c r="K45" s="86"/>
      <c r="L45" s="86"/>
      <c r="M45" s="199"/>
      <c r="N45" s="86"/>
      <c r="O45" s="86"/>
      <c r="P45" s="86"/>
      <c r="Q45" s="225"/>
      <c r="R45" s="86"/>
      <c r="S45" s="86"/>
      <c r="T45" s="239"/>
      <c r="U45" s="86"/>
      <c r="V45" s="202"/>
      <c r="W45" s="86"/>
      <c r="X45" s="86"/>
      <c r="Y45" s="86"/>
      <c r="Z45" s="86"/>
      <c r="AA45" s="86"/>
      <c r="AB45" s="86"/>
      <c r="AC45" s="86"/>
      <c r="AD45" s="86"/>
      <c r="AE45" s="86"/>
      <c r="AF45" s="86"/>
      <c r="AG45" s="86"/>
      <c r="AH45" s="86"/>
      <c r="AI45" s="86"/>
      <c r="AJ45" s="202"/>
      <c r="AK45" s="202"/>
      <c r="AL45" s="202"/>
      <c r="AM45" s="86"/>
      <c r="AN45" s="86"/>
      <c r="AO45" s="86"/>
      <c r="AP45" s="86"/>
      <c r="AQ45" s="86"/>
      <c r="AR45" s="86"/>
      <c r="AS45" s="86"/>
      <c r="AT45" s="86"/>
      <c r="AU45" s="86"/>
      <c r="AV45" s="86"/>
      <c r="AW45" s="86"/>
      <c r="AX45" s="86"/>
      <c r="AY45" s="86"/>
      <c r="AZ45" s="86"/>
      <c r="BA45" s="86"/>
      <c r="BB45" s="86"/>
      <c r="BC45" s="86"/>
      <c r="BD45" s="86"/>
      <c r="BE45" s="86"/>
      <c r="BF45" s="86"/>
      <c r="BG45" s="86"/>
      <c r="BH45" s="86"/>
      <c r="BI45" s="86"/>
      <c r="BJ45" s="86"/>
      <c r="BK45" s="86"/>
      <c r="BL45" s="86"/>
      <c r="BM45" s="86"/>
      <c r="BN45" s="86"/>
      <c r="BO45" s="86"/>
    </row>
    <row r="46" spans="2:67" s="227" customFormat="1" x14ac:dyDescent="0.3">
      <c r="G46" s="202"/>
      <c r="H46" s="86"/>
      <c r="I46" s="86"/>
      <c r="J46" s="86"/>
      <c r="K46" s="86"/>
      <c r="L46" s="86"/>
      <c r="M46" s="199"/>
      <c r="N46" s="86"/>
      <c r="O46" s="86"/>
      <c r="P46" s="86"/>
      <c r="Q46" s="225"/>
      <c r="R46" s="86"/>
      <c r="S46" s="86"/>
      <c r="T46" s="239"/>
      <c r="U46" s="86"/>
      <c r="V46" s="202"/>
      <c r="W46" s="86"/>
      <c r="X46" s="86"/>
      <c r="Y46" s="86"/>
      <c r="Z46" s="86"/>
      <c r="AA46" s="86"/>
      <c r="AB46" s="86"/>
      <c r="AC46" s="86"/>
      <c r="AD46" s="86"/>
      <c r="AE46" s="86"/>
      <c r="AF46" s="86"/>
      <c r="AG46" s="86"/>
      <c r="AH46" s="86"/>
      <c r="AI46" s="86"/>
      <c r="AJ46" s="202"/>
      <c r="AK46" s="202"/>
      <c r="AL46" s="202"/>
      <c r="AM46" s="86"/>
      <c r="AN46" s="86"/>
      <c r="AO46" s="86"/>
      <c r="AP46" s="86"/>
      <c r="AQ46" s="86"/>
      <c r="AR46" s="86"/>
      <c r="AS46" s="86"/>
      <c r="AT46" s="86"/>
      <c r="AU46" s="86"/>
      <c r="AV46" s="86"/>
      <c r="AW46" s="86"/>
      <c r="AX46" s="86"/>
      <c r="AY46" s="86"/>
      <c r="AZ46" s="86"/>
      <c r="BA46" s="86"/>
      <c r="BB46" s="86"/>
      <c r="BC46" s="86"/>
      <c r="BD46" s="86"/>
      <c r="BE46" s="86"/>
      <c r="BF46" s="86"/>
      <c r="BG46" s="86"/>
      <c r="BH46" s="86"/>
      <c r="BI46" s="86"/>
      <c r="BJ46" s="86"/>
      <c r="BK46" s="86"/>
      <c r="BL46" s="86"/>
      <c r="BM46" s="86"/>
      <c r="BN46" s="86"/>
      <c r="BO46" s="86"/>
    </row>
    <row r="47" spans="2:67" s="227" customFormat="1" x14ac:dyDescent="0.3">
      <c r="G47" s="202"/>
      <c r="H47" s="86"/>
      <c r="I47" s="86"/>
      <c r="J47" s="86"/>
      <c r="K47" s="86"/>
      <c r="L47" s="86"/>
      <c r="M47" s="199"/>
      <c r="N47" s="86"/>
      <c r="O47" s="86"/>
      <c r="P47" s="86"/>
      <c r="Q47" s="225"/>
      <c r="R47" s="86"/>
      <c r="S47" s="86"/>
      <c r="T47" s="239"/>
      <c r="U47" s="86"/>
      <c r="V47" s="202"/>
      <c r="W47" s="86"/>
      <c r="X47" s="86"/>
      <c r="Y47" s="86"/>
      <c r="Z47" s="86"/>
      <c r="AA47" s="86"/>
      <c r="AB47" s="86"/>
      <c r="AC47" s="86"/>
      <c r="AD47" s="86"/>
      <c r="AE47" s="86"/>
      <c r="AF47" s="86"/>
      <c r="AG47" s="86"/>
      <c r="AH47" s="86"/>
      <c r="AI47" s="86"/>
      <c r="AJ47" s="202"/>
      <c r="AK47" s="202"/>
      <c r="AL47" s="202"/>
      <c r="AM47" s="86"/>
      <c r="AN47" s="86"/>
      <c r="AO47" s="86"/>
      <c r="AP47" s="86"/>
      <c r="AQ47" s="86"/>
      <c r="AR47" s="86"/>
      <c r="AS47" s="86"/>
      <c r="AT47" s="86"/>
      <c r="AU47" s="86"/>
      <c r="AV47" s="86"/>
      <c r="AW47" s="86"/>
      <c r="AX47" s="86"/>
      <c r="AY47" s="86"/>
      <c r="AZ47" s="86"/>
      <c r="BA47" s="86"/>
      <c r="BB47" s="86"/>
      <c r="BC47" s="86"/>
      <c r="BD47" s="86"/>
      <c r="BE47" s="86"/>
      <c r="BF47" s="86"/>
      <c r="BG47" s="86"/>
      <c r="BH47" s="86"/>
      <c r="BI47" s="86"/>
      <c r="BJ47" s="86"/>
      <c r="BK47" s="86"/>
      <c r="BL47" s="86"/>
      <c r="BM47" s="86"/>
      <c r="BN47" s="86"/>
      <c r="BO47" s="86"/>
    </row>
    <row r="48" spans="2:67" s="227" customFormat="1" x14ac:dyDescent="0.3">
      <c r="G48" s="202"/>
      <c r="H48" s="86"/>
      <c r="I48" s="86"/>
      <c r="J48" s="86"/>
      <c r="K48" s="86"/>
      <c r="L48" s="86"/>
      <c r="M48" s="199"/>
      <c r="N48" s="86"/>
      <c r="O48" s="86"/>
      <c r="P48" s="86"/>
      <c r="Q48" s="225"/>
      <c r="R48" s="86"/>
      <c r="S48" s="86"/>
      <c r="T48" s="239"/>
      <c r="U48" s="86"/>
      <c r="V48" s="202"/>
      <c r="W48" s="86"/>
      <c r="X48" s="86"/>
      <c r="Y48" s="86"/>
      <c r="Z48" s="86"/>
      <c r="AA48" s="86"/>
      <c r="AB48" s="86"/>
      <c r="AC48" s="86"/>
      <c r="AD48" s="86"/>
      <c r="AE48" s="86"/>
      <c r="AF48" s="86"/>
      <c r="AG48" s="86"/>
      <c r="AH48" s="86"/>
      <c r="AI48" s="86"/>
      <c r="AJ48" s="202"/>
      <c r="AK48" s="202"/>
      <c r="AL48" s="202"/>
      <c r="AM48" s="86"/>
      <c r="AN48" s="86"/>
      <c r="AO48" s="86"/>
      <c r="AP48" s="86"/>
      <c r="AQ48" s="86"/>
      <c r="AR48" s="86"/>
      <c r="AS48" s="86"/>
      <c r="AT48" s="86"/>
      <c r="AU48" s="86"/>
      <c r="AV48" s="86"/>
      <c r="AW48" s="86"/>
      <c r="AX48" s="86"/>
      <c r="AY48" s="86"/>
      <c r="AZ48" s="86"/>
      <c r="BA48" s="86"/>
      <c r="BB48" s="86"/>
      <c r="BC48" s="86"/>
      <c r="BD48" s="86"/>
      <c r="BE48" s="86"/>
      <c r="BF48" s="86"/>
      <c r="BG48" s="86"/>
      <c r="BH48" s="86"/>
      <c r="BI48" s="86"/>
      <c r="BJ48" s="86"/>
      <c r="BK48" s="86"/>
      <c r="BL48" s="86"/>
      <c r="BM48" s="86"/>
      <c r="BN48" s="86"/>
      <c r="BO48" s="86"/>
    </row>
    <row r="49" spans="7:67" s="227" customFormat="1" x14ac:dyDescent="0.3">
      <c r="G49" s="202"/>
      <c r="H49" s="86"/>
      <c r="I49" s="86"/>
      <c r="J49" s="86"/>
      <c r="K49" s="86"/>
      <c r="L49" s="86"/>
      <c r="M49" s="199"/>
      <c r="N49" s="86"/>
      <c r="O49" s="86"/>
      <c r="P49" s="86"/>
      <c r="Q49" s="225"/>
      <c r="R49" s="86"/>
      <c r="S49" s="86"/>
      <c r="T49" s="239"/>
      <c r="U49" s="86"/>
      <c r="V49" s="202"/>
      <c r="W49" s="86"/>
      <c r="X49" s="86"/>
      <c r="Y49" s="86"/>
      <c r="Z49" s="86"/>
      <c r="AA49" s="86"/>
      <c r="AB49" s="86"/>
      <c r="AC49" s="86"/>
      <c r="AD49" s="86"/>
      <c r="AE49" s="86"/>
      <c r="AF49" s="86"/>
      <c r="AG49" s="86"/>
      <c r="AH49" s="86"/>
      <c r="AI49" s="86"/>
      <c r="AJ49" s="202"/>
      <c r="AK49" s="202"/>
      <c r="AL49" s="202"/>
      <c r="AM49" s="86"/>
      <c r="AN49" s="86"/>
      <c r="AO49" s="86"/>
      <c r="AP49" s="86"/>
      <c r="AQ49" s="86"/>
      <c r="AR49" s="86"/>
      <c r="AS49" s="86"/>
      <c r="AT49" s="86"/>
      <c r="AU49" s="86"/>
      <c r="AV49" s="86"/>
      <c r="AW49" s="86"/>
      <c r="AX49" s="86"/>
      <c r="AY49" s="86"/>
      <c r="AZ49" s="86"/>
      <c r="BA49" s="86"/>
      <c r="BB49" s="86"/>
      <c r="BC49" s="86"/>
      <c r="BD49" s="86"/>
      <c r="BE49" s="86"/>
      <c r="BF49" s="86"/>
      <c r="BG49" s="86"/>
      <c r="BH49" s="86"/>
      <c r="BI49" s="86"/>
      <c r="BJ49" s="86"/>
      <c r="BK49" s="86"/>
      <c r="BL49" s="86"/>
      <c r="BM49" s="86"/>
      <c r="BN49" s="86"/>
      <c r="BO49" s="86"/>
    </row>
    <row r="50" spans="7:67" s="227" customFormat="1" x14ac:dyDescent="0.3">
      <c r="G50" s="202"/>
      <c r="H50" s="86"/>
      <c r="I50" s="86"/>
      <c r="J50" s="86"/>
      <c r="K50" s="86"/>
      <c r="L50" s="86"/>
      <c r="M50" s="199"/>
      <c r="N50" s="86"/>
      <c r="O50" s="86"/>
      <c r="P50" s="86"/>
      <c r="Q50" s="225"/>
      <c r="R50" s="86"/>
      <c r="S50" s="86"/>
      <c r="T50" s="239"/>
      <c r="U50" s="86"/>
      <c r="V50" s="202"/>
      <c r="W50" s="86"/>
      <c r="X50" s="86"/>
      <c r="Y50" s="86"/>
      <c r="Z50" s="86"/>
      <c r="AA50" s="86"/>
      <c r="AB50" s="86"/>
      <c r="AC50" s="86"/>
      <c r="AD50" s="86"/>
      <c r="AE50" s="86"/>
      <c r="AF50" s="86"/>
      <c r="AG50" s="86"/>
      <c r="AH50" s="86"/>
      <c r="AI50" s="86"/>
      <c r="AJ50" s="202"/>
      <c r="AK50" s="202"/>
      <c r="AL50" s="202"/>
      <c r="AM50" s="86"/>
      <c r="AN50" s="86"/>
      <c r="AO50" s="86"/>
      <c r="AP50" s="86"/>
      <c r="AQ50" s="86"/>
      <c r="AR50" s="86"/>
      <c r="AS50" s="86"/>
      <c r="AT50" s="86"/>
      <c r="AU50" s="86"/>
      <c r="AV50" s="86"/>
      <c r="AW50" s="86"/>
      <c r="AX50" s="86"/>
      <c r="AY50" s="86"/>
      <c r="AZ50" s="86"/>
      <c r="BA50" s="86"/>
      <c r="BB50" s="86"/>
      <c r="BC50" s="86"/>
      <c r="BD50" s="86"/>
      <c r="BE50" s="86"/>
      <c r="BF50" s="86"/>
      <c r="BG50" s="86"/>
      <c r="BH50" s="86"/>
      <c r="BI50" s="86"/>
      <c r="BJ50" s="86"/>
      <c r="BK50" s="86"/>
      <c r="BL50" s="86"/>
      <c r="BM50" s="86"/>
      <c r="BN50" s="86"/>
      <c r="BO50" s="86"/>
    </row>
    <row r="51" spans="7:67" s="227" customFormat="1" x14ac:dyDescent="0.3">
      <c r="G51" s="202"/>
      <c r="H51" s="86"/>
      <c r="I51" s="86"/>
      <c r="J51" s="86"/>
      <c r="K51" s="86"/>
      <c r="L51" s="86"/>
      <c r="M51" s="199"/>
      <c r="N51" s="86"/>
      <c r="O51" s="86"/>
      <c r="P51" s="86"/>
      <c r="Q51" s="225"/>
      <c r="R51" s="86"/>
      <c r="S51" s="86"/>
      <c r="T51" s="239"/>
      <c r="U51" s="86"/>
      <c r="V51" s="202"/>
      <c r="W51" s="86"/>
      <c r="X51" s="86"/>
      <c r="Y51" s="86"/>
      <c r="Z51" s="86"/>
      <c r="AA51" s="86"/>
      <c r="AB51" s="86"/>
      <c r="AC51" s="86"/>
      <c r="AD51" s="86"/>
      <c r="AE51" s="86"/>
      <c r="AF51" s="86"/>
      <c r="AG51" s="86"/>
      <c r="AH51" s="86"/>
      <c r="AI51" s="86"/>
      <c r="AJ51" s="202"/>
      <c r="AK51" s="202"/>
      <c r="AL51" s="202"/>
      <c r="AM51" s="86"/>
      <c r="AN51" s="86"/>
      <c r="AO51" s="86"/>
      <c r="AP51" s="86"/>
      <c r="AQ51" s="86"/>
      <c r="AR51" s="86"/>
      <c r="AS51" s="86"/>
      <c r="AT51" s="86"/>
      <c r="AU51" s="86"/>
      <c r="AV51" s="86"/>
      <c r="AW51" s="86"/>
      <c r="AX51" s="86"/>
      <c r="AY51" s="86"/>
      <c r="AZ51" s="86"/>
      <c r="BA51" s="86"/>
      <c r="BB51" s="86"/>
      <c r="BC51" s="86"/>
      <c r="BD51" s="86"/>
      <c r="BE51" s="86"/>
      <c r="BF51" s="86"/>
      <c r="BG51" s="86"/>
      <c r="BH51" s="86"/>
      <c r="BI51" s="86"/>
      <c r="BJ51" s="86"/>
      <c r="BK51" s="86"/>
      <c r="BL51" s="86"/>
      <c r="BM51" s="86"/>
      <c r="BN51" s="86"/>
      <c r="BO51" s="86"/>
    </row>
    <row r="52" spans="7:67" s="227" customFormat="1" x14ac:dyDescent="0.3">
      <c r="G52" s="202"/>
      <c r="H52" s="86"/>
      <c r="I52" s="86"/>
      <c r="J52" s="86"/>
      <c r="K52" s="86"/>
      <c r="L52" s="86"/>
      <c r="M52" s="199"/>
      <c r="N52" s="86"/>
      <c r="O52" s="86"/>
      <c r="P52" s="86"/>
      <c r="Q52" s="225"/>
      <c r="R52" s="86"/>
      <c r="S52" s="86"/>
      <c r="T52" s="239"/>
      <c r="U52" s="86"/>
      <c r="V52" s="202"/>
      <c r="W52" s="86"/>
      <c r="X52" s="86"/>
      <c r="Y52" s="86"/>
      <c r="Z52" s="86"/>
      <c r="AA52" s="86"/>
      <c r="AB52" s="86"/>
      <c r="AC52" s="86"/>
      <c r="AD52" s="86"/>
      <c r="AE52" s="86"/>
      <c r="AF52" s="86"/>
      <c r="AG52" s="86"/>
      <c r="AH52" s="86"/>
      <c r="AI52" s="86"/>
      <c r="AJ52" s="202"/>
      <c r="AK52" s="202"/>
      <c r="AL52" s="202"/>
      <c r="AM52" s="86"/>
      <c r="AN52" s="86"/>
      <c r="AO52" s="86"/>
      <c r="AP52" s="86"/>
      <c r="AQ52" s="86"/>
      <c r="AR52" s="86"/>
      <c r="AS52" s="86"/>
      <c r="AT52" s="86"/>
      <c r="AU52" s="86"/>
      <c r="AV52" s="86"/>
      <c r="AW52" s="86"/>
      <c r="AX52" s="86"/>
      <c r="AY52" s="86"/>
      <c r="AZ52" s="86"/>
      <c r="BA52" s="86"/>
      <c r="BB52" s="86"/>
      <c r="BC52" s="86"/>
      <c r="BD52" s="86"/>
      <c r="BE52" s="86"/>
      <c r="BF52" s="86"/>
      <c r="BG52" s="86"/>
      <c r="BH52" s="86"/>
      <c r="BI52" s="86"/>
      <c r="BJ52" s="86"/>
      <c r="BK52" s="86"/>
      <c r="BL52" s="86"/>
      <c r="BM52" s="86"/>
      <c r="BN52" s="86"/>
      <c r="BO52" s="86"/>
    </row>
    <row r="53" spans="7:67" s="227" customFormat="1" x14ac:dyDescent="0.3">
      <c r="G53" s="202"/>
      <c r="H53" s="86"/>
      <c r="I53" s="86"/>
      <c r="J53" s="86"/>
      <c r="K53" s="86"/>
      <c r="L53" s="86"/>
      <c r="M53" s="199"/>
      <c r="N53" s="86"/>
      <c r="O53" s="86"/>
      <c r="P53" s="86"/>
      <c r="Q53" s="225"/>
      <c r="R53" s="86"/>
      <c r="S53" s="86"/>
      <c r="T53" s="239"/>
      <c r="U53" s="86"/>
      <c r="V53" s="202"/>
      <c r="W53" s="86"/>
      <c r="X53" s="86"/>
      <c r="Y53" s="86"/>
      <c r="Z53" s="86"/>
      <c r="AA53" s="86"/>
      <c r="AB53" s="86"/>
      <c r="AC53" s="86"/>
      <c r="AD53" s="86"/>
      <c r="AE53" s="86"/>
      <c r="AF53" s="86"/>
      <c r="AG53" s="86"/>
      <c r="AH53" s="86"/>
      <c r="AI53" s="86"/>
      <c r="AJ53" s="202"/>
      <c r="AK53" s="202"/>
      <c r="AL53" s="202"/>
      <c r="AM53" s="86"/>
      <c r="AN53" s="86"/>
      <c r="AO53" s="86"/>
      <c r="AP53" s="86"/>
      <c r="AQ53" s="86"/>
      <c r="AR53" s="86"/>
      <c r="AS53" s="86"/>
      <c r="AT53" s="86"/>
      <c r="AU53" s="86"/>
      <c r="AV53" s="86"/>
      <c r="AW53" s="86"/>
      <c r="AX53" s="86"/>
      <c r="AY53" s="86"/>
      <c r="AZ53" s="86"/>
      <c r="BA53" s="86"/>
      <c r="BB53" s="86"/>
      <c r="BC53" s="86"/>
      <c r="BD53" s="86"/>
      <c r="BE53" s="86"/>
      <c r="BF53" s="86"/>
      <c r="BG53" s="86"/>
      <c r="BH53" s="86"/>
      <c r="BI53" s="86"/>
      <c r="BJ53" s="86"/>
      <c r="BK53" s="86"/>
      <c r="BL53" s="86"/>
      <c r="BM53" s="86"/>
      <c r="BN53" s="86"/>
      <c r="BO53" s="86"/>
    </row>
    <row r="54" spans="7:67" s="227" customFormat="1" x14ac:dyDescent="0.3">
      <c r="G54" s="202"/>
      <c r="H54" s="86"/>
      <c r="I54" s="86"/>
      <c r="J54" s="86"/>
      <c r="K54" s="86"/>
      <c r="L54" s="86"/>
      <c r="M54" s="199"/>
      <c r="N54" s="86"/>
      <c r="O54" s="86"/>
      <c r="P54" s="86"/>
      <c r="Q54" s="225"/>
      <c r="R54" s="86"/>
      <c r="S54" s="86"/>
      <c r="T54" s="239"/>
      <c r="U54" s="86"/>
      <c r="V54" s="202"/>
      <c r="W54" s="86"/>
      <c r="X54" s="86"/>
      <c r="Y54" s="86"/>
      <c r="Z54" s="86"/>
      <c r="AA54" s="86"/>
      <c r="AB54" s="86"/>
      <c r="AC54" s="86"/>
      <c r="AD54" s="86"/>
      <c r="AE54" s="86"/>
      <c r="AF54" s="86"/>
      <c r="AG54" s="86"/>
      <c r="AH54" s="86"/>
      <c r="AI54" s="86"/>
      <c r="AJ54" s="202"/>
      <c r="AK54" s="202"/>
      <c r="AL54" s="202"/>
      <c r="AM54" s="86"/>
      <c r="AN54" s="86"/>
      <c r="AO54" s="86"/>
      <c r="AP54" s="86"/>
      <c r="AQ54" s="86"/>
      <c r="AR54" s="86"/>
      <c r="AS54" s="86"/>
      <c r="AT54" s="86"/>
      <c r="AU54" s="86"/>
      <c r="AV54" s="86"/>
      <c r="AW54" s="86"/>
      <c r="AX54" s="86"/>
      <c r="AY54" s="86"/>
      <c r="AZ54" s="86"/>
      <c r="BA54" s="86"/>
      <c r="BB54" s="86"/>
      <c r="BC54" s="86"/>
      <c r="BD54" s="86"/>
      <c r="BE54" s="86"/>
      <c r="BF54" s="86"/>
      <c r="BG54" s="86"/>
      <c r="BH54" s="86"/>
      <c r="BI54" s="86"/>
      <c r="BJ54" s="86"/>
      <c r="BK54" s="86"/>
      <c r="BL54" s="86"/>
      <c r="BM54" s="86"/>
      <c r="BN54" s="86"/>
      <c r="BO54" s="86"/>
    </row>
    <row r="55" spans="7:67" s="227" customFormat="1" x14ac:dyDescent="0.3">
      <c r="G55" s="202"/>
      <c r="H55" s="86"/>
      <c r="I55" s="86"/>
      <c r="J55" s="86"/>
      <c r="K55" s="86"/>
      <c r="L55" s="86"/>
      <c r="M55" s="199"/>
      <c r="N55" s="86"/>
      <c r="O55" s="86"/>
      <c r="P55" s="86"/>
      <c r="Q55" s="225"/>
      <c r="R55" s="86"/>
      <c r="S55" s="86"/>
      <c r="T55" s="239"/>
      <c r="U55" s="86"/>
      <c r="V55" s="202"/>
      <c r="W55" s="86"/>
      <c r="X55" s="86"/>
      <c r="Y55" s="86"/>
      <c r="Z55" s="86"/>
      <c r="AA55" s="86"/>
      <c r="AB55" s="86"/>
      <c r="AC55" s="86"/>
      <c r="AD55" s="86"/>
      <c r="AE55" s="86"/>
      <c r="AF55" s="86"/>
      <c r="AG55" s="86"/>
      <c r="AH55" s="86"/>
      <c r="AI55" s="86"/>
      <c r="AJ55" s="202"/>
      <c r="AK55" s="202"/>
      <c r="AL55" s="202"/>
      <c r="AM55" s="86"/>
      <c r="AN55" s="86"/>
      <c r="AO55" s="86"/>
      <c r="AP55" s="86"/>
      <c r="AQ55" s="86"/>
      <c r="AR55" s="86"/>
      <c r="AS55" s="86"/>
      <c r="AT55" s="86"/>
      <c r="AU55" s="86"/>
      <c r="AV55" s="86"/>
      <c r="AW55" s="86"/>
      <c r="AX55" s="86"/>
      <c r="AY55" s="86"/>
      <c r="AZ55" s="86"/>
      <c r="BA55" s="86"/>
      <c r="BB55" s="86"/>
      <c r="BC55" s="86"/>
      <c r="BD55" s="86"/>
      <c r="BE55" s="86"/>
      <c r="BF55" s="86"/>
      <c r="BG55" s="86"/>
      <c r="BH55" s="86"/>
      <c r="BI55" s="86"/>
      <c r="BJ55" s="86"/>
      <c r="BK55" s="86"/>
      <c r="BL55" s="86"/>
      <c r="BM55" s="86"/>
      <c r="BN55" s="86"/>
      <c r="BO55" s="86"/>
    </row>
    <row r="56" spans="7:67" s="227" customFormat="1" x14ac:dyDescent="0.3">
      <c r="G56" s="202"/>
      <c r="H56" s="86"/>
      <c r="I56" s="86"/>
      <c r="J56" s="86"/>
      <c r="K56" s="86"/>
      <c r="L56" s="86"/>
      <c r="M56" s="199"/>
      <c r="N56" s="86"/>
      <c r="O56" s="86"/>
      <c r="P56" s="86"/>
      <c r="Q56" s="225"/>
      <c r="R56" s="86"/>
      <c r="S56" s="86"/>
      <c r="T56" s="239"/>
      <c r="U56" s="86"/>
      <c r="V56" s="202"/>
      <c r="W56" s="86"/>
      <c r="X56" s="86"/>
      <c r="Y56" s="86"/>
      <c r="Z56" s="86"/>
      <c r="AA56" s="86"/>
      <c r="AB56" s="86"/>
      <c r="AC56" s="86"/>
      <c r="AD56" s="86"/>
      <c r="AE56" s="86"/>
      <c r="AF56" s="86"/>
      <c r="AG56" s="86"/>
      <c r="AH56" s="86"/>
      <c r="AI56" s="86"/>
      <c r="AJ56" s="202"/>
      <c r="AK56" s="202"/>
      <c r="AL56" s="202"/>
      <c r="AM56" s="86"/>
      <c r="AN56" s="86"/>
      <c r="AO56" s="86"/>
      <c r="AP56" s="86"/>
      <c r="AQ56" s="86"/>
      <c r="AR56" s="86"/>
      <c r="AS56" s="86"/>
      <c r="AT56" s="86"/>
      <c r="AU56" s="86"/>
      <c r="AV56" s="86"/>
      <c r="AW56" s="86"/>
      <c r="AX56" s="86"/>
      <c r="AY56" s="86"/>
      <c r="AZ56" s="86"/>
      <c r="BA56" s="86"/>
      <c r="BB56" s="86"/>
      <c r="BC56" s="86"/>
      <c r="BD56" s="86"/>
      <c r="BE56" s="86"/>
      <c r="BF56" s="86"/>
      <c r="BG56" s="86"/>
      <c r="BH56" s="86"/>
      <c r="BI56" s="86"/>
      <c r="BJ56" s="86"/>
      <c r="BK56" s="86"/>
      <c r="BL56" s="86"/>
      <c r="BM56" s="86"/>
      <c r="BN56" s="86"/>
      <c r="BO56" s="86"/>
    </row>
    <row r="57" spans="7:67" s="227" customFormat="1" x14ac:dyDescent="0.3">
      <c r="G57" s="202"/>
      <c r="H57" s="86"/>
      <c r="I57" s="86"/>
      <c r="J57" s="86"/>
      <c r="K57" s="86"/>
      <c r="L57" s="86"/>
      <c r="M57" s="199"/>
      <c r="N57" s="86"/>
      <c r="O57" s="86"/>
      <c r="P57" s="86"/>
      <c r="Q57" s="225"/>
      <c r="R57" s="86"/>
      <c r="S57" s="86"/>
      <c r="T57" s="239"/>
      <c r="U57" s="86"/>
      <c r="V57" s="202"/>
      <c r="W57" s="86"/>
      <c r="X57" s="86"/>
      <c r="Y57" s="86"/>
      <c r="Z57" s="86"/>
      <c r="AA57" s="86"/>
      <c r="AB57" s="86"/>
      <c r="AC57" s="86"/>
      <c r="AD57" s="86"/>
      <c r="AE57" s="86"/>
      <c r="AF57" s="86"/>
      <c r="AG57" s="86"/>
      <c r="AH57" s="86"/>
      <c r="AI57" s="86"/>
      <c r="AJ57" s="202"/>
      <c r="AK57" s="202"/>
      <c r="AL57" s="202"/>
      <c r="AM57" s="86"/>
      <c r="AN57" s="86"/>
      <c r="AO57" s="86"/>
      <c r="AP57" s="86"/>
      <c r="AQ57" s="86"/>
      <c r="AR57" s="86"/>
      <c r="AS57" s="86"/>
      <c r="AT57" s="86"/>
      <c r="AU57" s="86"/>
      <c r="AV57" s="86"/>
      <c r="AW57" s="86"/>
      <c r="AX57" s="86"/>
      <c r="AY57" s="86"/>
      <c r="AZ57" s="86"/>
      <c r="BA57" s="86"/>
      <c r="BB57" s="86"/>
      <c r="BC57" s="86"/>
      <c r="BD57" s="86"/>
      <c r="BE57" s="86"/>
      <c r="BF57" s="86"/>
      <c r="BG57" s="86"/>
      <c r="BH57" s="86"/>
      <c r="BI57" s="86"/>
      <c r="BJ57" s="86"/>
      <c r="BK57" s="86"/>
      <c r="BL57" s="86"/>
      <c r="BM57" s="86"/>
      <c r="BN57" s="86"/>
      <c r="BO57" s="86"/>
    </row>
    <row r="58" spans="7:67" s="227" customFormat="1" x14ac:dyDescent="0.3">
      <c r="G58" s="202"/>
      <c r="H58" s="86"/>
      <c r="I58" s="86"/>
      <c r="J58" s="86"/>
      <c r="K58" s="86"/>
      <c r="L58" s="86"/>
      <c r="M58" s="199"/>
      <c r="N58" s="86"/>
      <c r="O58" s="86"/>
      <c r="P58" s="86"/>
      <c r="Q58" s="225"/>
      <c r="R58" s="86"/>
      <c r="S58" s="86"/>
      <c r="T58" s="239"/>
      <c r="U58" s="86"/>
      <c r="V58" s="202"/>
      <c r="W58" s="86"/>
      <c r="X58" s="86"/>
      <c r="Y58" s="86"/>
      <c r="Z58" s="86"/>
      <c r="AA58" s="86"/>
      <c r="AB58" s="86"/>
      <c r="AC58" s="86"/>
      <c r="AD58" s="86"/>
      <c r="AE58" s="86"/>
      <c r="AF58" s="86"/>
      <c r="AG58" s="86"/>
      <c r="AH58" s="86"/>
      <c r="AI58" s="86"/>
      <c r="AJ58" s="202"/>
      <c r="AK58" s="202"/>
      <c r="AL58" s="202"/>
      <c r="AM58" s="86"/>
      <c r="AN58" s="86"/>
      <c r="AO58" s="86"/>
      <c r="AP58" s="86"/>
      <c r="AQ58" s="86"/>
      <c r="AR58" s="86"/>
      <c r="AS58" s="86"/>
      <c r="AT58" s="86"/>
      <c r="AU58" s="86"/>
      <c r="AV58" s="86"/>
      <c r="AW58" s="86"/>
      <c r="AX58" s="86"/>
      <c r="AY58" s="86"/>
      <c r="AZ58" s="86"/>
      <c r="BA58" s="86"/>
      <c r="BB58" s="86"/>
      <c r="BC58" s="86"/>
      <c r="BD58" s="86"/>
      <c r="BE58" s="86"/>
      <c r="BF58" s="86"/>
      <c r="BG58" s="86"/>
      <c r="BH58" s="86"/>
      <c r="BI58" s="86"/>
      <c r="BJ58" s="86"/>
      <c r="BK58" s="86"/>
      <c r="BL58" s="86"/>
      <c r="BM58" s="86"/>
      <c r="BN58" s="86"/>
      <c r="BO58" s="86"/>
    </row>
    <row r="59" spans="7:67" s="227" customFormat="1" x14ac:dyDescent="0.3">
      <c r="G59" s="202"/>
      <c r="H59" s="86"/>
      <c r="I59" s="86"/>
      <c r="J59" s="86"/>
      <c r="K59" s="86"/>
      <c r="L59" s="86"/>
      <c r="M59" s="199"/>
      <c r="N59" s="86"/>
      <c r="O59" s="86"/>
      <c r="P59" s="86"/>
      <c r="Q59" s="225"/>
      <c r="R59" s="86"/>
      <c r="S59" s="86"/>
      <c r="T59" s="239"/>
      <c r="U59" s="86"/>
      <c r="V59" s="202"/>
      <c r="W59" s="86"/>
      <c r="X59" s="86"/>
      <c r="Y59" s="86"/>
      <c r="Z59" s="86"/>
      <c r="AA59" s="86"/>
      <c r="AB59" s="86"/>
      <c r="AC59" s="86"/>
      <c r="AD59" s="86"/>
      <c r="AE59" s="86"/>
      <c r="AF59" s="86"/>
      <c r="AG59" s="86"/>
      <c r="AH59" s="86"/>
      <c r="AI59" s="86"/>
      <c r="AJ59" s="202"/>
      <c r="AK59" s="202"/>
      <c r="AL59" s="202"/>
      <c r="AM59" s="86"/>
      <c r="AN59" s="86"/>
      <c r="AO59" s="86"/>
      <c r="AP59" s="86"/>
      <c r="AQ59" s="86"/>
      <c r="AR59" s="86"/>
      <c r="AS59" s="86"/>
      <c r="AT59" s="86"/>
      <c r="AU59" s="86"/>
      <c r="AV59" s="86"/>
      <c r="AW59" s="86"/>
      <c r="AX59" s="86"/>
      <c r="AY59" s="86"/>
      <c r="AZ59" s="86"/>
      <c r="BA59" s="86"/>
      <c r="BB59" s="86"/>
      <c r="BC59" s="86"/>
      <c r="BD59" s="86"/>
      <c r="BE59" s="86"/>
      <c r="BF59" s="86"/>
      <c r="BG59" s="86"/>
      <c r="BH59" s="86"/>
      <c r="BI59" s="86"/>
      <c r="BJ59" s="86"/>
      <c r="BK59" s="86"/>
      <c r="BL59" s="86"/>
      <c r="BM59" s="86"/>
      <c r="BN59" s="86"/>
      <c r="BO59" s="86"/>
    </row>
    <row r="60" spans="7:67" x14ac:dyDescent="0.3">
      <c r="T60" s="107"/>
    </row>
    <row r="61" spans="7:67" x14ac:dyDescent="0.3">
      <c r="T61" s="107"/>
    </row>
    <row r="62" spans="7:67" x14ac:dyDescent="0.3">
      <c r="T62" s="107"/>
    </row>
    <row r="63" spans="7:67" x14ac:dyDescent="0.3">
      <c r="T63" s="107"/>
    </row>
    <row r="64" spans="7:67" x14ac:dyDescent="0.3">
      <c r="T64" s="107"/>
    </row>
    <row r="65" spans="20:20" x14ac:dyDescent="0.3">
      <c r="T65" s="107"/>
    </row>
    <row r="66" spans="20:20" x14ac:dyDescent="0.3">
      <c r="T66" s="107"/>
    </row>
  </sheetData>
  <pageMargins left="0.7" right="0.7" top="0.75" bottom="0.75" header="0.3" footer="0.3"/>
  <pageSetup orientation="portrait" verticalDpi="0" r:id="rId1"/>
  <headerFooter>
    <oddFooter>&amp;L&amp;F&amp;C&amp;A&amp;R&amp;D&amp;T</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F45C30-7A60-4F36-B793-87F9581792C7}">
  <sheetPr>
    <tabColor theme="1"/>
  </sheetPr>
  <dimension ref="B2:CQ66"/>
  <sheetViews>
    <sheetView zoomScale="80" zoomScaleNormal="80" workbookViewId="0"/>
  </sheetViews>
  <sheetFormatPr defaultColWidth="14.33203125" defaultRowHeight="14.4" x14ac:dyDescent="0.3"/>
  <cols>
    <col min="1" max="1" width="4.33203125" style="75" customWidth="1"/>
    <col min="2" max="6" width="14.33203125" style="75"/>
    <col min="7" max="7" width="14.33203125" style="80"/>
    <col min="8" max="12" width="14.33203125" style="79"/>
    <col min="13" max="13" width="15.109375" style="78" bestFit="1" customWidth="1"/>
    <col min="14" max="16" width="14.33203125" style="79"/>
    <col min="17" max="17" width="14.33203125" style="81"/>
    <col min="18" max="21" width="14.33203125" style="79"/>
    <col min="22" max="22" width="14.33203125" style="80"/>
    <col min="23" max="35" width="14.33203125" style="79"/>
    <col min="36" max="36" width="14.33203125" style="80"/>
    <col min="37" max="37" width="16.33203125" style="80" bestFit="1" customWidth="1"/>
    <col min="38" max="38" width="14.33203125" style="80"/>
    <col min="39" max="67" width="14.33203125" style="79"/>
    <col min="68" max="16384" width="14.33203125" style="75"/>
  </cols>
  <sheetData>
    <row r="2" spans="2:95" x14ac:dyDescent="0.3">
      <c r="Y2" s="82" t="s">
        <v>90</v>
      </c>
      <c r="Z2" s="83"/>
      <c r="AA2" s="83"/>
      <c r="AB2" s="84"/>
      <c r="AE2" s="82" t="s">
        <v>91</v>
      </c>
      <c r="AF2" s="85"/>
      <c r="AG2" s="86"/>
      <c r="AJ2" s="82" t="s">
        <v>153</v>
      </c>
      <c r="AK2" s="85"/>
      <c r="AN2" s="82" t="s">
        <v>92</v>
      </c>
      <c r="AO2" s="83"/>
      <c r="AP2" s="83"/>
      <c r="AQ2" s="84"/>
      <c r="AS2" s="82" t="s">
        <v>93</v>
      </c>
      <c r="AT2" s="84"/>
    </row>
    <row r="3" spans="2:95" s="87" customFormat="1" ht="28.8" x14ac:dyDescent="0.3">
      <c r="F3" s="88" t="s">
        <v>94</v>
      </c>
      <c r="G3" s="92"/>
      <c r="H3" s="90" t="s">
        <v>736</v>
      </c>
      <c r="I3" s="90" t="s">
        <v>750</v>
      </c>
      <c r="J3" s="90" t="s">
        <v>96</v>
      </c>
      <c r="K3" s="93"/>
      <c r="L3" s="94"/>
      <c r="M3" s="95"/>
      <c r="N3" s="94"/>
      <c r="O3" s="94"/>
      <c r="P3" s="96"/>
      <c r="Q3" s="90" t="s">
        <v>97</v>
      </c>
      <c r="R3" s="96"/>
      <c r="S3" s="91"/>
      <c r="T3" s="91"/>
      <c r="U3" s="91"/>
      <c r="V3" s="92"/>
      <c r="W3" s="91"/>
      <c r="X3" s="91"/>
      <c r="Y3" s="97" t="s">
        <v>38</v>
      </c>
      <c r="Z3" s="97" t="s">
        <v>222</v>
      </c>
      <c r="AA3" s="97" t="s">
        <v>98</v>
      </c>
      <c r="AB3" s="97" t="s">
        <v>223</v>
      </c>
      <c r="AD3" s="91"/>
      <c r="AE3" s="98" t="s">
        <v>38</v>
      </c>
      <c r="AF3" s="98" t="s">
        <v>222</v>
      </c>
      <c r="AG3" s="91"/>
      <c r="AH3" s="79"/>
      <c r="AI3" s="79"/>
      <c r="AJ3" s="97" t="s">
        <v>151</v>
      </c>
      <c r="AK3" s="97" t="s">
        <v>152</v>
      </c>
      <c r="AN3" s="97" t="s">
        <v>98</v>
      </c>
      <c r="AO3" s="97" t="s">
        <v>99</v>
      </c>
      <c r="AP3" s="97" t="s">
        <v>38</v>
      </c>
      <c r="AQ3" s="97" t="s">
        <v>222</v>
      </c>
      <c r="AR3" s="91"/>
      <c r="AS3" s="97" t="s">
        <v>38</v>
      </c>
      <c r="AT3" s="97" t="s">
        <v>222</v>
      </c>
      <c r="AU3" s="97" t="s">
        <v>100</v>
      </c>
      <c r="AV3" s="88" t="s">
        <v>101</v>
      </c>
      <c r="AW3" s="91"/>
      <c r="AX3" s="91"/>
      <c r="AY3" s="91"/>
      <c r="AZ3" s="91"/>
      <c r="BA3" s="91"/>
      <c r="BB3" s="91"/>
      <c r="BC3" s="91"/>
      <c r="BD3" s="91"/>
      <c r="BE3" s="91"/>
      <c r="BF3" s="91"/>
      <c r="BG3" s="91"/>
      <c r="BH3" s="91"/>
      <c r="BI3" s="91"/>
      <c r="BJ3" s="91"/>
      <c r="BK3" s="91"/>
      <c r="BL3" s="91"/>
      <c r="BM3" s="91"/>
      <c r="BN3" s="91"/>
      <c r="BO3" s="91"/>
    </row>
    <row r="4" spans="2:95" x14ac:dyDescent="0.3">
      <c r="F4" s="99">
        <f t="array" ref="F4">MAX(($F$12:$F$44&gt;0)*($B$12:$B$44))</f>
        <v>25</v>
      </c>
      <c r="H4" s="101">
        <f>AVERAGEIF(H12:H44,"&gt;0")</f>
        <v>12936.392036867404</v>
      </c>
      <c r="I4" s="101">
        <f>AVERAGEIF(I12:I44,"&gt;0")</f>
        <v>12936.392036867404</v>
      </c>
      <c r="J4" s="100">
        <f>AVERAGEIF(J12:J44,"&gt;0")</f>
        <v>1</v>
      </c>
      <c r="Q4" s="100">
        <f>AVERAGEIF(Q12:Q44,"&gt;0")</f>
        <v>0.39887487908555636</v>
      </c>
      <c r="Y4" s="103">
        <f>IRR(AF11:AF44)</f>
        <v>0.11033306417664424</v>
      </c>
      <c r="Z4" s="104">
        <f>NPV(Y4,AF11:AF44)</f>
        <v>1.1303839622008817E-10</v>
      </c>
      <c r="AA4" s="103">
        <f>XIRR(AG11:AG44,E11:E44,1)</f>
        <v>0.11025961861014366</v>
      </c>
      <c r="AB4" s="101">
        <f>XNPV(AA4,AG11:AG44,E11:E44)</f>
        <v>1.0655468380491584E-3</v>
      </c>
      <c r="AE4" s="103">
        <f>IRR(AE11:AE44)</f>
        <v>0.1243168008545894</v>
      </c>
      <c r="AF4" s="105">
        <f>NPV(AE4,AE11:AE44)</f>
        <v>-4.4794553521209457E-11</v>
      </c>
      <c r="AJ4" s="106">
        <f>AVERAGEIF(AM12:AM44,"&gt;0")</f>
        <v>0.9855623754957421</v>
      </c>
      <c r="AK4" s="106">
        <f t="array" ref="AK4">MIN(IF(AM12:AM44&lt;&gt;0,AM12:AM44))</f>
        <v>0.90373349607037301</v>
      </c>
      <c r="AN4" s="103">
        <f>XIRR(AP11:AP44,D11:D44,1)</f>
        <v>0.10356183722615242</v>
      </c>
      <c r="AO4" s="106">
        <f>XNPV(AN4,AP11:AP44,D11:D44)</f>
        <v>-1.2478377958586861E-3</v>
      </c>
      <c r="AP4" s="103">
        <f>IFERROR(IRR(AP11:AP44),"NEG IRR")</f>
        <v>0.10362923223395692</v>
      </c>
      <c r="AQ4" s="105">
        <f>NPV(AP4,AP11:AP44)</f>
        <v>5.800666769157758E-8</v>
      </c>
      <c r="AS4" s="103">
        <f>IRR(AO11:AO44)</f>
        <v>0.12768851204714604</v>
      </c>
      <c r="AT4" s="105">
        <f>NPV(AS4,AO11:AO44)</f>
        <v>6.3311218768707284E-11</v>
      </c>
      <c r="AU4" s="105">
        <f>IFERROR(MATCH(1,$AU$12:$AU$44,0),"NONE")</f>
        <v>13</v>
      </c>
      <c r="AV4" s="99">
        <f t="array" ref="AV4">MAX(($AV$12:$AV$44&gt;0)*($B$12:$B$44))</f>
        <v>25</v>
      </c>
    </row>
    <row r="6" spans="2:95" x14ac:dyDescent="0.3">
      <c r="G6" s="112"/>
      <c r="H6" s="111"/>
      <c r="T6" s="113"/>
      <c r="V6" s="114"/>
    </row>
    <row r="7" spans="2:95" x14ac:dyDescent="0.3">
      <c r="G7" s="117" t="s">
        <v>103</v>
      </c>
      <c r="H7" s="761"/>
      <c r="I7" s="115" t="s">
        <v>105</v>
      </c>
      <c r="J7" s="118"/>
      <c r="K7" s="105" t="s">
        <v>106</v>
      </c>
      <c r="L7" s="105" t="s">
        <v>107</v>
      </c>
      <c r="M7" s="119" t="s">
        <v>108</v>
      </c>
      <c r="N7" s="105" t="s">
        <v>109</v>
      </c>
      <c r="O7" s="120" t="s">
        <v>110</v>
      </c>
      <c r="P7" s="121" t="s">
        <v>111</v>
      </c>
      <c r="Q7" s="123"/>
      <c r="T7" s="425" t="s">
        <v>112</v>
      </c>
      <c r="U7" s="427"/>
      <c r="V7" s="430" t="s">
        <v>13</v>
      </c>
      <c r="W7" s="431"/>
      <c r="X7" s="432"/>
      <c r="Y7" s="124" t="s">
        <v>113</v>
      </c>
      <c r="Z7" s="83"/>
      <c r="AA7" s="83"/>
      <c r="AB7" s="83"/>
      <c r="AC7" s="125" t="s">
        <v>114</v>
      </c>
      <c r="AD7" s="127" t="s">
        <v>110</v>
      </c>
      <c r="AE7" s="128" t="s">
        <v>115</v>
      </c>
      <c r="AF7" s="126"/>
      <c r="AG7" s="105" t="s">
        <v>116</v>
      </c>
      <c r="AH7" s="129" t="s">
        <v>117</v>
      </c>
      <c r="AI7" s="130"/>
      <c r="AJ7" s="131"/>
      <c r="AK7" s="131"/>
      <c r="AL7" s="131"/>
      <c r="AM7" s="132"/>
      <c r="AN7" s="133" t="s">
        <v>118</v>
      </c>
      <c r="AO7" s="133"/>
      <c r="AP7" s="134"/>
      <c r="AQ7" s="126"/>
      <c r="AR7" s="126"/>
      <c r="AS7" s="126"/>
      <c r="AT7" s="126"/>
      <c r="AU7" s="126"/>
      <c r="AV7" s="127"/>
      <c r="BI7" s="135"/>
      <c r="BS7" s="136"/>
      <c r="CD7" s="136"/>
      <c r="CJ7" s="136"/>
      <c r="CQ7" s="136"/>
    </row>
    <row r="8" spans="2:95" s="163" customFormat="1" ht="43.2" x14ac:dyDescent="0.3">
      <c r="B8" s="34" t="s">
        <v>51</v>
      </c>
      <c r="C8" s="137" t="s">
        <v>52</v>
      </c>
      <c r="D8" s="36" t="s">
        <v>56</v>
      </c>
      <c r="E8" s="138" t="s">
        <v>57</v>
      </c>
      <c r="F8" s="449" t="s">
        <v>119</v>
      </c>
      <c r="G8" s="595" t="s">
        <v>120</v>
      </c>
      <c r="H8" s="470" t="s">
        <v>121</v>
      </c>
      <c r="I8" s="142" t="s">
        <v>105</v>
      </c>
      <c r="J8" s="144" t="s">
        <v>123</v>
      </c>
      <c r="K8" s="139" t="s">
        <v>124</v>
      </c>
      <c r="L8" s="139" t="s">
        <v>107</v>
      </c>
      <c r="M8" s="146" t="s">
        <v>125</v>
      </c>
      <c r="N8" s="147" t="s">
        <v>126</v>
      </c>
      <c r="O8" s="147" t="s">
        <v>110</v>
      </c>
      <c r="P8" s="148" t="s">
        <v>111</v>
      </c>
      <c r="Q8" s="149" t="s">
        <v>127</v>
      </c>
      <c r="R8" s="150"/>
      <c r="S8" s="150"/>
      <c r="T8" s="428" t="s">
        <v>128</v>
      </c>
      <c r="U8" s="156" t="s">
        <v>130</v>
      </c>
      <c r="V8" s="433" t="s">
        <v>215</v>
      </c>
      <c r="W8" s="429" t="s">
        <v>131</v>
      </c>
      <c r="X8" s="156" t="s">
        <v>132</v>
      </c>
      <c r="Y8" s="152" t="s">
        <v>133</v>
      </c>
      <c r="Z8" s="152" t="s">
        <v>134</v>
      </c>
      <c r="AA8" s="152" t="s">
        <v>131</v>
      </c>
      <c r="AB8" s="151" t="s">
        <v>135</v>
      </c>
      <c r="AC8" s="153" t="s">
        <v>136</v>
      </c>
      <c r="AD8" s="155" t="s">
        <v>137</v>
      </c>
      <c r="AE8" s="156" t="s">
        <v>138</v>
      </c>
      <c r="AF8" s="154" t="s">
        <v>139</v>
      </c>
      <c r="AG8" s="42" t="s">
        <v>116</v>
      </c>
      <c r="AH8" s="157" t="s">
        <v>140</v>
      </c>
      <c r="AI8" s="158" t="s">
        <v>141</v>
      </c>
      <c r="AJ8" s="159" t="s">
        <v>142</v>
      </c>
      <c r="AK8" s="159" t="s">
        <v>63</v>
      </c>
      <c r="AL8" s="159" t="s">
        <v>131</v>
      </c>
      <c r="AM8" s="160" t="s">
        <v>143</v>
      </c>
      <c r="AN8" s="152" t="s">
        <v>144</v>
      </c>
      <c r="AO8" s="152" t="s">
        <v>145</v>
      </c>
      <c r="AP8" s="41" t="s">
        <v>146</v>
      </c>
      <c r="AQ8" s="161" t="s">
        <v>147</v>
      </c>
      <c r="AR8" s="161" t="s">
        <v>64</v>
      </c>
      <c r="AS8" s="161" t="s">
        <v>65</v>
      </c>
      <c r="AT8" s="161" t="s">
        <v>148</v>
      </c>
      <c r="AU8" s="161" t="s">
        <v>100</v>
      </c>
      <c r="AV8" s="144" t="s">
        <v>149</v>
      </c>
      <c r="AW8" s="162"/>
      <c r="AX8" s="162"/>
      <c r="AY8" s="162"/>
      <c r="AZ8" s="162"/>
      <c r="BA8" s="162"/>
      <c r="BB8" s="162"/>
      <c r="BC8" s="162"/>
      <c r="BD8" s="162"/>
      <c r="BE8" s="162"/>
      <c r="BF8" s="162"/>
      <c r="BG8" s="162"/>
      <c r="BH8" s="162"/>
      <c r="BI8" s="102"/>
      <c r="BJ8" s="162"/>
      <c r="BK8" s="162"/>
      <c r="BL8" s="162"/>
      <c r="BM8" s="162"/>
      <c r="BN8" s="162"/>
      <c r="BO8" s="162"/>
      <c r="BS8" s="164"/>
      <c r="CD8" s="75"/>
      <c r="CJ8" s="75"/>
      <c r="CQ8" s="75"/>
    </row>
    <row r="9" spans="2:95" s="163" customFormat="1" x14ac:dyDescent="0.3">
      <c r="B9" s="165"/>
      <c r="C9" s="166"/>
      <c r="D9" s="167"/>
      <c r="E9" s="170"/>
      <c r="F9" s="591"/>
      <c r="G9" s="594">
        <f t="shared" ref="G9:I9" si="0">SUM(G12:G44)</f>
        <v>0</v>
      </c>
      <c r="H9" s="175">
        <f t="shared" si="0"/>
        <v>323409.80092168512</v>
      </c>
      <c r="I9" s="176">
        <f t="shared" si="0"/>
        <v>323409.80092168512</v>
      </c>
      <c r="J9" s="175"/>
      <c r="K9" s="178">
        <f t="shared" ref="K9:P9" si="1">SUM(K12:K44)</f>
        <v>98500</v>
      </c>
      <c r="L9" s="178">
        <f t="shared" si="1"/>
        <v>224909.80092168518</v>
      </c>
      <c r="M9" s="178">
        <f t="shared" si="1"/>
        <v>52909.740604723796</v>
      </c>
      <c r="N9" s="178">
        <f t="shared" si="1"/>
        <v>172000.06031696132</v>
      </c>
      <c r="O9" s="178">
        <f t="shared" si="1"/>
        <v>43000.015079240329</v>
      </c>
      <c r="P9" s="176">
        <f t="shared" si="1"/>
        <v>129000.04523772099</v>
      </c>
      <c r="Q9" s="179"/>
      <c r="R9" s="162"/>
      <c r="S9" s="162"/>
      <c r="T9" s="180">
        <f>SUM(T12:T44)</f>
        <v>323409.80092168512</v>
      </c>
      <c r="U9" s="183">
        <f>SUM(U12:U44)</f>
        <v>323409.80092168512</v>
      </c>
      <c r="V9" s="180">
        <f t="shared" ref="V9:AA9" si="2">SUM(V10:V44)</f>
        <v>98500</v>
      </c>
      <c r="W9" s="181">
        <f t="shared" si="2"/>
        <v>98500</v>
      </c>
      <c r="X9" s="183">
        <f t="shared" si="2"/>
        <v>224909.80092168515</v>
      </c>
      <c r="Y9" s="102">
        <f t="shared" si="2"/>
        <v>29550</v>
      </c>
      <c r="Z9" s="102">
        <f t="shared" si="2"/>
        <v>68950</v>
      </c>
      <c r="AA9" s="102">
        <f t="shared" si="2"/>
        <v>98500</v>
      </c>
      <c r="AB9" s="176">
        <f t="shared" ref="AB9:AL9" si="3">SUM(AB12:AB44)</f>
        <v>323409.80092168512</v>
      </c>
      <c r="AC9" s="180">
        <f>SUM(AC10:AC44)</f>
        <v>0</v>
      </c>
      <c r="AD9" s="182">
        <f>SUM(AD10:AD44)</f>
        <v>43000.015079240329</v>
      </c>
      <c r="AE9" s="183">
        <f>SUM(AE12:AE44)</f>
        <v>323409.80092168512</v>
      </c>
      <c r="AF9" s="183">
        <f>SUM(AF12:AF44)</f>
        <v>280409.78584244481</v>
      </c>
      <c r="AG9" s="182">
        <f>SUM(AG12:AG44)</f>
        <v>280409.78584244481</v>
      </c>
      <c r="AH9" s="180">
        <f t="shared" si="3"/>
        <v>442175.09192423703</v>
      </c>
      <c r="AI9" s="181">
        <f t="shared" si="3"/>
        <v>373225.09192423703</v>
      </c>
      <c r="AJ9" s="181">
        <f t="shared" si="3"/>
        <v>52909.740604723796</v>
      </c>
      <c r="AK9" s="181">
        <f t="shared" si="3"/>
        <v>68950</v>
      </c>
      <c r="AL9" s="181">
        <f t="shared" si="3"/>
        <v>121859.74060472377</v>
      </c>
      <c r="AM9" s="182"/>
      <c r="AN9" s="180">
        <f t="shared" ref="AN9:AS9" si="4">SUM(AN10:AN44)</f>
        <v>158550.045237721</v>
      </c>
      <c r="AO9" s="181">
        <f t="shared" si="4"/>
        <v>172000.06031696135</v>
      </c>
      <c r="AP9" s="181">
        <f t="shared" si="4"/>
        <v>129000.045237721</v>
      </c>
      <c r="AQ9" s="181">
        <f t="shared" si="4"/>
        <v>0</v>
      </c>
      <c r="AR9" s="181">
        <f t="shared" si="4"/>
        <v>0</v>
      </c>
      <c r="AS9" s="181">
        <f t="shared" si="4"/>
        <v>0</v>
      </c>
      <c r="AT9" s="181"/>
      <c r="AU9" s="181"/>
      <c r="AV9" s="182">
        <f>SUM(AV11:AV44)</f>
        <v>6.4007053879322484E-8</v>
      </c>
      <c r="AW9" s="162"/>
      <c r="AX9" s="162"/>
      <c r="AY9" s="162"/>
      <c r="AZ9" s="162"/>
      <c r="BA9" s="162"/>
      <c r="BB9" s="162"/>
      <c r="BC9" s="162"/>
      <c r="BD9" s="162"/>
      <c r="BE9" s="162"/>
      <c r="BF9" s="162"/>
      <c r="BG9" s="162"/>
      <c r="BH9" s="162"/>
      <c r="BI9" s="102"/>
      <c r="BJ9" s="162"/>
      <c r="BK9" s="162"/>
      <c r="BL9" s="162"/>
      <c r="BM9" s="162"/>
      <c r="BN9" s="162"/>
      <c r="BO9" s="162"/>
      <c r="BS9" s="164"/>
      <c r="CD9" s="75"/>
      <c r="CJ9" s="75"/>
      <c r="CQ9" s="75"/>
    </row>
    <row r="10" spans="2:95" s="163" customFormat="1" x14ac:dyDescent="0.3">
      <c r="B10" s="186"/>
      <c r="C10" s="187"/>
      <c r="D10" s="186"/>
      <c r="E10" s="169"/>
      <c r="F10" s="592"/>
      <c r="G10" s="195"/>
      <c r="H10" s="194"/>
      <c r="I10" s="192"/>
      <c r="J10" s="194"/>
      <c r="K10" s="195"/>
      <c r="L10" s="195"/>
      <c r="M10" s="195"/>
      <c r="N10" s="195"/>
      <c r="O10" s="195"/>
      <c r="P10" s="192"/>
      <c r="Q10" s="179"/>
      <c r="R10" s="162"/>
      <c r="S10" s="162"/>
      <c r="T10" s="196"/>
      <c r="U10" s="197"/>
      <c r="V10" s="196"/>
      <c r="W10" s="198"/>
      <c r="X10" s="197"/>
      <c r="Y10" s="162"/>
      <c r="Z10" s="162"/>
      <c r="AA10" s="79"/>
      <c r="AB10" s="196"/>
      <c r="AC10" s="196"/>
      <c r="AD10" s="200"/>
      <c r="AE10" s="197"/>
      <c r="AF10" s="200"/>
      <c r="AG10" s="200"/>
      <c r="AH10" s="196"/>
      <c r="AI10" s="86"/>
      <c r="AJ10" s="201"/>
      <c r="AK10" s="201"/>
      <c r="AL10" s="202"/>
      <c r="AM10" s="203"/>
      <c r="AN10" s="196"/>
      <c r="AO10" s="86"/>
      <c r="AP10" s="193"/>
      <c r="AQ10" s="86"/>
      <c r="AR10" s="86"/>
      <c r="AS10" s="86"/>
      <c r="AT10" s="86"/>
      <c r="AU10" s="86"/>
      <c r="AV10" s="175"/>
      <c r="AW10" s="162"/>
      <c r="AX10" s="162"/>
      <c r="AY10" s="162"/>
      <c r="AZ10" s="162"/>
      <c r="BA10" s="162"/>
      <c r="BB10" s="162"/>
      <c r="BC10" s="162"/>
      <c r="BD10" s="162"/>
      <c r="BE10" s="162"/>
      <c r="BF10" s="162"/>
      <c r="BG10" s="162"/>
      <c r="BH10" s="162"/>
      <c r="BI10" s="102"/>
      <c r="BJ10" s="162"/>
      <c r="BK10" s="162"/>
      <c r="BL10" s="162"/>
      <c r="BM10" s="162"/>
      <c r="BN10" s="162"/>
      <c r="BO10" s="162"/>
      <c r="BS10" s="164"/>
      <c r="CD10" s="75"/>
      <c r="CJ10" s="75"/>
      <c r="CQ10" s="75"/>
    </row>
    <row r="11" spans="2:95" s="163" customFormat="1" x14ac:dyDescent="0.3">
      <c r="B11" s="73">
        <v>0</v>
      </c>
      <c r="C11" s="74">
        <f>YEAR(D11)</f>
        <v>2021</v>
      </c>
      <c r="D11" s="205">
        <f>Fish_Inputs!G6</f>
        <v>44197</v>
      </c>
      <c r="E11" s="206">
        <f>EDATE(D11,12)-1</f>
        <v>44561</v>
      </c>
      <c r="F11" s="261">
        <v>0</v>
      </c>
      <c r="G11" s="595"/>
      <c r="H11" s="470"/>
      <c r="I11" s="176"/>
      <c r="J11" s="175"/>
      <c r="K11" s="190"/>
      <c r="L11" s="190"/>
      <c r="M11" s="208"/>
      <c r="N11" s="178"/>
      <c r="O11" s="178"/>
      <c r="P11" s="209"/>
      <c r="Q11" s="179"/>
      <c r="R11" s="162"/>
      <c r="S11" s="162"/>
      <c r="T11" s="196"/>
      <c r="U11" s="197"/>
      <c r="V11" s="196">
        <f>IF(B11=0,Hatchery_Retrofit!$C$29,0)</f>
        <v>98500</v>
      </c>
      <c r="W11" s="198">
        <f t="shared" ref="W11:W12" si="5">SUM(V11:V11)</f>
        <v>98500</v>
      </c>
      <c r="X11" s="197">
        <f t="shared" ref="X11:X12" si="6">U11-W11</f>
        <v>-98500</v>
      </c>
      <c r="Y11" s="162">
        <f>IF(B11=0,Hatchery_Retrofit!$G$15+Hatchery_Retrofit!$G$16,0)</f>
        <v>29550</v>
      </c>
      <c r="Z11" s="162">
        <f>IF(B11=0,Hatchery_Retrofit!$G$14,0)</f>
        <v>68950</v>
      </c>
      <c r="AA11" s="79">
        <f t="shared" ref="AA11:AA12" si="7">SUM(Y11:Z11)</f>
        <v>98500</v>
      </c>
      <c r="AB11" s="196">
        <f t="shared" ref="AB11:AB12" si="8">X11+AA11</f>
        <v>0</v>
      </c>
      <c r="AC11" s="233">
        <f>Hatchery_Retrofit!$G$20*AVERAGE(AR11,AS11)</f>
        <v>0</v>
      </c>
      <c r="AD11" s="231">
        <f>O11</f>
        <v>0</v>
      </c>
      <c r="AE11" s="210">
        <f>X11</f>
        <v>-98500</v>
      </c>
      <c r="AF11" s="211">
        <f>X11</f>
        <v>-98500</v>
      </c>
      <c r="AG11" s="211">
        <f>X11</f>
        <v>-98500</v>
      </c>
      <c r="AH11" s="212"/>
      <c r="AI11" s="483">
        <f>Hatchery_Retrofit!$G$14</f>
        <v>68950</v>
      </c>
      <c r="AJ11" s="201"/>
      <c r="AK11" s="201"/>
      <c r="AL11" s="202"/>
      <c r="AM11" s="203"/>
      <c r="AN11" s="196"/>
      <c r="AO11" s="86">
        <f>-Hatchery_Retrofit!G15</f>
        <v>-29550</v>
      </c>
      <c r="AP11" s="86">
        <f>-Hatchery_Retrofit!G15</f>
        <v>-29550</v>
      </c>
      <c r="AQ11" s="213">
        <f>AB11</f>
        <v>0</v>
      </c>
      <c r="AR11" s="86"/>
      <c r="AS11" s="213">
        <f t="shared" ref="AS11:AS12" si="9">AQ11+AR11</f>
        <v>0</v>
      </c>
      <c r="AT11" s="86">
        <f>-Hatchery_Retrofit!G15</f>
        <v>-29550</v>
      </c>
      <c r="AU11" s="86"/>
      <c r="AV11" s="214">
        <f>AP11/((1+$AP$4)^B11)</f>
        <v>-29550</v>
      </c>
      <c r="AW11" s="162"/>
      <c r="AX11" s="162"/>
      <c r="AY11" s="162"/>
      <c r="AZ11" s="162"/>
      <c r="BA11" s="162"/>
      <c r="BB11" s="162"/>
      <c r="BC11" s="162"/>
      <c r="BD11" s="162"/>
      <c r="BE11" s="162"/>
      <c r="BF11" s="162"/>
      <c r="BG11" s="162"/>
      <c r="BH11" s="162"/>
      <c r="BI11" s="102"/>
      <c r="BJ11" s="162"/>
      <c r="BK11" s="162"/>
      <c r="BL11" s="162"/>
      <c r="BM11" s="162"/>
      <c r="BN11" s="162"/>
      <c r="BO11" s="162"/>
      <c r="BS11" s="164"/>
      <c r="CD11" s="75"/>
      <c r="CJ11" s="75"/>
      <c r="CQ11" s="75"/>
    </row>
    <row r="12" spans="2:95" s="162" customFormat="1" x14ac:dyDescent="0.3">
      <c r="B12" s="184">
        <f>B11+1</f>
        <v>1</v>
      </c>
      <c r="C12" s="346">
        <f t="shared" ref="C12" si="10">YEAR(D12)</f>
        <v>2022</v>
      </c>
      <c r="D12" s="347">
        <f>EDATE(D11,12)</f>
        <v>44562</v>
      </c>
      <c r="E12" s="440">
        <f>EDATE(E11,12)</f>
        <v>44926</v>
      </c>
      <c r="F12" s="732">
        <f>IF(AND(B12&gt;0,B12&lt;=Hatchery_Retrofit!$J$10),1,0)</f>
        <v>1</v>
      </c>
      <c r="G12" s="217">
        <f>AC11</f>
        <v>0</v>
      </c>
      <c r="H12" s="438">
        <f>(Hatchery_Retrofit!$M$15*F12)+IF(B12=Hatchery_Retrofit!$J$10,Hatchery_Retrofit!$J$12,0)</f>
        <v>12936.392036867404</v>
      </c>
      <c r="I12" s="122">
        <f>H12</f>
        <v>12936.392036867404</v>
      </c>
      <c r="J12" s="219">
        <f>IFERROR(I12/H12,0)</f>
        <v>1</v>
      </c>
      <c r="K12" s="220">
        <f>Deprec!AA11</f>
        <v>3940</v>
      </c>
      <c r="L12" s="122">
        <f>I12-K12</f>
        <v>8996.3920368674044</v>
      </c>
      <c r="M12" s="221">
        <f>AJ12</f>
        <v>8250.4118421052553</v>
      </c>
      <c r="N12" s="122">
        <f>L12-M12</f>
        <v>745.98019476214904</v>
      </c>
      <c r="O12" s="438">
        <f>IF(N12&lt;0,0,(N12*Hatchery_Retrofit!$J$7))</f>
        <v>186.49504869053726</v>
      </c>
      <c r="P12" s="122">
        <f>N12-O12</f>
        <v>559.48514607161178</v>
      </c>
      <c r="Q12" s="123">
        <f>IFERROR(P12/H12,0)</f>
        <v>4.3248932505843662E-2</v>
      </c>
      <c r="R12" s="185"/>
      <c r="S12" s="185"/>
      <c r="T12" s="218">
        <f t="shared" ref="T12" si="11">H12</f>
        <v>12936.392036867404</v>
      </c>
      <c r="U12" s="438">
        <f>T12</f>
        <v>12936.392036867404</v>
      </c>
      <c r="V12" s="218">
        <f>IF(B12=0,Hatchery_Retrofit!$C$29,0)</f>
        <v>0</v>
      </c>
      <c r="W12" s="435">
        <f t="shared" si="5"/>
        <v>0</v>
      </c>
      <c r="X12" s="438">
        <f t="shared" si="6"/>
        <v>12936.392036867404</v>
      </c>
      <c r="Y12" s="184">
        <f>IF(B12=0,Hatchery_Retrofit!$G$15+Hatchery_Retrofit!$G$16,0)</f>
        <v>0</v>
      </c>
      <c r="Z12" s="185">
        <f>IF(B12=0,Hatchery_Retrofit!$G$14,0)</f>
        <v>0</v>
      </c>
      <c r="AA12" s="132">
        <f t="shared" si="7"/>
        <v>0</v>
      </c>
      <c r="AB12" s="218">
        <f t="shared" si="8"/>
        <v>12936.392036867404</v>
      </c>
      <c r="AC12" s="218">
        <f>Hatchery_Retrofit!$G$20*AVERAGE(AR12,AS12)</f>
        <v>0</v>
      </c>
      <c r="AD12" s="132">
        <f>O12</f>
        <v>186.49504869053726</v>
      </c>
      <c r="AE12" s="132">
        <f>AG12+AD12-G12</f>
        <v>12936.392036867404</v>
      </c>
      <c r="AF12" s="122">
        <f>AG12-G12</f>
        <v>12749.896988176868</v>
      </c>
      <c r="AG12" s="438">
        <f t="shared" ref="AG12" si="12">AB12-AD12</f>
        <v>12749.896988176868</v>
      </c>
      <c r="AH12" s="122">
        <f>AI11</f>
        <v>68950</v>
      </c>
      <c r="AI12" s="122">
        <f>AH12-AK12</f>
        <v>65014.437781632885</v>
      </c>
      <c r="AJ12" s="122">
        <f>-Debt_Calc!CY10</f>
        <v>8250.4118421052553</v>
      </c>
      <c r="AK12" s="122">
        <f>Debt_Calc!CZ10</f>
        <v>3935.5622183671167</v>
      </c>
      <c r="AL12" s="122">
        <f t="shared" ref="AL12" si="13">SUM(AJ12:AK12)</f>
        <v>12185.974060472372</v>
      </c>
      <c r="AM12" s="217">
        <f>IFERROR(AG12/AL12,0)</f>
        <v>1.0462763932457144</v>
      </c>
      <c r="AN12" s="122">
        <f>AG12-AL12</f>
        <v>563.92292770449603</v>
      </c>
      <c r="AO12" s="122">
        <f t="shared" ref="AO12" si="14">AN12+AD12</f>
        <v>750.41797639503329</v>
      </c>
      <c r="AP12" s="122">
        <f>AN12+AR12</f>
        <v>563.92292770449603</v>
      </c>
      <c r="AQ12" s="122">
        <f t="shared" ref="AQ12" si="15">AN12-AP12</f>
        <v>0</v>
      </c>
      <c r="AR12" s="122">
        <f t="shared" ref="AR12" si="16">AS11</f>
        <v>0</v>
      </c>
      <c r="AS12" s="122">
        <f t="shared" si="9"/>
        <v>0</v>
      </c>
      <c r="AT12" s="122">
        <f t="shared" ref="AT12" si="17">AP12+AT11</f>
        <v>-28986.077072295506</v>
      </c>
      <c r="AU12" s="122">
        <f>IF(AU11&gt;=1,2,IF(AT12&gt;0,1,0))</f>
        <v>0</v>
      </c>
      <c r="AV12" s="222">
        <f>AP12/((1+$AP$4)^B12)</f>
        <v>510.97135816437918</v>
      </c>
      <c r="AW12" s="102"/>
      <c r="AX12" s="102"/>
      <c r="AY12" s="102"/>
      <c r="AZ12" s="102"/>
      <c r="BA12" s="102"/>
      <c r="BI12" s="102"/>
      <c r="BS12" s="349"/>
      <c r="BT12" s="102"/>
      <c r="BU12" s="102"/>
      <c r="BV12" s="102"/>
      <c r="BW12" s="102"/>
      <c r="BX12" s="102"/>
      <c r="BY12" s="102"/>
      <c r="BZ12" s="102"/>
      <c r="CA12" s="102"/>
      <c r="CB12" s="102"/>
      <c r="CC12" s="102"/>
      <c r="CD12" s="79"/>
      <c r="CJ12" s="79"/>
      <c r="CQ12" s="79"/>
    </row>
    <row r="13" spans="2:95" s="193" customFormat="1" x14ac:dyDescent="0.3">
      <c r="B13" s="184">
        <f t="shared" ref="B13:B44" si="18">B12+1</f>
        <v>2</v>
      </c>
      <c r="C13" s="346">
        <f t="shared" ref="C13:C44" si="19">YEAR(D13)</f>
        <v>2023</v>
      </c>
      <c r="D13" s="347">
        <f t="shared" ref="D13:D44" si="20">EDATE(D12,12)</f>
        <v>44927</v>
      </c>
      <c r="E13" s="440">
        <f t="shared" ref="E13:E44" si="21">EDATE(E12,12)</f>
        <v>45291</v>
      </c>
      <c r="F13" s="732">
        <f>IF(AND(B13&gt;0,B13&lt;=Hatchery_Retrofit!$J$10),1,0)</f>
        <v>1</v>
      </c>
      <c r="G13" s="217">
        <f t="shared" ref="G13:G44" si="22">AC12</f>
        <v>0</v>
      </c>
      <c r="H13" s="438">
        <f>(Hatchery_Retrofit!$M$15*F13)+IF(B13=Hatchery_Retrofit!$J$10,Hatchery_Retrofit!$J$12,0)</f>
        <v>12936.392036867404</v>
      </c>
      <c r="I13" s="122">
        <f t="shared" ref="I13:I44" si="23">H13</f>
        <v>12936.392036867404</v>
      </c>
      <c r="J13" s="219">
        <f t="shared" ref="J13:J44" si="24">IFERROR(I13/H13,0)</f>
        <v>1</v>
      </c>
      <c r="K13" s="220">
        <f>Deprec!AA12</f>
        <v>3940</v>
      </c>
      <c r="L13" s="122">
        <f t="shared" ref="L13:L44" si="25">I13-K13</f>
        <v>8996.3920368674044</v>
      </c>
      <c r="M13" s="221">
        <f t="shared" ref="M13:M44" si="26">AJ13</f>
        <v>7779.490752449592</v>
      </c>
      <c r="N13" s="122">
        <f t="shared" ref="N13:N44" si="27">L13-M13</f>
        <v>1216.9012844178123</v>
      </c>
      <c r="O13" s="438">
        <f>IF(N13&lt;0,0,(N13*Hatchery_Retrofit!$J$7))</f>
        <v>304.22532110445309</v>
      </c>
      <c r="P13" s="122">
        <f t="shared" ref="P13:P44" si="28">N13-O13</f>
        <v>912.67596331335926</v>
      </c>
      <c r="Q13" s="123">
        <f t="shared" ref="Q13:Q44" si="29">IFERROR(P13/H13,0)</f>
        <v>7.055104396282405E-2</v>
      </c>
      <c r="T13" s="218">
        <f t="shared" ref="T13:T44" si="30">H13</f>
        <v>12936.392036867404</v>
      </c>
      <c r="U13" s="438">
        <f t="shared" ref="U13:U44" si="31">T13</f>
        <v>12936.392036867404</v>
      </c>
      <c r="V13" s="218">
        <f>IF(B13=0,Hatchery_Retrofit!$C$29,0)</f>
        <v>0</v>
      </c>
      <c r="W13" s="435">
        <f t="shared" ref="W13:W44" si="32">SUM(V13:V13)</f>
        <v>0</v>
      </c>
      <c r="X13" s="438">
        <f t="shared" ref="X13:X44" si="33">U13-W13</f>
        <v>12936.392036867404</v>
      </c>
      <c r="Y13" s="184">
        <f>IF(B13=0,Hatchery_Retrofit!$G$15+Hatchery_Retrofit!$G$16,0)</f>
        <v>0</v>
      </c>
      <c r="Z13" s="185">
        <f>IF(B13=0,Hatchery_Retrofit!$G$14,0)</f>
        <v>0</v>
      </c>
      <c r="AA13" s="132">
        <f t="shared" ref="AA13:AA44" si="34">SUM(Y13:Z13)</f>
        <v>0</v>
      </c>
      <c r="AB13" s="218">
        <f t="shared" ref="AB13:AB44" si="35">X13+AA13</f>
        <v>12936.392036867404</v>
      </c>
      <c r="AC13" s="218">
        <f>Hatchery_Retrofit!$G$20*AVERAGE(AR13,AS13)</f>
        <v>0</v>
      </c>
      <c r="AD13" s="132">
        <f t="shared" ref="AD13:AD44" si="36">O13</f>
        <v>304.22532110445309</v>
      </c>
      <c r="AE13" s="132">
        <f t="shared" ref="AE13:AE44" si="37">AG13+AD13-G13</f>
        <v>12936.392036867404</v>
      </c>
      <c r="AF13" s="122">
        <f t="shared" ref="AF13:AF44" si="38">AG13-G13</f>
        <v>12632.166715762951</v>
      </c>
      <c r="AG13" s="438">
        <f t="shared" ref="AG13:AG44" si="39">AB13-AD13</f>
        <v>12632.166715762951</v>
      </c>
      <c r="AH13" s="122">
        <f t="shared" ref="AH13:AH44" si="40">AI12</f>
        <v>65014.437781632885</v>
      </c>
      <c r="AI13" s="122">
        <f t="shared" ref="AI13:AI44" si="41">AH13-AK13</f>
        <v>60607.954473610102</v>
      </c>
      <c r="AJ13" s="122">
        <f>-Debt_Calc!CY11</f>
        <v>7779.490752449592</v>
      </c>
      <c r="AK13" s="122">
        <f>Debt_Calc!CZ11</f>
        <v>4406.4833080227818</v>
      </c>
      <c r="AL13" s="122">
        <f t="shared" ref="AL13:AL44" si="42">SUM(AJ13:AK13)</f>
        <v>12185.974060472374</v>
      </c>
      <c r="AM13" s="217">
        <f t="shared" ref="AM13:AM44" si="43">IFERROR(AG13/AL13,0)</f>
        <v>1.0366152638333517</v>
      </c>
      <c r="AN13" s="122">
        <f t="shared" ref="AN13:AN44" si="44">AG13-AL13</f>
        <v>446.19265529057702</v>
      </c>
      <c r="AO13" s="122">
        <f t="shared" ref="AO13:AO44" si="45">AN13+AD13</f>
        <v>750.41797639503011</v>
      </c>
      <c r="AP13" s="122">
        <f t="shared" ref="AP13:AP44" si="46">AN13+AR13</f>
        <v>446.19265529057702</v>
      </c>
      <c r="AQ13" s="122">
        <f t="shared" ref="AQ13:AQ44" si="47">AN13-AP13</f>
        <v>0</v>
      </c>
      <c r="AR13" s="122">
        <f t="shared" ref="AR13:AR44" si="48">AS12</f>
        <v>0</v>
      </c>
      <c r="AS13" s="122">
        <f t="shared" ref="AS13:AS44" si="49">AQ13+AR13</f>
        <v>0</v>
      </c>
      <c r="AT13" s="122">
        <f t="shared" ref="AT13:AT44" si="50">AP13+AT12</f>
        <v>-28539.884417004927</v>
      </c>
      <c r="AU13" s="122">
        <f t="shared" ref="AU13:AU44" si="51">IF(AU12&gt;=1,2,IF(AT13&gt;0,1,0))</f>
        <v>0</v>
      </c>
      <c r="AV13" s="222">
        <f t="shared" ref="AV13:AV44" si="52">AP13/((1+$AP$4)^B13)</f>
        <v>366.33298655881458</v>
      </c>
      <c r="AW13" s="102"/>
      <c r="AX13" s="102"/>
      <c r="AY13" s="102"/>
      <c r="AZ13" s="102"/>
      <c r="BA13" s="102"/>
      <c r="BI13" s="102"/>
      <c r="BS13" s="102"/>
      <c r="BT13" s="102"/>
      <c r="BU13" s="102"/>
      <c r="BV13" s="102"/>
      <c r="BW13" s="102"/>
      <c r="BX13" s="102"/>
      <c r="BY13" s="102"/>
      <c r="BZ13" s="102"/>
      <c r="CA13" s="102"/>
      <c r="CB13" s="102"/>
      <c r="CC13" s="102"/>
      <c r="CD13" s="86"/>
      <c r="CJ13" s="86"/>
      <c r="CQ13" s="86"/>
    </row>
    <row r="14" spans="2:95" s="193" customFormat="1" x14ac:dyDescent="0.3">
      <c r="B14" s="184">
        <f t="shared" si="18"/>
        <v>3</v>
      </c>
      <c r="C14" s="346">
        <f t="shared" si="19"/>
        <v>2024</v>
      </c>
      <c r="D14" s="347">
        <f t="shared" si="20"/>
        <v>45292</v>
      </c>
      <c r="E14" s="440">
        <f t="shared" si="21"/>
        <v>45657</v>
      </c>
      <c r="F14" s="732">
        <f>IF(AND(B14&gt;0,B14&lt;=Hatchery_Retrofit!$J$10),1,0)</f>
        <v>1</v>
      </c>
      <c r="G14" s="217">
        <f t="shared" si="22"/>
        <v>0</v>
      </c>
      <c r="H14" s="438">
        <f>(Hatchery_Retrofit!$M$15*F14)+IF(B14=Hatchery_Retrofit!$J$10,Hatchery_Retrofit!$J$12,0)</f>
        <v>12936.392036867404</v>
      </c>
      <c r="I14" s="122">
        <f t="shared" si="23"/>
        <v>12936.392036867404</v>
      </c>
      <c r="J14" s="219">
        <f t="shared" si="24"/>
        <v>1</v>
      </c>
      <c r="K14" s="220">
        <f>Deprec!AA13</f>
        <v>3940</v>
      </c>
      <c r="L14" s="122">
        <f t="shared" si="25"/>
        <v>8996.3920368674044</v>
      </c>
      <c r="M14" s="221">
        <f t="shared" si="26"/>
        <v>7252.2202366185502</v>
      </c>
      <c r="N14" s="122">
        <f t="shared" si="27"/>
        <v>1744.1718002488542</v>
      </c>
      <c r="O14" s="438">
        <f>IF(N14&lt;0,0,(N14*Hatchery_Retrofit!$J$7))</f>
        <v>436.04295006221355</v>
      </c>
      <c r="P14" s="122">
        <f t="shared" si="28"/>
        <v>1308.1288501866406</v>
      </c>
      <c r="Q14" s="123">
        <f t="shared" si="29"/>
        <v>0.10112006859861747</v>
      </c>
      <c r="T14" s="218">
        <f t="shared" si="30"/>
        <v>12936.392036867404</v>
      </c>
      <c r="U14" s="438">
        <f t="shared" si="31"/>
        <v>12936.392036867404</v>
      </c>
      <c r="V14" s="218">
        <f>IF(B14=0,Hatchery_Retrofit!$C$29,0)</f>
        <v>0</v>
      </c>
      <c r="W14" s="435">
        <f t="shared" si="32"/>
        <v>0</v>
      </c>
      <c r="X14" s="438">
        <f t="shared" si="33"/>
        <v>12936.392036867404</v>
      </c>
      <c r="Y14" s="184">
        <f>IF(B14=0,Hatchery_Retrofit!$G$15+Hatchery_Retrofit!$G$16,0)</f>
        <v>0</v>
      </c>
      <c r="Z14" s="185">
        <f>IF(B14=0,Hatchery_Retrofit!$G$14,0)</f>
        <v>0</v>
      </c>
      <c r="AA14" s="132">
        <f t="shared" si="34"/>
        <v>0</v>
      </c>
      <c r="AB14" s="218">
        <f t="shared" si="35"/>
        <v>12936.392036867404</v>
      </c>
      <c r="AC14" s="218">
        <f>Hatchery_Retrofit!$G$20*AVERAGE(AR14,AS14)</f>
        <v>0</v>
      </c>
      <c r="AD14" s="132">
        <f t="shared" si="36"/>
        <v>436.04295006221355</v>
      </c>
      <c r="AE14" s="132">
        <f t="shared" si="37"/>
        <v>12936.392036867404</v>
      </c>
      <c r="AF14" s="122">
        <f t="shared" si="38"/>
        <v>12500.34908680519</v>
      </c>
      <c r="AG14" s="438">
        <f t="shared" si="39"/>
        <v>12500.34908680519</v>
      </c>
      <c r="AH14" s="122">
        <f t="shared" si="40"/>
        <v>60607.954473610102</v>
      </c>
      <c r="AI14" s="122">
        <f t="shared" si="41"/>
        <v>55674.200649756276</v>
      </c>
      <c r="AJ14" s="122">
        <f>-Debt_Calc!CY12</f>
        <v>7252.2202366185502</v>
      </c>
      <c r="AK14" s="122">
        <f>Debt_Calc!CZ12</f>
        <v>4933.7538238538255</v>
      </c>
      <c r="AL14" s="122">
        <f t="shared" si="42"/>
        <v>12185.974060472376</v>
      </c>
      <c r="AM14" s="217">
        <f t="shared" si="43"/>
        <v>1.0257981040147257</v>
      </c>
      <c r="AN14" s="122">
        <f t="shared" si="44"/>
        <v>314.37502633281474</v>
      </c>
      <c r="AO14" s="122">
        <f t="shared" si="45"/>
        <v>750.41797639502829</v>
      </c>
      <c r="AP14" s="122">
        <f t="shared" si="46"/>
        <v>314.37502633281474</v>
      </c>
      <c r="AQ14" s="122">
        <f t="shared" si="47"/>
        <v>0</v>
      </c>
      <c r="AR14" s="122">
        <f t="shared" si="48"/>
        <v>0</v>
      </c>
      <c r="AS14" s="122">
        <f t="shared" si="49"/>
        <v>0</v>
      </c>
      <c r="AT14" s="122">
        <f t="shared" si="50"/>
        <v>-28225.509390672112</v>
      </c>
      <c r="AU14" s="122">
        <f t="shared" si="51"/>
        <v>0</v>
      </c>
      <c r="AV14" s="222">
        <f t="shared" si="52"/>
        <v>233.87212026383781</v>
      </c>
      <c r="AW14" s="102"/>
      <c r="AX14" s="102"/>
      <c r="AY14" s="102"/>
      <c r="AZ14" s="102"/>
      <c r="BA14" s="102"/>
      <c r="BI14" s="102"/>
      <c r="BS14" s="102"/>
      <c r="BT14" s="102"/>
      <c r="BU14" s="102"/>
      <c r="BV14" s="102"/>
      <c r="BW14" s="102"/>
      <c r="BX14" s="102"/>
      <c r="BY14" s="102"/>
      <c r="BZ14" s="102"/>
      <c r="CA14" s="102"/>
      <c r="CB14" s="102"/>
      <c r="CC14" s="102"/>
      <c r="CD14" s="86"/>
      <c r="CJ14" s="86"/>
      <c r="CQ14" s="86"/>
    </row>
    <row r="15" spans="2:95" s="86" customFormat="1" x14ac:dyDescent="0.3">
      <c r="B15" s="184">
        <f t="shared" si="18"/>
        <v>4</v>
      </c>
      <c r="C15" s="346">
        <f t="shared" si="19"/>
        <v>2025</v>
      </c>
      <c r="D15" s="347">
        <f t="shared" si="20"/>
        <v>45658</v>
      </c>
      <c r="E15" s="440">
        <f t="shared" si="21"/>
        <v>46022</v>
      </c>
      <c r="F15" s="732">
        <f>IF(AND(B15&gt;0,B15&lt;=Hatchery_Retrofit!$J$10),1,0)</f>
        <v>1</v>
      </c>
      <c r="G15" s="217">
        <f t="shared" si="22"/>
        <v>0</v>
      </c>
      <c r="H15" s="438">
        <f>(Hatchery_Retrofit!$M$15*F15)+IF(B15=Hatchery_Retrofit!$J$10,Hatchery_Retrofit!$J$12,0)</f>
        <v>12936.392036867404</v>
      </c>
      <c r="I15" s="122">
        <f t="shared" si="23"/>
        <v>12936.392036867404</v>
      </c>
      <c r="J15" s="219">
        <f t="shared" si="24"/>
        <v>1</v>
      </c>
      <c r="K15" s="220">
        <f>Deprec!AA14</f>
        <v>3940</v>
      </c>
      <c r="L15" s="122">
        <f t="shared" si="25"/>
        <v>8996.3920368674044</v>
      </c>
      <c r="M15" s="221">
        <f t="shared" si="26"/>
        <v>6661.8576409063571</v>
      </c>
      <c r="N15" s="122">
        <f t="shared" si="27"/>
        <v>2334.5343959610473</v>
      </c>
      <c r="O15" s="438">
        <f>IF(N15&lt;0,0,(N15*Hatchery_Retrofit!$J$7))</f>
        <v>583.63359899026182</v>
      </c>
      <c r="P15" s="122">
        <f t="shared" si="28"/>
        <v>1750.9007969707854</v>
      </c>
      <c r="Q15" s="123">
        <f t="shared" si="29"/>
        <v>0.13534691836648857</v>
      </c>
      <c r="T15" s="218">
        <f t="shared" si="30"/>
        <v>12936.392036867404</v>
      </c>
      <c r="U15" s="438">
        <f t="shared" si="31"/>
        <v>12936.392036867404</v>
      </c>
      <c r="V15" s="218">
        <f>IF(B15=0,Hatchery_Retrofit!$C$29,0)</f>
        <v>0</v>
      </c>
      <c r="W15" s="435">
        <f t="shared" si="32"/>
        <v>0</v>
      </c>
      <c r="X15" s="438">
        <f t="shared" si="33"/>
        <v>12936.392036867404</v>
      </c>
      <c r="Y15" s="184">
        <f>IF(B15=0,Hatchery_Retrofit!$G$15+Hatchery_Retrofit!$G$16,0)</f>
        <v>0</v>
      </c>
      <c r="Z15" s="185">
        <f>IF(B15=0,Hatchery_Retrofit!$G$14,0)</f>
        <v>0</v>
      </c>
      <c r="AA15" s="132">
        <f t="shared" si="34"/>
        <v>0</v>
      </c>
      <c r="AB15" s="218">
        <f t="shared" si="35"/>
        <v>12936.392036867404</v>
      </c>
      <c r="AC15" s="218">
        <f>Hatchery_Retrofit!$G$20*AVERAGE(AR15,AS15)</f>
        <v>0</v>
      </c>
      <c r="AD15" s="132">
        <f t="shared" si="36"/>
        <v>583.63359899026182</v>
      </c>
      <c r="AE15" s="132">
        <f t="shared" si="37"/>
        <v>12936.392036867404</v>
      </c>
      <c r="AF15" s="122">
        <f t="shared" si="38"/>
        <v>12352.758437877143</v>
      </c>
      <c r="AG15" s="438">
        <f t="shared" si="39"/>
        <v>12352.758437877143</v>
      </c>
      <c r="AH15" s="122">
        <f t="shared" si="40"/>
        <v>55674.200649756276</v>
      </c>
      <c r="AI15" s="122">
        <f t="shared" si="41"/>
        <v>50150.084230190259</v>
      </c>
      <c r="AJ15" s="122">
        <f>-Debt_Calc!CY13</f>
        <v>6661.8576409063571</v>
      </c>
      <c r="AK15" s="122">
        <f>Debt_Calc!CZ13</f>
        <v>5524.1164195660167</v>
      </c>
      <c r="AL15" s="122">
        <f t="shared" si="42"/>
        <v>12185.974060472374</v>
      </c>
      <c r="AM15" s="217">
        <f t="shared" si="43"/>
        <v>1.0136865856251711</v>
      </c>
      <c r="AN15" s="122">
        <f t="shared" si="44"/>
        <v>166.78437740476875</v>
      </c>
      <c r="AO15" s="122">
        <f t="shared" si="45"/>
        <v>750.41797639503056</v>
      </c>
      <c r="AP15" s="122">
        <f t="shared" si="46"/>
        <v>166.78437740476875</v>
      </c>
      <c r="AQ15" s="122">
        <f t="shared" si="47"/>
        <v>0</v>
      </c>
      <c r="AR15" s="122">
        <f t="shared" si="48"/>
        <v>0</v>
      </c>
      <c r="AS15" s="122">
        <f t="shared" si="49"/>
        <v>0</v>
      </c>
      <c r="AT15" s="122">
        <f t="shared" si="50"/>
        <v>-28058.725013267343</v>
      </c>
      <c r="AU15" s="122">
        <f t="shared" si="51"/>
        <v>0</v>
      </c>
      <c r="AV15" s="222">
        <f t="shared" si="52"/>
        <v>112.42491994422647</v>
      </c>
    </row>
    <row r="16" spans="2:95" s="86" customFormat="1" x14ac:dyDescent="0.3">
      <c r="B16" s="184">
        <f t="shared" si="18"/>
        <v>5</v>
      </c>
      <c r="C16" s="346">
        <f t="shared" si="19"/>
        <v>2026</v>
      </c>
      <c r="D16" s="347">
        <f t="shared" si="20"/>
        <v>46023</v>
      </c>
      <c r="E16" s="440">
        <f t="shared" si="21"/>
        <v>46387</v>
      </c>
      <c r="F16" s="732">
        <f>IF(AND(B16&gt;0,B16&lt;=Hatchery_Retrofit!$J$10),1,0)</f>
        <v>1</v>
      </c>
      <c r="G16" s="217">
        <f t="shared" si="22"/>
        <v>0</v>
      </c>
      <c r="H16" s="438">
        <f>(Hatchery_Retrofit!$M$15*F16)+IF(B16=Hatchery_Retrofit!$J$10,Hatchery_Retrofit!$J$12,0)</f>
        <v>12936.392036867404</v>
      </c>
      <c r="I16" s="122">
        <f t="shared" si="23"/>
        <v>12936.392036867404</v>
      </c>
      <c r="J16" s="219">
        <f t="shared" si="24"/>
        <v>1</v>
      </c>
      <c r="K16" s="220">
        <f>Deprec!AA15</f>
        <v>3940</v>
      </c>
      <c r="L16" s="122">
        <f t="shared" si="25"/>
        <v>8996.3920368674044</v>
      </c>
      <c r="M16" s="221">
        <f t="shared" si="26"/>
        <v>6000.8534998598661</v>
      </c>
      <c r="N16" s="122">
        <f t="shared" si="27"/>
        <v>2995.5385370075383</v>
      </c>
      <c r="O16" s="438">
        <f>IF(N16&lt;0,0,(N16*Hatchery_Retrofit!$J$7))</f>
        <v>748.88463425188456</v>
      </c>
      <c r="P16" s="122">
        <f t="shared" si="28"/>
        <v>2246.6539027556537</v>
      </c>
      <c r="Q16" s="123">
        <f t="shared" si="29"/>
        <v>0.1736692809210573</v>
      </c>
      <c r="T16" s="218">
        <f t="shared" si="30"/>
        <v>12936.392036867404</v>
      </c>
      <c r="U16" s="438">
        <f t="shared" si="31"/>
        <v>12936.392036867404</v>
      </c>
      <c r="V16" s="218">
        <f>IF(B16=0,Hatchery_Retrofit!$C$29,0)</f>
        <v>0</v>
      </c>
      <c r="W16" s="435">
        <f t="shared" si="32"/>
        <v>0</v>
      </c>
      <c r="X16" s="438">
        <f t="shared" si="33"/>
        <v>12936.392036867404</v>
      </c>
      <c r="Y16" s="184">
        <f>IF(B16=0,Hatchery_Retrofit!$G$15+Hatchery_Retrofit!$G$16,0)</f>
        <v>0</v>
      </c>
      <c r="Z16" s="185">
        <f>IF(B16=0,Hatchery_Retrofit!$G$14,0)</f>
        <v>0</v>
      </c>
      <c r="AA16" s="132">
        <f t="shared" si="34"/>
        <v>0</v>
      </c>
      <c r="AB16" s="218">
        <f t="shared" si="35"/>
        <v>12936.392036867404</v>
      </c>
      <c r="AC16" s="218">
        <f>Hatchery_Retrofit!$G$20*AVERAGE(AR16,AS16)</f>
        <v>0</v>
      </c>
      <c r="AD16" s="132">
        <f t="shared" si="36"/>
        <v>748.88463425188456</v>
      </c>
      <c r="AE16" s="132">
        <f t="shared" si="37"/>
        <v>12936.392036867404</v>
      </c>
      <c r="AF16" s="122">
        <f t="shared" si="38"/>
        <v>12187.50740261552</v>
      </c>
      <c r="AG16" s="438">
        <f t="shared" si="39"/>
        <v>12187.50740261552</v>
      </c>
      <c r="AH16" s="122">
        <f t="shared" si="40"/>
        <v>50150.084230190259</v>
      </c>
      <c r="AI16" s="122">
        <f t="shared" si="41"/>
        <v>43964.963669577752</v>
      </c>
      <c r="AJ16" s="122">
        <f>-Debt_Calc!CY14</f>
        <v>6000.8534998598661</v>
      </c>
      <c r="AK16" s="122">
        <f>Debt_Calc!CZ14</f>
        <v>6185.1205606125095</v>
      </c>
      <c r="AL16" s="122">
        <f t="shared" si="42"/>
        <v>12185.974060472376</v>
      </c>
      <c r="AM16" s="217">
        <f t="shared" si="43"/>
        <v>1.0001258284430554</v>
      </c>
      <c r="AN16" s="122">
        <f t="shared" si="44"/>
        <v>1.533342143144182</v>
      </c>
      <c r="AO16" s="122">
        <f t="shared" si="45"/>
        <v>750.41797639502875</v>
      </c>
      <c r="AP16" s="122">
        <f t="shared" si="46"/>
        <v>1.533342143144182</v>
      </c>
      <c r="AQ16" s="122">
        <f t="shared" si="47"/>
        <v>0</v>
      </c>
      <c r="AR16" s="122">
        <f t="shared" si="48"/>
        <v>0</v>
      </c>
      <c r="AS16" s="122">
        <f t="shared" si="49"/>
        <v>0</v>
      </c>
      <c r="AT16" s="122">
        <f t="shared" si="50"/>
        <v>-28057.191671124201</v>
      </c>
      <c r="AU16" s="122">
        <f t="shared" si="51"/>
        <v>0</v>
      </c>
      <c r="AV16" s="222">
        <f t="shared" si="52"/>
        <v>0.93653302347961942</v>
      </c>
    </row>
    <row r="17" spans="2:48" s="86" customFormat="1" x14ac:dyDescent="0.3">
      <c r="B17" s="184">
        <f t="shared" si="18"/>
        <v>6</v>
      </c>
      <c r="C17" s="346">
        <f t="shared" si="19"/>
        <v>2027</v>
      </c>
      <c r="D17" s="347">
        <f t="shared" si="20"/>
        <v>46388</v>
      </c>
      <c r="E17" s="440">
        <f t="shared" si="21"/>
        <v>46752</v>
      </c>
      <c r="F17" s="732">
        <f>IF(AND(B17&gt;0,B17&lt;=Hatchery_Retrofit!$J$10),1,0)</f>
        <v>1</v>
      </c>
      <c r="G17" s="217">
        <f t="shared" si="22"/>
        <v>0</v>
      </c>
      <c r="H17" s="438">
        <f>(Hatchery_Retrofit!$M$15*F17)+IF(B17=Hatchery_Retrofit!$J$10,Hatchery_Retrofit!$J$12,0)</f>
        <v>12936.392036867404</v>
      </c>
      <c r="I17" s="122">
        <f t="shared" si="23"/>
        <v>12936.392036867404</v>
      </c>
      <c r="J17" s="219">
        <f t="shared" si="24"/>
        <v>1</v>
      </c>
      <c r="K17" s="220">
        <f>Deprec!AA16</f>
        <v>3940</v>
      </c>
      <c r="L17" s="122">
        <f t="shared" si="25"/>
        <v>8996.3920368674044</v>
      </c>
      <c r="M17" s="221">
        <f t="shared" si="26"/>
        <v>5260.7549948834176</v>
      </c>
      <c r="N17" s="122">
        <f t="shared" si="27"/>
        <v>3735.6370419839868</v>
      </c>
      <c r="O17" s="438">
        <f>IF(N17&lt;0,0,(N17*Hatchery_Retrofit!$J$7))</f>
        <v>933.9092604959967</v>
      </c>
      <c r="P17" s="122">
        <f t="shared" si="28"/>
        <v>2801.7277814879899</v>
      </c>
      <c r="Q17" s="123">
        <f t="shared" si="29"/>
        <v>0.21657721670024765</v>
      </c>
      <c r="T17" s="218">
        <f t="shared" si="30"/>
        <v>12936.392036867404</v>
      </c>
      <c r="U17" s="438">
        <f t="shared" si="31"/>
        <v>12936.392036867404</v>
      </c>
      <c r="V17" s="218">
        <f>IF(B17=0,Hatchery_Retrofit!$C$29,0)</f>
        <v>0</v>
      </c>
      <c r="W17" s="435">
        <f t="shared" si="32"/>
        <v>0</v>
      </c>
      <c r="X17" s="438">
        <f t="shared" si="33"/>
        <v>12936.392036867404</v>
      </c>
      <c r="Y17" s="184">
        <f>IF(B17=0,Hatchery_Retrofit!$G$15+Hatchery_Retrofit!$G$16,0)</f>
        <v>0</v>
      </c>
      <c r="Z17" s="185">
        <f>IF(B17=0,Hatchery_Retrofit!$G$14,0)</f>
        <v>0</v>
      </c>
      <c r="AA17" s="132">
        <f t="shared" si="34"/>
        <v>0</v>
      </c>
      <c r="AB17" s="218">
        <f t="shared" si="35"/>
        <v>12936.392036867404</v>
      </c>
      <c r="AC17" s="218">
        <f>Hatchery_Retrofit!$G$20*AVERAGE(AR17,AS17)</f>
        <v>0</v>
      </c>
      <c r="AD17" s="132">
        <f t="shared" si="36"/>
        <v>933.9092604959967</v>
      </c>
      <c r="AE17" s="132">
        <f t="shared" si="37"/>
        <v>12936.392036867404</v>
      </c>
      <c r="AF17" s="122">
        <f t="shared" si="38"/>
        <v>12002.482776371407</v>
      </c>
      <c r="AG17" s="438">
        <f t="shared" si="39"/>
        <v>12002.482776371407</v>
      </c>
      <c r="AH17" s="122">
        <f t="shared" si="40"/>
        <v>43964.963669577752</v>
      </c>
      <c r="AI17" s="122">
        <f t="shared" si="41"/>
        <v>37039.744603988795</v>
      </c>
      <c r="AJ17" s="122">
        <f>-Debt_Calc!CY15</f>
        <v>5260.7549948834176</v>
      </c>
      <c r="AK17" s="122">
        <f>Debt_Calc!CZ15</f>
        <v>6925.2190655889599</v>
      </c>
      <c r="AL17" s="122">
        <f t="shared" si="42"/>
        <v>12185.974060472377</v>
      </c>
      <c r="AM17" s="217">
        <f t="shared" si="43"/>
        <v>0.98494241960549056</v>
      </c>
      <c r="AN17" s="122">
        <f t="shared" si="44"/>
        <v>-183.49128410097001</v>
      </c>
      <c r="AO17" s="122">
        <f t="shared" si="45"/>
        <v>750.4179763950267</v>
      </c>
      <c r="AP17" s="122">
        <f t="shared" si="46"/>
        <v>-183.49128410097001</v>
      </c>
      <c r="AQ17" s="122">
        <f t="shared" si="47"/>
        <v>0</v>
      </c>
      <c r="AR17" s="122">
        <f t="shared" si="48"/>
        <v>0</v>
      </c>
      <c r="AS17" s="122">
        <f t="shared" si="49"/>
        <v>0</v>
      </c>
      <c r="AT17" s="122">
        <f t="shared" si="50"/>
        <v>-28240.682955225173</v>
      </c>
      <c r="AU17" s="122">
        <f t="shared" si="51"/>
        <v>0</v>
      </c>
      <c r="AV17" s="222">
        <f t="shared" si="52"/>
        <v>-101.54914432016932</v>
      </c>
    </row>
    <row r="18" spans="2:48" s="86" customFormat="1" x14ac:dyDescent="0.3">
      <c r="B18" s="184">
        <f t="shared" si="18"/>
        <v>7</v>
      </c>
      <c r="C18" s="346">
        <f t="shared" si="19"/>
        <v>2028</v>
      </c>
      <c r="D18" s="347">
        <f t="shared" si="20"/>
        <v>46753</v>
      </c>
      <c r="E18" s="440">
        <f t="shared" si="21"/>
        <v>47118</v>
      </c>
      <c r="F18" s="732">
        <f>IF(AND(B18&gt;0,B18&lt;=Hatchery_Retrofit!$J$10),1,0)</f>
        <v>1</v>
      </c>
      <c r="G18" s="217">
        <f t="shared" si="22"/>
        <v>0</v>
      </c>
      <c r="H18" s="438">
        <f>(Hatchery_Retrofit!$M$15*F18)+IF(B18=Hatchery_Retrofit!$J$10,Hatchery_Retrofit!$J$12,0)</f>
        <v>12936.392036867404</v>
      </c>
      <c r="I18" s="122">
        <f t="shared" si="23"/>
        <v>12936.392036867404</v>
      </c>
      <c r="J18" s="219">
        <f t="shared" si="24"/>
        <v>1</v>
      </c>
      <c r="K18" s="220">
        <f>Deprec!AA17</f>
        <v>3940</v>
      </c>
      <c r="L18" s="122">
        <f t="shared" si="25"/>
        <v>8996.3920368674044</v>
      </c>
      <c r="M18" s="221">
        <f t="shared" si="26"/>
        <v>4432.0978609036029</v>
      </c>
      <c r="N18" s="122">
        <f t="shared" si="27"/>
        <v>4564.2941759638015</v>
      </c>
      <c r="O18" s="438">
        <f>IF(N18&lt;0,0,(N18*Hatchery_Retrofit!$J$7))</f>
        <v>1141.0735439909504</v>
      </c>
      <c r="P18" s="122">
        <f t="shared" si="28"/>
        <v>3423.2206319728512</v>
      </c>
      <c r="Q18" s="123">
        <f t="shared" si="29"/>
        <v>0.26461942574227959</v>
      </c>
      <c r="T18" s="218">
        <f t="shared" si="30"/>
        <v>12936.392036867404</v>
      </c>
      <c r="U18" s="438">
        <f t="shared" si="31"/>
        <v>12936.392036867404</v>
      </c>
      <c r="V18" s="218">
        <f>IF(B18=0,Hatchery_Retrofit!$C$29,0)</f>
        <v>0</v>
      </c>
      <c r="W18" s="435">
        <f t="shared" si="32"/>
        <v>0</v>
      </c>
      <c r="X18" s="438">
        <f t="shared" si="33"/>
        <v>12936.392036867404</v>
      </c>
      <c r="Y18" s="184">
        <f>IF(B18=0,Hatchery_Retrofit!$G$15+Hatchery_Retrofit!$G$16,0)</f>
        <v>0</v>
      </c>
      <c r="Z18" s="185">
        <f>IF(B18=0,Hatchery_Retrofit!$G$14,0)</f>
        <v>0</v>
      </c>
      <c r="AA18" s="132">
        <f t="shared" si="34"/>
        <v>0</v>
      </c>
      <c r="AB18" s="218">
        <f t="shared" si="35"/>
        <v>12936.392036867404</v>
      </c>
      <c r="AC18" s="218">
        <f>Hatchery_Retrofit!$G$20*AVERAGE(AR18,AS18)</f>
        <v>0</v>
      </c>
      <c r="AD18" s="132">
        <f t="shared" si="36"/>
        <v>1141.0735439909504</v>
      </c>
      <c r="AE18" s="132">
        <f t="shared" si="37"/>
        <v>12936.392036867404</v>
      </c>
      <c r="AF18" s="122">
        <f t="shared" si="38"/>
        <v>11795.318492876453</v>
      </c>
      <c r="AG18" s="438">
        <f t="shared" si="39"/>
        <v>11795.318492876453</v>
      </c>
      <c r="AH18" s="122">
        <f t="shared" si="40"/>
        <v>37039.744603988795</v>
      </c>
      <c r="AI18" s="122">
        <f t="shared" si="41"/>
        <v>29285.868404420016</v>
      </c>
      <c r="AJ18" s="122">
        <f>-Debt_Calc!CY16</f>
        <v>4432.0978609036029</v>
      </c>
      <c r="AK18" s="122">
        <f>Debt_Calc!CZ16</f>
        <v>7753.8761995687782</v>
      </c>
      <c r="AL18" s="122">
        <f t="shared" si="42"/>
        <v>12185.974060472381</v>
      </c>
      <c r="AM18" s="217">
        <f t="shared" si="43"/>
        <v>0.96794219603149356</v>
      </c>
      <c r="AN18" s="122">
        <f t="shared" si="44"/>
        <v>-390.65556759592801</v>
      </c>
      <c r="AO18" s="122">
        <f t="shared" si="45"/>
        <v>750.41797639502238</v>
      </c>
      <c r="AP18" s="122">
        <f t="shared" si="46"/>
        <v>-390.65556759592801</v>
      </c>
      <c r="AQ18" s="122">
        <f t="shared" si="47"/>
        <v>0</v>
      </c>
      <c r="AR18" s="122">
        <f t="shared" si="48"/>
        <v>0</v>
      </c>
      <c r="AS18" s="122">
        <f t="shared" si="49"/>
        <v>0</v>
      </c>
      <c r="AT18" s="122">
        <f t="shared" si="50"/>
        <v>-28631.338522821101</v>
      </c>
      <c r="AU18" s="122">
        <f t="shared" si="51"/>
        <v>0</v>
      </c>
      <c r="AV18" s="222">
        <f t="shared" si="52"/>
        <v>-195.89874388605736</v>
      </c>
    </row>
    <row r="19" spans="2:48" s="86" customFormat="1" x14ac:dyDescent="0.3">
      <c r="B19" s="184">
        <f t="shared" si="18"/>
        <v>8</v>
      </c>
      <c r="C19" s="346">
        <f t="shared" si="19"/>
        <v>2029</v>
      </c>
      <c r="D19" s="347">
        <f t="shared" si="20"/>
        <v>47119</v>
      </c>
      <c r="E19" s="440">
        <f t="shared" si="21"/>
        <v>47483</v>
      </c>
      <c r="F19" s="732">
        <f>IF(AND(B19&gt;0,B19&lt;=Hatchery_Retrofit!$J$10),1,0)</f>
        <v>1</v>
      </c>
      <c r="G19" s="217">
        <f t="shared" si="22"/>
        <v>0</v>
      </c>
      <c r="H19" s="438">
        <f>(Hatchery_Retrofit!$M$15*F19)+IF(B19=Hatchery_Retrofit!$J$10,Hatchery_Retrofit!$J$12,0)</f>
        <v>12936.392036867404</v>
      </c>
      <c r="I19" s="122">
        <f t="shared" si="23"/>
        <v>12936.392036867404</v>
      </c>
      <c r="J19" s="219">
        <f t="shared" si="24"/>
        <v>1</v>
      </c>
      <c r="K19" s="220">
        <f>Deprec!AA18</f>
        <v>3940</v>
      </c>
      <c r="L19" s="122">
        <f t="shared" si="25"/>
        <v>8996.3920368674044</v>
      </c>
      <c r="M19" s="221">
        <f t="shared" si="26"/>
        <v>3504.2853588130974</v>
      </c>
      <c r="N19" s="122">
        <f t="shared" si="27"/>
        <v>5492.1066780543069</v>
      </c>
      <c r="O19" s="438">
        <f>IF(N19&lt;0,0,(N19*Hatchery_Retrofit!$J$7))</f>
        <v>1373.0266695135767</v>
      </c>
      <c r="P19" s="122">
        <f t="shared" si="28"/>
        <v>4119.08000854073</v>
      </c>
      <c r="Q19" s="123">
        <f t="shared" si="29"/>
        <v>0.31841026437678838</v>
      </c>
      <c r="T19" s="218">
        <f t="shared" si="30"/>
        <v>12936.392036867404</v>
      </c>
      <c r="U19" s="438">
        <f t="shared" si="31"/>
        <v>12936.392036867404</v>
      </c>
      <c r="V19" s="218">
        <f>IF(B19=0,Hatchery_Retrofit!$C$29,0)</f>
        <v>0</v>
      </c>
      <c r="W19" s="435">
        <f t="shared" si="32"/>
        <v>0</v>
      </c>
      <c r="X19" s="438">
        <f t="shared" si="33"/>
        <v>12936.392036867404</v>
      </c>
      <c r="Y19" s="184">
        <f>IF(B19=0,Hatchery_Retrofit!$G$15+Hatchery_Retrofit!$G$16,0)</f>
        <v>0</v>
      </c>
      <c r="Z19" s="185">
        <f>IF(B19=0,Hatchery_Retrofit!$G$14,0)</f>
        <v>0</v>
      </c>
      <c r="AA19" s="132">
        <f t="shared" si="34"/>
        <v>0</v>
      </c>
      <c r="AB19" s="218">
        <f t="shared" si="35"/>
        <v>12936.392036867404</v>
      </c>
      <c r="AC19" s="218">
        <f>Hatchery_Retrofit!$G$20*AVERAGE(AR19,AS19)</f>
        <v>0</v>
      </c>
      <c r="AD19" s="132">
        <f t="shared" si="36"/>
        <v>1373.0266695135767</v>
      </c>
      <c r="AE19" s="132">
        <f t="shared" si="37"/>
        <v>12936.392036867404</v>
      </c>
      <c r="AF19" s="122">
        <f t="shared" si="38"/>
        <v>11563.365367353828</v>
      </c>
      <c r="AG19" s="438">
        <f t="shared" si="39"/>
        <v>11563.365367353828</v>
      </c>
      <c r="AH19" s="122">
        <f t="shared" si="40"/>
        <v>29285.868404420016</v>
      </c>
      <c r="AI19" s="122">
        <f t="shared" si="41"/>
        <v>20604.179702760732</v>
      </c>
      <c r="AJ19" s="122">
        <f>-Debt_Calc!CY17</f>
        <v>3504.2853588130974</v>
      </c>
      <c r="AK19" s="122">
        <f>Debt_Calc!CZ17</f>
        <v>8681.6887016592846</v>
      </c>
      <c r="AL19" s="122">
        <f t="shared" si="42"/>
        <v>12185.974060472381</v>
      </c>
      <c r="AM19" s="217">
        <f t="shared" si="43"/>
        <v>0.94890776149457701</v>
      </c>
      <c r="AN19" s="122">
        <f t="shared" si="44"/>
        <v>-622.60869311855276</v>
      </c>
      <c r="AO19" s="122">
        <f t="shared" si="45"/>
        <v>750.41797639502397</v>
      </c>
      <c r="AP19" s="122">
        <f t="shared" si="46"/>
        <v>-622.60869311855276</v>
      </c>
      <c r="AQ19" s="122">
        <f t="shared" si="47"/>
        <v>0</v>
      </c>
      <c r="AR19" s="122">
        <f t="shared" si="48"/>
        <v>0</v>
      </c>
      <c r="AS19" s="122">
        <f t="shared" si="49"/>
        <v>0</v>
      </c>
      <c r="AT19" s="122">
        <f t="shared" si="50"/>
        <v>-29253.947215939654</v>
      </c>
      <c r="AU19" s="122">
        <f t="shared" si="51"/>
        <v>0</v>
      </c>
      <c r="AV19" s="222">
        <f t="shared" si="52"/>
        <v>-282.89783117463315</v>
      </c>
    </row>
    <row r="20" spans="2:48" s="86" customFormat="1" x14ac:dyDescent="0.3">
      <c r="B20" s="184">
        <f t="shared" si="18"/>
        <v>9</v>
      </c>
      <c r="C20" s="346">
        <f t="shared" si="19"/>
        <v>2030</v>
      </c>
      <c r="D20" s="347">
        <f t="shared" si="20"/>
        <v>47484</v>
      </c>
      <c r="E20" s="440">
        <f t="shared" si="21"/>
        <v>47848</v>
      </c>
      <c r="F20" s="732">
        <f>IF(AND(B20&gt;0,B20&lt;=Hatchery_Retrofit!$J$10),1,0)</f>
        <v>1</v>
      </c>
      <c r="G20" s="217">
        <f t="shared" si="22"/>
        <v>0</v>
      </c>
      <c r="H20" s="438">
        <f>(Hatchery_Retrofit!$M$15*F20)+IF(B20=Hatchery_Retrofit!$J$10,Hatchery_Retrofit!$J$12,0)</f>
        <v>12936.392036867404</v>
      </c>
      <c r="I20" s="122">
        <f t="shared" si="23"/>
        <v>12936.392036867404</v>
      </c>
      <c r="J20" s="219">
        <f t="shared" si="24"/>
        <v>1</v>
      </c>
      <c r="K20" s="220">
        <f>Deprec!AA19</f>
        <v>3940</v>
      </c>
      <c r="L20" s="122">
        <f t="shared" si="25"/>
        <v>8996.3920368674044</v>
      </c>
      <c r="M20" s="221">
        <f t="shared" si="26"/>
        <v>2465.4527660119202</v>
      </c>
      <c r="N20" s="122">
        <f t="shared" si="27"/>
        <v>6530.9392708554842</v>
      </c>
      <c r="O20" s="438">
        <f>IF(N20&lt;0,0,(N20*Hatchery_Retrofit!$J$7))</f>
        <v>1632.7348177138711</v>
      </c>
      <c r="P20" s="122">
        <f t="shared" si="28"/>
        <v>4898.2044531416132</v>
      </c>
      <c r="Q20" s="123">
        <f t="shared" si="29"/>
        <v>0.37863760151843168</v>
      </c>
      <c r="T20" s="218">
        <f t="shared" si="30"/>
        <v>12936.392036867404</v>
      </c>
      <c r="U20" s="438">
        <f t="shared" si="31"/>
        <v>12936.392036867404</v>
      </c>
      <c r="V20" s="218">
        <f>IF(B20=0,Hatchery_Retrofit!$C$29,0)</f>
        <v>0</v>
      </c>
      <c r="W20" s="435">
        <f t="shared" si="32"/>
        <v>0</v>
      </c>
      <c r="X20" s="438">
        <f t="shared" si="33"/>
        <v>12936.392036867404</v>
      </c>
      <c r="Y20" s="184">
        <f>IF(B20=0,Hatchery_Retrofit!$G$15+Hatchery_Retrofit!$G$16,0)</f>
        <v>0</v>
      </c>
      <c r="Z20" s="185">
        <f>IF(B20=0,Hatchery_Retrofit!$G$14,0)</f>
        <v>0</v>
      </c>
      <c r="AA20" s="132">
        <f t="shared" si="34"/>
        <v>0</v>
      </c>
      <c r="AB20" s="218">
        <f t="shared" si="35"/>
        <v>12936.392036867404</v>
      </c>
      <c r="AC20" s="218">
        <f>Hatchery_Retrofit!$G$20*AVERAGE(AR20,AS20)</f>
        <v>0</v>
      </c>
      <c r="AD20" s="132">
        <f t="shared" si="36"/>
        <v>1632.7348177138711</v>
      </c>
      <c r="AE20" s="132">
        <f t="shared" si="37"/>
        <v>12936.392036867404</v>
      </c>
      <c r="AF20" s="122">
        <f t="shared" si="38"/>
        <v>11303.657219153534</v>
      </c>
      <c r="AG20" s="438">
        <f t="shared" si="39"/>
        <v>11303.657219153534</v>
      </c>
      <c r="AH20" s="122">
        <f t="shared" si="40"/>
        <v>20604.179702760732</v>
      </c>
      <c r="AI20" s="122">
        <f t="shared" si="41"/>
        <v>10883.65840830026</v>
      </c>
      <c r="AJ20" s="122">
        <f>-Debt_Calc!CY18</f>
        <v>2465.4527660119202</v>
      </c>
      <c r="AK20" s="122">
        <f>Debt_Calc!CZ18</f>
        <v>9720.5212944604718</v>
      </c>
      <c r="AL20" s="122">
        <f t="shared" si="42"/>
        <v>12185.974060472392</v>
      </c>
      <c r="AM20" s="217">
        <f t="shared" si="43"/>
        <v>0.9275957065934658</v>
      </c>
      <c r="AN20" s="122">
        <f t="shared" si="44"/>
        <v>-882.31684131885777</v>
      </c>
      <c r="AO20" s="122">
        <f t="shared" si="45"/>
        <v>750.41797639501328</v>
      </c>
      <c r="AP20" s="122">
        <f t="shared" si="46"/>
        <v>-882.31684131885777</v>
      </c>
      <c r="AQ20" s="122">
        <f t="shared" si="47"/>
        <v>0</v>
      </c>
      <c r="AR20" s="122">
        <f t="shared" si="48"/>
        <v>0</v>
      </c>
      <c r="AS20" s="122">
        <f t="shared" si="49"/>
        <v>0</v>
      </c>
      <c r="AT20" s="122">
        <f t="shared" si="50"/>
        <v>-30136.264057258511</v>
      </c>
      <c r="AU20" s="122">
        <f t="shared" si="51"/>
        <v>0</v>
      </c>
      <c r="AV20" s="222">
        <f t="shared" si="52"/>
        <v>-363.25852188969759</v>
      </c>
    </row>
    <row r="21" spans="2:48" s="86" customFormat="1" x14ac:dyDescent="0.3">
      <c r="B21" s="184">
        <f t="shared" si="18"/>
        <v>10</v>
      </c>
      <c r="C21" s="346">
        <f t="shared" si="19"/>
        <v>2031</v>
      </c>
      <c r="D21" s="347">
        <f t="shared" si="20"/>
        <v>47849</v>
      </c>
      <c r="E21" s="440">
        <f t="shared" si="21"/>
        <v>48213</v>
      </c>
      <c r="F21" s="732">
        <f>IF(AND(B21&gt;0,B21&lt;=Hatchery_Retrofit!$J$10),1,0)</f>
        <v>1</v>
      </c>
      <c r="G21" s="217">
        <f t="shared" si="22"/>
        <v>0</v>
      </c>
      <c r="H21" s="438">
        <f>(Hatchery_Retrofit!$M$15*F21)+IF(B21=Hatchery_Retrofit!$J$10,Hatchery_Retrofit!$J$12,0)</f>
        <v>12936.392036867404</v>
      </c>
      <c r="I21" s="122">
        <f t="shared" si="23"/>
        <v>12936.392036867404</v>
      </c>
      <c r="J21" s="219">
        <f t="shared" si="24"/>
        <v>1</v>
      </c>
      <c r="K21" s="220">
        <f>Deprec!AA20</f>
        <v>3940</v>
      </c>
      <c r="L21" s="122">
        <f t="shared" si="25"/>
        <v>8996.3920368674044</v>
      </c>
      <c r="M21" s="221">
        <f t="shared" si="26"/>
        <v>1302.3156521721378</v>
      </c>
      <c r="N21" s="122">
        <f t="shared" si="27"/>
        <v>7694.0763846952668</v>
      </c>
      <c r="O21" s="438">
        <f>IF(N21&lt;0,0,(N21*Hatchery_Retrofit!$J$7))</f>
        <v>1923.5190961738167</v>
      </c>
      <c r="P21" s="122">
        <f t="shared" si="28"/>
        <v>5770.5572885214497</v>
      </c>
      <c r="Q21" s="123">
        <f t="shared" si="29"/>
        <v>0.44607161502805009</v>
      </c>
      <c r="T21" s="218">
        <f t="shared" si="30"/>
        <v>12936.392036867404</v>
      </c>
      <c r="U21" s="438">
        <f t="shared" si="31"/>
        <v>12936.392036867404</v>
      </c>
      <c r="V21" s="218">
        <f>IF(B21=0,Hatchery_Retrofit!$C$29,0)</f>
        <v>0</v>
      </c>
      <c r="W21" s="435">
        <f t="shared" si="32"/>
        <v>0</v>
      </c>
      <c r="X21" s="438">
        <f t="shared" si="33"/>
        <v>12936.392036867404</v>
      </c>
      <c r="Y21" s="184">
        <f>IF(B21=0,Hatchery_Retrofit!$G$15+Hatchery_Retrofit!$G$16,0)</f>
        <v>0</v>
      </c>
      <c r="Z21" s="185">
        <f>IF(B21=0,Hatchery_Retrofit!$G$14,0)</f>
        <v>0</v>
      </c>
      <c r="AA21" s="132">
        <f t="shared" si="34"/>
        <v>0</v>
      </c>
      <c r="AB21" s="218">
        <f t="shared" si="35"/>
        <v>12936.392036867404</v>
      </c>
      <c r="AC21" s="218">
        <f>Hatchery_Retrofit!$G$20*AVERAGE(AR21,AS21)</f>
        <v>0</v>
      </c>
      <c r="AD21" s="132">
        <f t="shared" si="36"/>
        <v>1923.5190961738167</v>
      </c>
      <c r="AE21" s="132">
        <f t="shared" si="37"/>
        <v>12936.392036867404</v>
      </c>
      <c r="AF21" s="122">
        <f t="shared" si="38"/>
        <v>11012.872940693587</v>
      </c>
      <c r="AG21" s="438">
        <f t="shared" si="39"/>
        <v>11012.872940693587</v>
      </c>
      <c r="AH21" s="122">
        <f t="shared" si="40"/>
        <v>10883.65840830026</v>
      </c>
      <c r="AI21" s="122">
        <f t="shared" si="41"/>
        <v>0</v>
      </c>
      <c r="AJ21" s="122">
        <f>-Debt_Calc!CY19</f>
        <v>1302.3156521721378</v>
      </c>
      <c r="AK21" s="122">
        <f>Debt_Calc!CZ19</f>
        <v>10883.658408300247</v>
      </c>
      <c r="AL21" s="122">
        <f t="shared" si="42"/>
        <v>12185.974060472385</v>
      </c>
      <c r="AM21" s="217">
        <f t="shared" si="43"/>
        <v>0.90373349607037301</v>
      </c>
      <c r="AN21" s="122">
        <f t="shared" si="44"/>
        <v>-1173.1011197787975</v>
      </c>
      <c r="AO21" s="122">
        <f t="shared" si="45"/>
        <v>750.4179763950192</v>
      </c>
      <c r="AP21" s="122">
        <f t="shared" si="46"/>
        <v>-1173.1011197787975</v>
      </c>
      <c r="AQ21" s="122">
        <f t="shared" si="47"/>
        <v>0</v>
      </c>
      <c r="AR21" s="122">
        <f t="shared" si="48"/>
        <v>0</v>
      </c>
      <c r="AS21" s="122">
        <f t="shared" si="49"/>
        <v>0</v>
      </c>
      <c r="AT21" s="122">
        <f t="shared" si="50"/>
        <v>-31309.365177037311</v>
      </c>
      <c r="AU21" s="122">
        <f t="shared" si="51"/>
        <v>0</v>
      </c>
      <c r="AV21" s="222">
        <f t="shared" si="52"/>
        <v>-437.62638332697452</v>
      </c>
    </row>
    <row r="22" spans="2:48" s="86" customFormat="1" x14ac:dyDescent="0.3">
      <c r="B22" s="184">
        <f t="shared" si="18"/>
        <v>11</v>
      </c>
      <c r="C22" s="346">
        <f t="shared" si="19"/>
        <v>2032</v>
      </c>
      <c r="D22" s="347">
        <f t="shared" si="20"/>
        <v>48214</v>
      </c>
      <c r="E22" s="440">
        <f t="shared" si="21"/>
        <v>48579</v>
      </c>
      <c r="F22" s="732">
        <f>IF(AND(B22&gt;0,B22&lt;=Hatchery_Retrofit!$J$10),1,0)</f>
        <v>1</v>
      </c>
      <c r="G22" s="217">
        <f t="shared" si="22"/>
        <v>0</v>
      </c>
      <c r="H22" s="438">
        <f>(Hatchery_Retrofit!$M$15*F22)+IF(B22=Hatchery_Retrofit!$J$10,Hatchery_Retrofit!$J$12,0)</f>
        <v>12936.392036867404</v>
      </c>
      <c r="I22" s="122">
        <f t="shared" si="23"/>
        <v>12936.392036867404</v>
      </c>
      <c r="J22" s="219">
        <f t="shared" si="24"/>
        <v>1</v>
      </c>
      <c r="K22" s="220">
        <f>Deprec!AA21</f>
        <v>3940</v>
      </c>
      <c r="L22" s="122">
        <f t="shared" si="25"/>
        <v>8996.3920368674044</v>
      </c>
      <c r="M22" s="221">
        <f t="shared" si="26"/>
        <v>0</v>
      </c>
      <c r="N22" s="122">
        <f t="shared" si="27"/>
        <v>8996.3920368674044</v>
      </c>
      <c r="O22" s="438">
        <f>IF(N22&lt;0,0,(N22*Hatchery_Retrofit!$J$7))</f>
        <v>2249.0980092168511</v>
      </c>
      <c r="P22" s="122">
        <f t="shared" si="28"/>
        <v>6747.2940276505533</v>
      </c>
      <c r="Q22" s="123">
        <f t="shared" si="29"/>
        <v>0.52157464062788528</v>
      </c>
      <c r="T22" s="218">
        <f t="shared" si="30"/>
        <v>12936.392036867404</v>
      </c>
      <c r="U22" s="438">
        <f t="shared" si="31"/>
        <v>12936.392036867404</v>
      </c>
      <c r="V22" s="218">
        <f>IF(B22=0,Hatchery_Retrofit!$C$29,0)</f>
        <v>0</v>
      </c>
      <c r="W22" s="435">
        <f t="shared" si="32"/>
        <v>0</v>
      </c>
      <c r="X22" s="438">
        <f t="shared" si="33"/>
        <v>12936.392036867404</v>
      </c>
      <c r="Y22" s="184">
        <f>IF(B22=0,Hatchery_Retrofit!$G$15+Hatchery_Retrofit!$G$16,0)</f>
        <v>0</v>
      </c>
      <c r="Z22" s="185">
        <f>IF(B22=0,Hatchery_Retrofit!$G$14,0)</f>
        <v>0</v>
      </c>
      <c r="AA22" s="132">
        <f t="shared" si="34"/>
        <v>0</v>
      </c>
      <c r="AB22" s="218">
        <f t="shared" si="35"/>
        <v>12936.392036867404</v>
      </c>
      <c r="AC22" s="218">
        <f>Hatchery_Retrofit!$G$20*AVERAGE(AR22,AS22)</f>
        <v>0</v>
      </c>
      <c r="AD22" s="132">
        <f t="shared" si="36"/>
        <v>2249.0980092168511</v>
      </c>
      <c r="AE22" s="132">
        <f t="shared" si="37"/>
        <v>12936.392036867404</v>
      </c>
      <c r="AF22" s="122">
        <f t="shared" si="38"/>
        <v>10687.294027650554</v>
      </c>
      <c r="AG22" s="438">
        <f t="shared" si="39"/>
        <v>10687.294027650554</v>
      </c>
      <c r="AH22" s="122">
        <f t="shared" si="40"/>
        <v>0</v>
      </c>
      <c r="AI22" s="122">
        <f t="shared" si="41"/>
        <v>0</v>
      </c>
      <c r="AJ22" s="122">
        <f>-Debt_Calc!CY20</f>
        <v>0</v>
      </c>
      <c r="AK22" s="122">
        <f>Debt_Calc!CZ20</f>
        <v>0</v>
      </c>
      <c r="AL22" s="122">
        <f t="shared" si="42"/>
        <v>0</v>
      </c>
      <c r="AM22" s="217">
        <f t="shared" si="43"/>
        <v>0</v>
      </c>
      <c r="AN22" s="122">
        <f t="shared" si="44"/>
        <v>10687.294027650554</v>
      </c>
      <c r="AO22" s="122">
        <f t="shared" si="45"/>
        <v>12936.392036867404</v>
      </c>
      <c r="AP22" s="122">
        <f t="shared" si="46"/>
        <v>10687.294027650554</v>
      </c>
      <c r="AQ22" s="122">
        <f t="shared" si="47"/>
        <v>0</v>
      </c>
      <c r="AR22" s="122">
        <f t="shared" si="48"/>
        <v>0</v>
      </c>
      <c r="AS22" s="122">
        <f t="shared" si="49"/>
        <v>0</v>
      </c>
      <c r="AT22" s="122">
        <f t="shared" si="50"/>
        <v>-20622.071149386757</v>
      </c>
      <c r="AU22" s="122">
        <f t="shared" si="51"/>
        <v>0</v>
      </c>
      <c r="AV22" s="222">
        <f t="shared" si="52"/>
        <v>3612.5395444146111</v>
      </c>
    </row>
    <row r="23" spans="2:48" s="86" customFormat="1" x14ac:dyDescent="0.3">
      <c r="B23" s="184">
        <f t="shared" si="18"/>
        <v>12</v>
      </c>
      <c r="C23" s="346">
        <f t="shared" si="19"/>
        <v>2033</v>
      </c>
      <c r="D23" s="347">
        <f t="shared" si="20"/>
        <v>48580</v>
      </c>
      <c r="E23" s="440">
        <f t="shared" si="21"/>
        <v>48944</v>
      </c>
      <c r="F23" s="732">
        <f>IF(AND(B23&gt;0,B23&lt;=Hatchery_Retrofit!$J$10),1,0)</f>
        <v>1</v>
      </c>
      <c r="G23" s="217">
        <f t="shared" si="22"/>
        <v>0</v>
      </c>
      <c r="H23" s="438">
        <f>(Hatchery_Retrofit!$M$15*F23)+IF(B23=Hatchery_Retrofit!$J$10,Hatchery_Retrofit!$J$12,0)</f>
        <v>12936.392036867404</v>
      </c>
      <c r="I23" s="122">
        <f t="shared" si="23"/>
        <v>12936.392036867404</v>
      </c>
      <c r="J23" s="219">
        <f t="shared" si="24"/>
        <v>1</v>
      </c>
      <c r="K23" s="220">
        <f>Deprec!AA22</f>
        <v>3940</v>
      </c>
      <c r="L23" s="122">
        <f t="shared" si="25"/>
        <v>8996.3920368674044</v>
      </c>
      <c r="M23" s="221">
        <f t="shared" si="26"/>
        <v>0</v>
      </c>
      <c r="N23" s="122">
        <f t="shared" si="27"/>
        <v>8996.3920368674044</v>
      </c>
      <c r="O23" s="438">
        <f>IF(N23&lt;0,0,(N23*Hatchery_Retrofit!$J$7))</f>
        <v>2249.0980092168511</v>
      </c>
      <c r="P23" s="122">
        <f t="shared" si="28"/>
        <v>6747.2940276505533</v>
      </c>
      <c r="Q23" s="123">
        <f t="shared" si="29"/>
        <v>0.52157464062788528</v>
      </c>
      <c r="T23" s="218">
        <f t="shared" si="30"/>
        <v>12936.392036867404</v>
      </c>
      <c r="U23" s="438">
        <f t="shared" si="31"/>
        <v>12936.392036867404</v>
      </c>
      <c r="V23" s="218">
        <f>IF(B23=0,Hatchery_Retrofit!$C$29,0)</f>
        <v>0</v>
      </c>
      <c r="W23" s="435">
        <f t="shared" si="32"/>
        <v>0</v>
      </c>
      <c r="X23" s="438">
        <f t="shared" si="33"/>
        <v>12936.392036867404</v>
      </c>
      <c r="Y23" s="184">
        <f>IF(B23=0,Hatchery_Retrofit!$G$15+Hatchery_Retrofit!$G$16,0)</f>
        <v>0</v>
      </c>
      <c r="Z23" s="185">
        <f>IF(B23=0,Hatchery_Retrofit!$G$14,0)</f>
        <v>0</v>
      </c>
      <c r="AA23" s="132">
        <f t="shared" si="34"/>
        <v>0</v>
      </c>
      <c r="AB23" s="218">
        <f t="shared" si="35"/>
        <v>12936.392036867404</v>
      </c>
      <c r="AC23" s="218">
        <f>Hatchery_Retrofit!$G$20*AVERAGE(AR23,AS23)</f>
        <v>0</v>
      </c>
      <c r="AD23" s="132">
        <f t="shared" si="36"/>
        <v>2249.0980092168511</v>
      </c>
      <c r="AE23" s="132">
        <f t="shared" si="37"/>
        <v>12936.392036867404</v>
      </c>
      <c r="AF23" s="122">
        <f t="shared" si="38"/>
        <v>10687.294027650554</v>
      </c>
      <c r="AG23" s="438">
        <f t="shared" si="39"/>
        <v>10687.294027650554</v>
      </c>
      <c r="AH23" s="122">
        <f t="shared" si="40"/>
        <v>0</v>
      </c>
      <c r="AI23" s="122">
        <f t="shared" si="41"/>
        <v>0</v>
      </c>
      <c r="AJ23" s="122">
        <f>-Debt_Calc!CY21</f>
        <v>0</v>
      </c>
      <c r="AK23" s="122">
        <f>Debt_Calc!CZ21</f>
        <v>0</v>
      </c>
      <c r="AL23" s="122">
        <f t="shared" si="42"/>
        <v>0</v>
      </c>
      <c r="AM23" s="217">
        <f t="shared" si="43"/>
        <v>0</v>
      </c>
      <c r="AN23" s="122">
        <f t="shared" si="44"/>
        <v>10687.294027650554</v>
      </c>
      <c r="AO23" s="122">
        <f t="shared" si="45"/>
        <v>12936.392036867404</v>
      </c>
      <c r="AP23" s="122">
        <f t="shared" si="46"/>
        <v>10687.294027650554</v>
      </c>
      <c r="AQ23" s="122">
        <f t="shared" si="47"/>
        <v>0</v>
      </c>
      <c r="AR23" s="122">
        <f t="shared" si="48"/>
        <v>0</v>
      </c>
      <c r="AS23" s="122">
        <f t="shared" si="49"/>
        <v>0</v>
      </c>
      <c r="AT23" s="122">
        <f t="shared" si="50"/>
        <v>-9934.7771217362024</v>
      </c>
      <c r="AU23" s="122">
        <f t="shared" si="51"/>
        <v>0</v>
      </c>
      <c r="AV23" s="222">
        <f t="shared" si="52"/>
        <v>3273.3271636001696</v>
      </c>
    </row>
    <row r="24" spans="2:48" s="86" customFormat="1" x14ac:dyDescent="0.3">
      <c r="B24" s="184">
        <f t="shared" si="18"/>
        <v>13</v>
      </c>
      <c r="C24" s="346">
        <f t="shared" si="19"/>
        <v>2034</v>
      </c>
      <c r="D24" s="347">
        <f t="shared" si="20"/>
        <v>48945</v>
      </c>
      <c r="E24" s="440">
        <f t="shared" si="21"/>
        <v>49309</v>
      </c>
      <c r="F24" s="732">
        <f>IF(AND(B24&gt;0,B24&lt;=Hatchery_Retrofit!$J$10),1,0)</f>
        <v>1</v>
      </c>
      <c r="G24" s="217">
        <f t="shared" si="22"/>
        <v>0</v>
      </c>
      <c r="H24" s="438">
        <f>(Hatchery_Retrofit!$M$15*F24)+IF(B24=Hatchery_Retrofit!$J$10,Hatchery_Retrofit!$J$12,0)</f>
        <v>12936.392036867404</v>
      </c>
      <c r="I24" s="122">
        <f t="shared" si="23"/>
        <v>12936.392036867404</v>
      </c>
      <c r="J24" s="219">
        <f t="shared" si="24"/>
        <v>1</v>
      </c>
      <c r="K24" s="220">
        <f>Deprec!AA23</f>
        <v>3940</v>
      </c>
      <c r="L24" s="122">
        <f t="shared" si="25"/>
        <v>8996.3920368674044</v>
      </c>
      <c r="M24" s="221">
        <f t="shared" si="26"/>
        <v>0</v>
      </c>
      <c r="N24" s="122">
        <f t="shared" si="27"/>
        <v>8996.3920368674044</v>
      </c>
      <c r="O24" s="438">
        <f>IF(N24&lt;0,0,(N24*Hatchery_Retrofit!$J$7))</f>
        <v>2249.0980092168511</v>
      </c>
      <c r="P24" s="122">
        <f t="shared" si="28"/>
        <v>6747.2940276505533</v>
      </c>
      <c r="Q24" s="123">
        <f t="shared" si="29"/>
        <v>0.52157464062788528</v>
      </c>
      <c r="T24" s="218">
        <f t="shared" si="30"/>
        <v>12936.392036867404</v>
      </c>
      <c r="U24" s="438">
        <f t="shared" si="31"/>
        <v>12936.392036867404</v>
      </c>
      <c r="V24" s="218">
        <f>IF(B24=0,Hatchery_Retrofit!$C$29,0)</f>
        <v>0</v>
      </c>
      <c r="W24" s="435">
        <f t="shared" si="32"/>
        <v>0</v>
      </c>
      <c r="X24" s="438">
        <f t="shared" si="33"/>
        <v>12936.392036867404</v>
      </c>
      <c r="Y24" s="184">
        <f>IF(B24=0,Hatchery_Retrofit!$G$15+Hatchery_Retrofit!$G$16,0)</f>
        <v>0</v>
      </c>
      <c r="Z24" s="185">
        <f>IF(B24=0,Hatchery_Retrofit!$G$14,0)</f>
        <v>0</v>
      </c>
      <c r="AA24" s="132">
        <f t="shared" si="34"/>
        <v>0</v>
      </c>
      <c r="AB24" s="218">
        <f t="shared" si="35"/>
        <v>12936.392036867404</v>
      </c>
      <c r="AC24" s="218">
        <f>Hatchery_Retrofit!$G$20*AVERAGE(AR24,AS24)</f>
        <v>0</v>
      </c>
      <c r="AD24" s="132">
        <f t="shared" si="36"/>
        <v>2249.0980092168511</v>
      </c>
      <c r="AE24" s="132">
        <f t="shared" si="37"/>
        <v>12936.392036867404</v>
      </c>
      <c r="AF24" s="122">
        <f t="shared" si="38"/>
        <v>10687.294027650554</v>
      </c>
      <c r="AG24" s="438">
        <f t="shared" si="39"/>
        <v>10687.294027650554</v>
      </c>
      <c r="AH24" s="122">
        <f t="shared" si="40"/>
        <v>0</v>
      </c>
      <c r="AI24" s="122">
        <f t="shared" si="41"/>
        <v>0</v>
      </c>
      <c r="AJ24" s="122">
        <f>-Debt_Calc!CY22</f>
        <v>0</v>
      </c>
      <c r="AK24" s="122">
        <f>Debt_Calc!CZ22</f>
        <v>0</v>
      </c>
      <c r="AL24" s="122">
        <f t="shared" si="42"/>
        <v>0</v>
      </c>
      <c r="AM24" s="217">
        <f t="shared" si="43"/>
        <v>0</v>
      </c>
      <c r="AN24" s="122">
        <f t="shared" si="44"/>
        <v>10687.294027650554</v>
      </c>
      <c r="AO24" s="122">
        <f t="shared" si="45"/>
        <v>12936.392036867404</v>
      </c>
      <c r="AP24" s="122">
        <f t="shared" si="46"/>
        <v>10687.294027650554</v>
      </c>
      <c r="AQ24" s="122">
        <f t="shared" si="47"/>
        <v>0</v>
      </c>
      <c r="AR24" s="122">
        <f t="shared" si="48"/>
        <v>0</v>
      </c>
      <c r="AS24" s="122">
        <f t="shared" si="49"/>
        <v>0</v>
      </c>
      <c r="AT24" s="122">
        <f t="shared" si="50"/>
        <v>752.51690591435181</v>
      </c>
      <c r="AU24" s="122">
        <f t="shared" si="51"/>
        <v>1</v>
      </c>
      <c r="AV24" s="222">
        <f t="shared" si="52"/>
        <v>2965.9663481134226</v>
      </c>
    </row>
    <row r="25" spans="2:48" s="86" customFormat="1" x14ac:dyDescent="0.3">
      <c r="B25" s="184">
        <f t="shared" si="18"/>
        <v>14</v>
      </c>
      <c r="C25" s="346">
        <f t="shared" si="19"/>
        <v>2035</v>
      </c>
      <c r="D25" s="347">
        <f t="shared" si="20"/>
        <v>49310</v>
      </c>
      <c r="E25" s="440">
        <f t="shared" si="21"/>
        <v>49674</v>
      </c>
      <c r="F25" s="732">
        <f>IF(AND(B25&gt;0,B25&lt;=Hatchery_Retrofit!$J$10),1,0)</f>
        <v>1</v>
      </c>
      <c r="G25" s="217">
        <f t="shared" si="22"/>
        <v>0</v>
      </c>
      <c r="H25" s="438">
        <f>(Hatchery_Retrofit!$M$15*F25)+IF(B25=Hatchery_Retrofit!$J$10,Hatchery_Retrofit!$J$12,0)</f>
        <v>12936.392036867404</v>
      </c>
      <c r="I25" s="122">
        <f t="shared" si="23"/>
        <v>12936.392036867404</v>
      </c>
      <c r="J25" s="219">
        <f t="shared" si="24"/>
        <v>1</v>
      </c>
      <c r="K25" s="220">
        <f>Deprec!AA24</f>
        <v>3940</v>
      </c>
      <c r="L25" s="122">
        <f t="shared" si="25"/>
        <v>8996.3920368674044</v>
      </c>
      <c r="M25" s="221">
        <f t="shared" si="26"/>
        <v>0</v>
      </c>
      <c r="N25" s="122">
        <f t="shared" si="27"/>
        <v>8996.3920368674044</v>
      </c>
      <c r="O25" s="438">
        <f>IF(N25&lt;0,0,(N25*Hatchery_Retrofit!$J$7))</f>
        <v>2249.0980092168511</v>
      </c>
      <c r="P25" s="122">
        <f t="shared" si="28"/>
        <v>6747.2940276505533</v>
      </c>
      <c r="Q25" s="123">
        <f t="shared" si="29"/>
        <v>0.52157464062788528</v>
      </c>
      <c r="T25" s="218">
        <f t="shared" si="30"/>
        <v>12936.392036867404</v>
      </c>
      <c r="U25" s="438">
        <f t="shared" si="31"/>
        <v>12936.392036867404</v>
      </c>
      <c r="V25" s="218">
        <f>IF(B25=0,Hatchery_Retrofit!$C$29,0)</f>
        <v>0</v>
      </c>
      <c r="W25" s="435">
        <f t="shared" si="32"/>
        <v>0</v>
      </c>
      <c r="X25" s="438">
        <f t="shared" si="33"/>
        <v>12936.392036867404</v>
      </c>
      <c r="Y25" s="184">
        <f>IF(B25=0,Hatchery_Retrofit!$G$15+Hatchery_Retrofit!$G$16,0)</f>
        <v>0</v>
      </c>
      <c r="Z25" s="185">
        <f>IF(B25=0,Hatchery_Retrofit!$G$14,0)</f>
        <v>0</v>
      </c>
      <c r="AA25" s="132">
        <f t="shared" si="34"/>
        <v>0</v>
      </c>
      <c r="AB25" s="218">
        <f t="shared" si="35"/>
        <v>12936.392036867404</v>
      </c>
      <c r="AC25" s="218">
        <f>Hatchery_Retrofit!$G$20*AVERAGE(AR25,AS25)</f>
        <v>0</v>
      </c>
      <c r="AD25" s="132">
        <f t="shared" si="36"/>
        <v>2249.0980092168511</v>
      </c>
      <c r="AE25" s="132">
        <f t="shared" si="37"/>
        <v>12936.392036867404</v>
      </c>
      <c r="AF25" s="122">
        <f t="shared" si="38"/>
        <v>10687.294027650554</v>
      </c>
      <c r="AG25" s="438">
        <f t="shared" si="39"/>
        <v>10687.294027650554</v>
      </c>
      <c r="AH25" s="122">
        <f t="shared" si="40"/>
        <v>0</v>
      </c>
      <c r="AI25" s="122">
        <f t="shared" si="41"/>
        <v>0</v>
      </c>
      <c r="AJ25" s="122">
        <f>-Debt_Calc!CY23</f>
        <v>0</v>
      </c>
      <c r="AK25" s="122">
        <f>Debt_Calc!CZ23</f>
        <v>0</v>
      </c>
      <c r="AL25" s="122">
        <f t="shared" si="42"/>
        <v>0</v>
      </c>
      <c r="AM25" s="217">
        <f t="shared" si="43"/>
        <v>0</v>
      </c>
      <c r="AN25" s="122">
        <f t="shared" si="44"/>
        <v>10687.294027650554</v>
      </c>
      <c r="AO25" s="122">
        <f t="shared" si="45"/>
        <v>12936.392036867404</v>
      </c>
      <c r="AP25" s="122">
        <f t="shared" si="46"/>
        <v>10687.294027650554</v>
      </c>
      <c r="AQ25" s="122">
        <f t="shared" si="47"/>
        <v>0</v>
      </c>
      <c r="AR25" s="122">
        <f t="shared" si="48"/>
        <v>0</v>
      </c>
      <c r="AS25" s="122">
        <f t="shared" si="49"/>
        <v>0</v>
      </c>
      <c r="AT25" s="122">
        <f t="shared" si="50"/>
        <v>11439.810933564906</v>
      </c>
      <c r="AU25" s="122">
        <f t="shared" si="51"/>
        <v>2</v>
      </c>
      <c r="AV25" s="222">
        <f t="shared" si="52"/>
        <v>2687.4662807813984</v>
      </c>
    </row>
    <row r="26" spans="2:48" s="86" customFormat="1" x14ac:dyDescent="0.3">
      <c r="B26" s="184">
        <f t="shared" si="18"/>
        <v>15</v>
      </c>
      <c r="C26" s="346">
        <f t="shared" si="19"/>
        <v>2036</v>
      </c>
      <c r="D26" s="347">
        <f t="shared" si="20"/>
        <v>49675</v>
      </c>
      <c r="E26" s="440">
        <f t="shared" si="21"/>
        <v>50040</v>
      </c>
      <c r="F26" s="732">
        <f>IF(AND(B26&gt;0,B26&lt;=Hatchery_Retrofit!$J$10),1,0)</f>
        <v>1</v>
      </c>
      <c r="G26" s="217">
        <f t="shared" si="22"/>
        <v>0</v>
      </c>
      <c r="H26" s="438">
        <f>(Hatchery_Retrofit!$M$15*F26)+IF(B26=Hatchery_Retrofit!$J$10,Hatchery_Retrofit!$J$12,0)</f>
        <v>12936.392036867404</v>
      </c>
      <c r="I26" s="122">
        <f t="shared" si="23"/>
        <v>12936.392036867404</v>
      </c>
      <c r="J26" s="219">
        <f t="shared" si="24"/>
        <v>1</v>
      </c>
      <c r="K26" s="220">
        <f>Deprec!AA25</f>
        <v>3940</v>
      </c>
      <c r="L26" s="122">
        <f t="shared" si="25"/>
        <v>8996.3920368674044</v>
      </c>
      <c r="M26" s="221">
        <f t="shared" si="26"/>
        <v>0</v>
      </c>
      <c r="N26" s="122">
        <f t="shared" si="27"/>
        <v>8996.3920368674044</v>
      </c>
      <c r="O26" s="438">
        <f>IF(N26&lt;0,0,(N26*Hatchery_Retrofit!$J$7))</f>
        <v>2249.0980092168511</v>
      </c>
      <c r="P26" s="122">
        <f t="shared" si="28"/>
        <v>6747.2940276505533</v>
      </c>
      <c r="Q26" s="123">
        <f t="shared" si="29"/>
        <v>0.52157464062788528</v>
      </c>
      <c r="T26" s="218">
        <f t="shared" si="30"/>
        <v>12936.392036867404</v>
      </c>
      <c r="U26" s="438">
        <f t="shared" si="31"/>
        <v>12936.392036867404</v>
      </c>
      <c r="V26" s="218">
        <f>IF(B26=0,Hatchery_Retrofit!$C$29,0)</f>
        <v>0</v>
      </c>
      <c r="W26" s="435">
        <f t="shared" si="32"/>
        <v>0</v>
      </c>
      <c r="X26" s="438">
        <f t="shared" si="33"/>
        <v>12936.392036867404</v>
      </c>
      <c r="Y26" s="184">
        <f>IF(B26=0,Hatchery_Retrofit!$G$15+Hatchery_Retrofit!$G$16,0)</f>
        <v>0</v>
      </c>
      <c r="Z26" s="185">
        <f>IF(B26=0,Hatchery_Retrofit!$G$14,0)</f>
        <v>0</v>
      </c>
      <c r="AA26" s="132">
        <f t="shared" si="34"/>
        <v>0</v>
      </c>
      <c r="AB26" s="218">
        <f t="shared" si="35"/>
        <v>12936.392036867404</v>
      </c>
      <c r="AC26" s="218">
        <f>Hatchery_Retrofit!$G$20*AVERAGE(AR26,AS26)</f>
        <v>0</v>
      </c>
      <c r="AD26" s="132">
        <f t="shared" si="36"/>
        <v>2249.0980092168511</v>
      </c>
      <c r="AE26" s="132">
        <f t="shared" si="37"/>
        <v>12936.392036867404</v>
      </c>
      <c r="AF26" s="122">
        <f t="shared" si="38"/>
        <v>10687.294027650554</v>
      </c>
      <c r="AG26" s="438">
        <f t="shared" si="39"/>
        <v>10687.294027650554</v>
      </c>
      <c r="AH26" s="122">
        <f t="shared" si="40"/>
        <v>0</v>
      </c>
      <c r="AI26" s="122">
        <f t="shared" si="41"/>
        <v>0</v>
      </c>
      <c r="AJ26" s="122">
        <f>-Debt_Calc!CY24</f>
        <v>0</v>
      </c>
      <c r="AK26" s="122">
        <f>Debt_Calc!CZ24</f>
        <v>0</v>
      </c>
      <c r="AL26" s="122">
        <f t="shared" si="42"/>
        <v>0</v>
      </c>
      <c r="AM26" s="217">
        <f t="shared" si="43"/>
        <v>0</v>
      </c>
      <c r="AN26" s="122">
        <f t="shared" si="44"/>
        <v>10687.294027650554</v>
      </c>
      <c r="AO26" s="122">
        <f t="shared" si="45"/>
        <v>12936.392036867404</v>
      </c>
      <c r="AP26" s="122">
        <f t="shared" si="46"/>
        <v>10687.294027650554</v>
      </c>
      <c r="AQ26" s="122">
        <f t="shared" si="47"/>
        <v>0</v>
      </c>
      <c r="AR26" s="122">
        <f t="shared" si="48"/>
        <v>0</v>
      </c>
      <c r="AS26" s="122">
        <f t="shared" si="49"/>
        <v>0</v>
      </c>
      <c r="AT26" s="122">
        <f t="shared" si="50"/>
        <v>22127.10496121546</v>
      </c>
      <c r="AU26" s="122">
        <f t="shared" si="51"/>
        <v>2</v>
      </c>
      <c r="AV26" s="222">
        <f t="shared" si="52"/>
        <v>2435.11697795595</v>
      </c>
    </row>
    <row r="27" spans="2:48" s="86" customFormat="1" x14ac:dyDescent="0.3">
      <c r="B27" s="184">
        <f t="shared" si="18"/>
        <v>16</v>
      </c>
      <c r="C27" s="346">
        <f t="shared" si="19"/>
        <v>2037</v>
      </c>
      <c r="D27" s="347">
        <f t="shared" si="20"/>
        <v>50041</v>
      </c>
      <c r="E27" s="440">
        <f t="shared" si="21"/>
        <v>50405</v>
      </c>
      <c r="F27" s="732">
        <f>IF(AND(B27&gt;0,B27&lt;=Hatchery_Retrofit!$J$10),1,0)</f>
        <v>1</v>
      </c>
      <c r="G27" s="217">
        <f t="shared" si="22"/>
        <v>0</v>
      </c>
      <c r="H27" s="438">
        <f>(Hatchery_Retrofit!$M$15*F27)+IF(B27=Hatchery_Retrofit!$J$10,Hatchery_Retrofit!$J$12,0)</f>
        <v>12936.392036867404</v>
      </c>
      <c r="I27" s="122">
        <f t="shared" si="23"/>
        <v>12936.392036867404</v>
      </c>
      <c r="J27" s="219">
        <f t="shared" si="24"/>
        <v>1</v>
      </c>
      <c r="K27" s="220">
        <f>Deprec!AA26</f>
        <v>3940</v>
      </c>
      <c r="L27" s="122">
        <f t="shared" si="25"/>
        <v>8996.3920368674044</v>
      </c>
      <c r="M27" s="221">
        <f t="shared" si="26"/>
        <v>0</v>
      </c>
      <c r="N27" s="122">
        <f t="shared" si="27"/>
        <v>8996.3920368674044</v>
      </c>
      <c r="O27" s="438">
        <f>IF(N27&lt;0,0,(N27*Hatchery_Retrofit!$J$7))</f>
        <v>2249.0980092168511</v>
      </c>
      <c r="P27" s="122">
        <f t="shared" si="28"/>
        <v>6747.2940276505533</v>
      </c>
      <c r="Q27" s="123">
        <f t="shared" si="29"/>
        <v>0.52157464062788528</v>
      </c>
      <c r="T27" s="218">
        <f t="shared" si="30"/>
        <v>12936.392036867404</v>
      </c>
      <c r="U27" s="438">
        <f t="shared" si="31"/>
        <v>12936.392036867404</v>
      </c>
      <c r="V27" s="218">
        <f>IF(B27=0,Hatchery_Retrofit!$C$29,0)</f>
        <v>0</v>
      </c>
      <c r="W27" s="435">
        <f t="shared" si="32"/>
        <v>0</v>
      </c>
      <c r="X27" s="438">
        <f t="shared" si="33"/>
        <v>12936.392036867404</v>
      </c>
      <c r="Y27" s="184">
        <f>IF(B27=0,Hatchery_Retrofit!$G$15+Hatchery_Retrofit!$G$16,0)</f>
        <v>0</v>
      </c>
      <c r="Z27" s="185">
        <f>IF(B27=0,Hatchery_Retrofit!$G$14,0)</f>
        <v>0</v>
      </c>
      <c r="AA27" s="132">
        <f t="shared" si="34"/>
        <v>0</v>
      </c>
      <c r="AB27" s="218">
        <f t="shared" si="35"/>
        <v>12936.392036867404</v>
      </c>
      <c r="AC27" s="218">
        <f>Hatchery_Retrofit!$G$20*AVERAGE(AR27,AS27)</f>
        <v>0</v>
      </c>
      <c r="AD27" s="132">
        <f t="shared" si="36"/>
        <v>2249.0980092168511</v>
      </c>
      <c r="AE27" s="132">
        <f t="shared" si="37"/>
        <v>12936.392036867404</v>
      </c>
      <c r="AF27" s="122">
        <f t="shared" si="38"/>
        <v>10687.294027650554</v>
      </c>
      <c r="AG27" s="438">
        <f t="shared" si="39"/>
        <v>10687.294027650554</v>
      </c>
      <c r="AH27" s="122">
        <f t="shared" si="40"/>
        <v>0</v>
      </c>
      <c r="AI27" s="122">
        <f t="shared" si="41"/>
        <v>0</v>
      </c>
      <c r="AJ27" s="122">
        <f>-Debt_Calc!CY25</f>
        <v>0</v>
      </c>
      <c r="AK27" s="122">
        <f>Debt_Calc!CZ25</f>
        <v>0</v>
      </c>
      <c r="AL27" s="122">
        <f t="shared" si="42"/>
        <v>0</v>
      </c>
      <c r="AM27" s="217">
        <f t="shared" si="43"/>
        <v>0</v>
      </c>
      <c r="AN27" s="122">
        <f t="shared" si="44"/>
        <v>10687.294027650554</v>
      </c>
      <c r="AO27" s="122">
        <f t="shared" si="45"/>
        <v>12936.392036867404</v>
      </c>
      <c r="AP27" s="122">
        <f t="shared" si="46"/>
        <v>10687.294027650554</v>
      </c>
      <c r="AQ27" s="122">
        <f t="shared" si="47"/>
        <v>0</v>
      </c>
      <c r="AR27" s="122">
        <f t="shared" si="48"/>
        <v>0</v>
      </c>
      <c r="AS27" s="122">
        <f t="shared" si="49"/>
        <v>0</v>
      </c>
      <c r="AT27" s="122">
        <f t="shared" si="50"/>
        <v>32814.398988866014</v>
      </c>
      <c r="AU27" s="122">
        <f t="shared" si="51"/>
        <v>2</v>
      </c>
      <c r="AV27" s="222">
        <f t="shared" si="52"/>
        <v>2206.462919640871</v>
      </c>
    </row>
    <row r="28" spans="2:48" s="86" customFormat="1" x14ac:dyDescent="0.3">
      <c r="B28" s="184">
        <f t="shared" si="18"/>
        <v>17</v>
      </c>
      <c r="C28" s="346">
        <f t="shared" si="19"/>
        <v>2038</v>
      </c>
      <c r="D28" s="347">
        <f t="shared" si="20"/>
        <v>50406</v>
      </c>
      <c r="E28" s="440">
        <f t="shared" si="21"/>
        <v>50770</v>
      </c>
      <c r="F28" s="732">
        <f>IF(AND(B28&gt;0,B28&lt;=Hatchery_Retrofit!$J$10),1,0)</f>
        <v>1</v>
      </c>
      <c r="G28" s="217">
        <f t="shared" si="22"/>
        <v>0</v>
      </c>
      <c r="H28" s="438">
        <f>(Hatchery_Retrofit!$M$15*F28)+IF(B28=Hatchery_Retrofit!$J$10,Hatchery_Retrofit!$J$12,0)</f>
        <v>12936.392036867404</v>
      </c>
      <c r="I28" s="122">
        <f t="shared" si="23"/>
        <v>12936.392036867404</v>
      </c>
      <c r="J28" s="219">
        <f t="shared" si="24"/>
        <v>1</v>
      </c>
      <c r="K28" s="220">
        <f>Deprec!AA27</f>
        <v>3940</v>
      </c>
      <c r="L28" s="122">
        <f t="shared" si="25"/>
        <v>8996.3920368674044</v>
      </c>
      <c r="M28" s="221">
        <f t="shared" si="26"/>
        <v>0</v>
      </c>
      <c r="N28" s="122">
        <f t="shared" si="27"/>
        <v>8996.3920368674044</v>
      </c>
      <c r="O28" s="438">
        <f>IF(N28&lt;0,0,(N28*Hatchery_Retrofit!$J$7))</f>
        <v>2249.0980092168511</v>
      </c>
      <c r="P28" s="122">
        <f t="shared" si="28"/>
        <v>6747.2940276505533</v>
      </c>
      <c r="Q28" s="123">
        <f t="shared" si="29"/>
        <v>0.52157464062788528</v>
      </c>
      <c r="T28" s="218">
        <f t="shared" si="30"/>
        <v>12936.392036867404</v>
      </c>
      <c r="U28" s="438">
        <f t="shared" si="31"/>
        <v>12936.392036867404</v>
      </c>
      <c r="V28" s="218">
        <f>IF(B28=0,Hatchery_Retrofit!$C$29,0)</f>
        <v>0</v>
      </c>
      <c r="W28" s="435">
        <f t="shared" si="32"/>
        <v>0</v>
      </c>
      <c r="X28" s="438">
        <f t="shared" si="33"/>
        <v>12936.392036867404</v>
      </c>
      <c r="Y28" s="184">
        <f>IF(B28=0,Hatchery_Retrofit!$G$15+Hatchery_Retrofit!$G$16,0)</f>
        <v>0</v>
      </c>
      <c r="Z28" s="185">
        <f>IF(B28=0,Hatchery_Retrofit!$G$14,0)</f>
        <v>0</v>
      </c>
      <c r="AA28" s="132">
        <f t="shared" si="34"/>
        <v>0</v>
      </c>
      <c r="AB28" s="218">
        <f t="shared" si="35"/>
        <v>12936.392036867404</v>
      </c>
      <c r="AC28" s="218">
        <f>Hatchery_Retrofit!$G$20*AVERAGE(AR28,AS28)</f>
        <v>0</v>
      </c>
      <c r="AD28" s="132">
        <f t="shared" si="36"/>
        <v>2249.0980092168511</v>
      </c>
      <c r="AE28" s="132">
        <f t="shared" si="37"/>
        <v>12936.392036867404</v>
      </c>
      <c r="AF28" s="122">
        <f t="shared" si="38"/>
        <v>10687.294027650554</v>
      </c>
      <c r="AG28" s="438">
        <f t="shared" si="39"/>
        <v>10687.294027650554</v>
      </c>
      <c r="AH28" s="122">
        <f t="shared" si="40"/>
        <v>0</v>
      </c>
      <c r="AI28" s="122">
        <f t="shared" si="41"/>
        <v>0</v>
      </c>
      <c r="AJ28" s="122">
        <f>-Debt_Calc!CY26</f>
        <v>0</v>
      </c>
      <c r="AK28" s="122">
        <f>Debt_Calc!CZ26</f>
        <v>0</v>
      </c>
      <c r="AL28" s="122">
        <f t="shared" si="42"/>
        <v>0</v>
      </c>
      <c r="AM28" s="217">
        <f t="shared" si="43"/>
        <v>0</v>
      </c>
      <c r="AN28" s="122">
        <f t="shared" si="44"/>
        <v>10687.294027650554</v>
      </c>
      <c r="AO28" s="122">
        <f t="shared" si="45"/>
        <v>12936.392036867404</v>
      </c>
      <c r="AP28" s="122">
        <f t="shared" si="46"/>
        <v>10687.294027650554</v>
      </c>
      <c r="AQ28" s="122">
        <f t="shared" si="47"/>
        <v>0</v>
      </c>
      <c r="AR28" s="122">
        <f t="shared" si="48"/>
        <v>0</v>
      </c>
      <c r="AS28" s="122">
        <f t="shared" si="49"/>
        <v>0</v>
      </c>
      <c r="AT28" s="122">
        <f t="shared" si="50"/>
        <v>43501.693016516569</v>
      </c>
      <c r="AU28" s="122">
        <f t="shared" si="51"/>
        <v>2</v>
      </c>
      <c r="AV28" s="222">
        <f t="shared" si="52"/>
        <v>1999.2791557129813</v>
      </c>
    </row>
    <row r="29" spans="2:48" s="86" customFormat="1" x14ac:dyDescent="0.3">
      <c r="B29" s="184">
        <f t="shared" si="18"/>
        <v>18</v>
      </c>
      <c r="C29" s="346">
        <f t="shared" si="19"/>
        <v>2039</v>
      </c>
      <c r="D29" s="347">
        <f t="shared" si="20"/>
        <v>50771</v>
      </c>
      <c r="E29" s="440">
        <f t="shared" si="21"/>
        <v>51135</v>
      </c>
      <c r="F29" s="732">
        <f>IF(AND(B29&gt;0,B29&lt;=Hatchery_Retrofit!$J$10),1,0)</f>
        <v>1</v>
      </c>
      <c r="G29" s="217">
        <f t="shared" si="22"/>
        <v>0</v>
      </c>
      <c r="H29" s="438">
        <f>(Hatchery_Retrofit!$M$15*F29)+IF(B29=Hatchery_Retrofit!$J$10,Hatchery_Retrofit!$J$12,0)</f>
        <v>12936.392036867404</v>
      </c>
      <c r="I29" s="122">
        <f t="shared" si="23"/>
        <v>12936.392036867404</v>
      </c>
      <c r="J29" s="219">
        <f t="shared" si="24"/>
        <v>1</v>
      </c>
      <c r="K29" s="220">
        <f>Deprec!AA28</f>
        <v>3940</v>
      </c>
      <c r="L29" s="122">
        <f t="shared" si="25"/>
        <v>8996.3920368674044</v>
      </c>
      <c r="M29" s="221">
        <f t="shared" si="26"/>
        <v>0</v>
      </c>
      <c r="N29" s="122">
        <f t="shared" si="27"/>
        <v>8996.3920368674044</v>
      </c>
      <c r="O29" s="438">
        <f>IF(N29&lt;0,0,(N29*Hatchery_Retrofit!$J$7))</f>
        <v>2249.0980092168511</v>
      </c>
      <c r="P29" s="122">
        <f t="shared" si="28"/>
        <v>6747.2940276505533</v>
      </c>
      <c r="Q29" s="123">
        <f t="shared" si="29"/>
        <v>0.52157464062788528</v>
      </c>
      <c r="T29" s="218">
        <f t="shared" si="30"/>
        <v>12936.392036867404</v>
      </c>
      <c r="U29" s="438">
        <f t="shared" si="31"/>
        <v>12936.392036867404</v>
      </c>
      <c r="V29" s="218">
        <f>IF(B29=0,Hatchery_Retrofit!$C$29,0)</f>
        <v>0</v>
      </c>
      <c r="W29" s="435">
        <f t="shared" si="32"/>
        <v>0</v>
      </c>
      <c r="X29" s="438">
        <f t="shared" si="33"/>
        <v>12936.392036867404</v>
      </c>
      <c r="Y29" s="184">
        <f>IF(B29=0,Hatchery_Retrofit!$G$15+Hatchery_Retrofit!$G$16,0)</f>
        <v>0</v>
      </c>
      <c r="Z29" s="185">
        <f>IF(B29=0,Hatchery_Retrofit!$G$14,0)</f>
        <v>0</v>
      </c>
      <c r="AA29" s="132">
        <f t="shared" si="34"/>
        <v>0</v>
      </c>
      <c r="AB29" s="218">
        <f t="shared" si="35"/>
        <v>12936.392036867404</v>
      </c>
      <c r="AC29" s="218">
        <f>Hatchery_Retrofit!$G$20*AVERAGE(AR29,AS29)</f>
        <v>0</v>
      </c>
      <c r="AD29" s="132">
        <f t="shared" si="36"/>
        <v>2249.0980092168511</v>
      </c>
      <c r="AE29" s="132">
        <f t="shared" si="37"/>
        <v>12936.392036867404</v>
      </c>
      <c r="AF29" s="122">
        <f t="shared" si="38"/>
        <v>10687.294027650554</v>
      </c>
      <c r="AG29" s="438">
        <f t="shared" si="39"/>
        <v>10687.294027650554</v>
      </c>
      <c r="AH29" s="122">
        <f t="shared" si="40"/>
        <v>0</v>
      </c>
      <c r="AI29" s="122">
        <f t="shared" si="41"/>
        <v>0</v>
      </c>
      <c r="AJ29" s="122">
        <f>-Debt_Calc!CY27</f>
        <v>0</v>
      </c>
      <c r="AK29" s="122">
        <f>Debt_Calc!CZ27</f>
        <v>0</v>
      </c>
      <c r="AL29" s="122">
        <f t="shared" si="42"/>
        <v>0</v>
      </c>
      <c r="AM29" s="217">
        <f t="shared" si="43"/>
        <v>0</v>
      </c>
      <c r="AN29" s="122">
        <f t="shared" si="44"/>
        <v>10687.294027650554</v>
      </c>
      <c r="AO29" s="122">
        <f t="shared" si="45"/>
        <v>12936.392036867404</v>
      </c>
      <c r="AP29" s="122">
        <f t="shared" si="46"/>
        <v>10687.294027650554</v>
      </c>
      <c r="AQ29" s="122">
        <f t="shared" si="47"/>
        <v>0</v>
      </c>
      <c r="AR29" s="122">
        <f t="shared" si="48"/>
        <v>0</v>
      </c>
      <c r="AS29" s="122">
        <f t="shared" si="49"/>
        <v>0</v>
      </c>
      <c r="AT29" s="122">
        <f t="shared" si="50"/>
        <v>54188.987044167123</v>
      </c>
      <c r="AU29" s="122">
        <f t="shared" si="51"/>
        <v>2</v>
      </c>
      <c r="AV29" s="222">
        <f t="shared" si="52"/>
        <v>1811.5496557354295</v>
      </c>
    </row>
    <row r="30" spans="2:48" s="86" customFormat="1" x14ac:dyDescent="0.3">
      <c r="B30" s="184">
        <f t="shared" si="18"/>
        <v>19</v>
      </c>
      <c r="C30" s="346">
        <f t="shared" si="19"/>
        <v>2040</v>
      </c>
      <c r="D30" s="347">
        <f t="shared" si="20"/>
        <v>51136</v>
      </c>
      <c r="E30" s="440">
        <f t="shared" si="21"/>
        <v>51501</v>
      </c>
      <c r="F30" s="732">
        <f>IF(AND(B30&gt;0,B30&lt;=Hatchery_Retrofit!$J$10),1,0)</f>
        <v>1</v>
      </c>
      <c r="G30" s="217">
        <f t="shared" si="22"/>
        <v>0</v>
      </c>
      <c r="H30" s="438">
        <f>(Hatchery_Retrofit!$M$15*F30)+IF(B30=Hatchery_Retrofit!$J$10,Hatchery_Retrofit!$J$12,0)</f>
        <v>12936.392036867404</v>
      </c>
      <c r="I30" s="122">
        <f t="shared" si="23"/>
        <v>12936.392036867404</v>
      </c>
      <c r="J30" s="219">
        <f t="shared" si="24"/>
        <v>1</v>
      </c>
      <c r="K30" s="220">
        <f>Deprec!AA29</f>
        <v>3940</v>
      </c>
      <c r="L30" s="122">
        <f t="shared" si="25"/>
        <v>8996.3920368674044</v>
      </c>
      <c r="M30" s="221">
        <f t="shared" si="26"/>
        <v>0</v>
      </c>
      <c r="N30" s="122">
        <f t="shared" si="27"/>
        <v>8996.3920368674044</v>
      </c>
      <c r="O30" s="438">
        <f>IF(N30&lt;0,0,(N30*Hatchery_Retrofit!$J$7))</f>
        <v>2249.0980092168511</v>
      </c>
      <c r="P30" s="122">
        <f t="shared" si="28"/>
        <v>6747.2940276505533</v>
      </c>
      <c r="Q30" s="123">
        <f t="shared" si="29"/>
        <v>0.52157464062788528</v>
      </c>
      <c r="T30" s="218">
        <f t="shared" si="30"/>
        <v>12936.392036867404</v>
      </c>
      <c r="U30" s="438">
        <f t="shared" si="31"/>
        <v>12936.392036867404</v>
      </c>
      <c r="V30" s="218">
        <f>IF(B30=0,Hatchery_Retrofit!$C$29,0)</f>
        <v>0</v>
      </c>
      <c r="W30" s="435">
        <f t="shared" si="32"/>
        <v>0</v>
      </c>
      <c r="X30" s="438">
        <f t="shared" si="33"/>
        <v>12936.392036867404</v>
      </c>
      <c r="Y30" s="184">
        <f>IF(B30=0,Hatchery_Retrofit!$G$15+Hatchery_Retrofit!$G$16,0)</f>
        <v>0</v>
      </c>
      <c r="Z30" s="185">
        <f>IF(B30=0,Hatchery_Retrofit!$G$14,0)</f>
        <v>0</v>
      </c>
      <c r="AA30" s="132">
        <f t="shared" si="34"/>
        <v>0</v>
      </c>
      <c r="AB30" s="218">
        <f t="shared" si="35"/>
        <v>12936.392036867404</v>
      </c>
      <c r="AC30" s="218">
        <f>Hatchery_Retrofit!$G$20*AVERAGE(AR30,AS30)</f>
        <v>0</v>
      </c>
      <c r="AD30" s="132">
        <f t="shared" si="36"/>
        <v>2249.0980092168511</v>
      </c>
      <c r="AE30" s="132">
        <f t="shared" si="37"/>
        <v>12936.392036867404</v>
      </c>
      <c r="AF30" s="122">
        <f t="shared" si="38"/>
        <v>10687.294027650554</v>
      </c>
      <c r="AG30" s="438">
        <f t="shared" si="39"/>
        <v>10687.294027650554</v>
      </c>
      <c r="AH30" s="122">
        <f t="shared" si="40"/>
        <v>0</v>
      </c>
      <c r="AI30" s="122">
        <f t="shared" si="41"/>
        <v>0</v>
      </c>
      <c r="AJ30" s="122">
        <f>-Debt_Calc!CY28</f>
        <v>0</v>
      </c>
      <c r="AK30" s="122">
        <f>Debt_Calc!CZ28</f>
        <v>0</v>
      </c>
      <c r="AL30" s="122">
        <f t="shared" si="42"/>
        <v>0</v>
      </c>
      <c r="AM30" s="217">
        <f t="shared" si="43"/>
        <v>0</v>
      </c>
      <c r="AN30" s="122">
        <f t="shared" si="44"/>
        <v>10687.294027650554</v>
      </c>
      <c r="AO30" s="122">
        <f t="shared" si="45"/>
        <v>12936.392036867404</v>
      </c>
      <c r="AP30" s="122">
        <f t="shared" si="46"/>
        <v>10687.294027650554</v>
      </c>
      <c r="AQ30" s="122">
        <f t="shared" si="47"/>
        <v>0</v>
      </c>
      <c r="AR30" s="122">
        <f t="shared" si="48"/>
        <v>0</v>
      </c>
      <c r="AS30" s="122">
        <f t="shared" si="49"/>
        <v>0</v>
      </c>
      <c r="AT30" s="122">
        <f t="shared" si="50"/>
        <v>64876.281071817677</v>
      </c>
      <c r="AU30" s="122">
        <f t="shared" si="51"/>
        <v>2</v>
      </c>
      <c r="AV30" s="222">
        <f t="shared" si="52"/>
        <v>1641.4476916930753</v>
      </c>
    </row>
    <row r="31" spans="2:48" s="86" customFormat="1" x14ac:dyDescent="0.3">
      <c r="B31" s="184">
        <f t="shared" si="18"/>
        <v>20</v>
      </c>
      <c r="C31" s="346">
        <f t="shared" si="19"/>
        <v>2041</v>
      </c>
      <c r="D31" s="347">
        <f t="shared" si="20"/>
        <v>51502</v>
      </c>
      <c r="E31" s="440">
        <f t="shared" si="21"/>
        <v>51866</v>
      </c>
      <c r="F31" s="732">
        <f>IF(AND(B31&gt;0,B31&lt;=Hatchery_Retrofit!$J$10),1,0)</f>
        <v>1</v>
      </c>
      <c r="G31" s="217">
        <f t="shared" si="22"/>
        <v>0</v>
      </c>
      <c r="H31" s="438">
        <f>(Hatchery_Retrofit!$M$15*F31)+IF(B31=Hatchery_Retrofit!$J$10,Hatchery_Retrofit!$J$12,0)</f>
        <v>12936.392036867404</v>
      </c>
      <c r="I31" s="122">
        <f t="shared" si="23"/>
        <v>12936.392036867404</v>
      </c>
      <c r="J31" s="219">
        <f t="shared" si="24"/>
        <v>1</v>
      </c>
      <c r="K31" s="220">
        <f>Deprec!AA30</f>
        <v>3940</v>
      </c>
      <c r="L31" s="122">
        <f t="shared" si="25"/>
        <v>8996.3920368674044</v>
      </c>
      <c r="M31" s="221">
        <f t="shared" si="26"/>
        <v>0</v>
      </c>
      <c r="N31" s="122">
        <f t="shared" si="27"/>
        <v>8996.3920368674044</v>
      </c>
      <c r="O31" s="438">
        <f>IF(N31&lt;0,0,(N31*Hatchery_Retrofit!$J$7))</f>
        <v>2249.0980092168511</v>
      </c>
      <c r="P31" s="122">
        <f t="shared" si="28"/>
        <v>6747.2940276505533</v>
      </c>
      <c r="Q31" s="123">
        <f t="shared" si="29"/>
        <v>0.52157464062788528</v>
      </c>
      <c r="T31" s="218">
        <f t="shared" si="30"/>
        <v>12936.392036867404</v>
      </c>
      <c r="U31" s="438">
        <f t="shared" si="31"/>
        <v>12936.392036867404</v>
      </c>
      <c r="V31" s="218">
        <f>IF(B31=0,Hatchery_Retrofit!$C$29,0)</f>
        <v>0</v>
      </c>
      <c r="W31" s="435">
        <f t="shared" si="32"/>
        <v>0</v>
      </c>
      <c r="X31" s="438">
        <f t="shared" si="33"/>
        <v>12936.392036867404</v>
      </c>
      <c r="Y31" s="184">
        <f>IF(B31=0,Hatchery_Retrofit!$G$15+Hatchery_Retrofit!$G$16,0)</f>
        <v>0</v>
      </c>
      <c r="Z31" s="185">
        <f>IF(B31=0,Hatchery_Retrofit!$G$14,0)</f>
        <v>0</v>
      </c>
      <c r="AA31" s="132">
        <f t="shared" si="34"/>
        <v>0</v>
      </c>
      <c r="AB31" s="218">
        <f t="shared" si="35"/>
        <v>12936.392036867404</v>
      </c>
      <c r="AC31" s="218">
        <f>Hatchery_Retrofit!$G$20*AVERAGE(AR31,AS31)</f>
        <v>0</v>
      </c>
      <c r="AD31" s="132">
        <f t="shared" si="36"/>
        <v>2249.0980092168511</v>
      </c>
      <c r="AE31" s="132">
        <f t="shared" si="37"/>
        <v>12936.392036867404</v>
      </c>
      <c r="AF31" s="122">
        <f t="shared" si="38"/>
        <v>10687.294027650554</v>
      </c>
      <c r="AG31" s="438">
        <f t="shared" si="39"/>
        <v>10687.294027650554</v>
      </c>
      <c r="AH31" s="122">
        <f t="shared" si="40"/>
        <v>0</v>
      </c>
      <c r="AI31" s="122">
        <f t="shared" si="41"/>
        <v>0</v>
      </c>
      <c r="AJ31" s="122">
        <f>-Debt_Calc!CY29</f>
        <v>0</v>
      </c>
      <c r="AK31" s="122">
        <f>Debt_Calc!CZ29</f>
        <v>0</v>
      </c>
      <c r="AL31" s="122">
        <f t="shared" si="42"/>
        <v>0</v>
      </c>
      <c r="AM31" s="217">
        <f t="shared" si="43"/>
        <v>0</v>
      </c>
      <c r="AN31" s="122">
        <f t="shared" si="44"/>
        <v>10687.294027650554</v>
      </c>
      <c r="AO31" s="122">
        <f t="shared" si="45"/>
        <v>12936.392036867404</v>
      </c>
      <c r="AP31" s="122">
        <f t="shared" si="46"/>
        <v>10687.294027650554</v>
      </c>
      <c r="AQ31" s="122">
        <f t="shared" si="47"/>
        <v>0</v>
      </c>
      <c r="AR31" s="122">
        <f t="shared" si="48"/>
        <v>0</v>
      </c>
      <c r="AS31" s="122">
        <f t="shared" si="49"/>
        <v>0</v>
      </c>
      <c r="AT31" s="122">
        <f t="shared" si="50"/>
        <v>75563.575099468231</v>
      </c>
      <c r="AU31" s="122">
        <f t="shared" si="51"/>
        <v>2</v>
      </c>
      <c r="AV31" s="222">
        <f t="shared" si="52"/>
        <v>1487.3180627614138</v>
      </c>
    </row>
    <row r="32" spans="2:48" s="86" customFormat="1" x14ac:dyDescent="0.3">
      <c r="B32" s="184">
        <f t="shared" si="18"/>
        <v>21</v>
      </c>
      <c r="C32" s="346">
        <f t="shared" si="19"/>
        <v>2042</v>
      </c>
      <c r="D32" s="347">
        <f t="shared" si="20"/>
        <v>51867</v>
      </c>
      <c r="E32" s="440">
        <f t="shared" si="21"/>
        <v>52231</v>
      </c>
      <c r="F32" s="732">
        <f>IF(AND(B32&gt;0,B32&lt;=Hatchery_Retrofit!$J$10),1,0)</f>
        <v>1</v>
      </c>
      <c r="G32" s="217">
        <f t="shared" si="22"/>
        <v>0</v>
      </c>
      <c r="H32" s="438">
        <f>(Hatchery_Retrofit!$M$15*F32)+IF(B32=Hatchery_Retrofit!$J$10,Hatchery_Retrofit!$J$12,0)</f>
        <v>12936.392036867404</v>
      </c>
      <c r="I32" s="122">
        <f t="shared" si="23"/>
        <v>12936.392036867404</v>
      </c>
      <c r="J32" s="219">
        <f t="shared" si="24"/>
        <v>1</v>
      </c>
      <c r="K32" s="220">
        <f>Deprec!AA31</f>
        <v>3940</v>
      </c>
      <c r="L32" s="122">
        <f t="shared" si="25"/>
        <v>8996.3920368674044</v>
      </c>
      <c r="M32" s="221">
        <f t="shared" si="26"/>
        <v>0</v>
      </c>
      <c r="N32" s="122">
        <f t="shared" si="27"/>
        <v>8996.3920368674044</v>
      </c>
      <c r="O32" s="438">
        <f>IF(N32&lt;0,0,(N32*Hatchery_Retrofit!$J$7))</f>
        <v>2249.0980092168511</v>
      </c>
      <c r="P32" s="122">
        <f t="shared" si="28"/>
        <v>6747.2940276505533</v>
      </c>
      <c r="Q32" s="123">
        <f t="shared" si="29"/>
        <v>0.52157464062788528</v>
      </c>
      <c r="T32" s="218">
        <f t="shared" si="30"/>
        <v>12936.392036867404</v>
      </c>
      <c r="U32" s="438">
        <f t="shared" si="31"/>
        <v>12936.392036867404</v>
      </c>
      <c r="V32" s="218">
        <f>IF(B32=0,Hatchery_Retrofit!$C$29,0)</f>
        <v>0</v>
      </c>
      <c r="W32" s="435">
        <f t="shared" si="32"/>
        <v>0</v>
      </c>
      <c r="X32" s="438">
        <f t="shared" si="33"/>
        <v>12936.392036867404</v>
      </c>
      <c r="Y32" s="184">
        <f>IF(B32=0,Hatchery_Retrofit!$G$15+Hatchery_Retrofit!$G$16,0)</f>
        <v>0</v>
      </c>
      <c r="Z32" s="185">
        <f>IF(B32=0,Hatchery_Retrofit!$G$14,0)</f>
        <v>0</v>
      </c>
      <c r="AA32" s="132">
        <f t="shared" si="34"/>
        <v>0</v>
      </c>
      <c r="AB32" s="218">
        <f t="shared" si="35"/>
        <v>12936.392036867404</v>
      </c>
      <c r="AC32" s="218">
        <f>Hatchery_Retrofit!$G$20*AVERAGE(AR32,AS32)</f>
        <v>0</v>
      </c>
      <c r="AD32" s="132">
        <f t="shared" si="36"/>
        <v>2249.0980092168511</v>
      </c>
      <c r="AE32" s="132">
        <f t="shared" si="37"/>
        <v>12936.392036867404</v>
      </c>
      <c r="AF32" s="122">
        <f t="shared" si="38"/>
        <v>10687.294027650554</v>
      </c>
      <c r="AG32" s="438">
        <f t="shared" si="39"/>
        <v>10687.294027650554</v>
      </c>
      <c r="AH32" s="122">
        <f t="shared" si="40"/>
        <v>0</v>
      </c>
      <c r="AI32" s="122">
        <f t="shared" si="41"/>
        <v>0</v>
      </c>
      <c r="AJ32" s="122">
        <f>-Debt_Calc!CY30</f>
        <v>0</v>
      </c>
      <c r="AK32" s="122">
        <f>Debt_Calc!CZ30</f>
        <v>0</v>
      </c>
      <c r="AL32" s="122">
        <f t="shared" si="42"/>
        <v>0</v>
      </c>
      <c r="AM32" s="217">
        <f t="shared" si="43"/>
        <v>0</v>
      </c>
      <c r="AN32" s="122">
        <f t="shared" si="44"/>
        <v>10687.294027650554</v>
      </c>
      <c r="AO32" s="122">
        <f t="shared" si="45"/>
        <v>12936.392036867404</v>
      </c>
      <c r="AP32" s="122">
        <f t="shared" si="46"/>
        <v>10687.294027650554</v>
      </c>
      <c r="AQ32" s="122">
        <f t="shared" si="47"/>
        <v>0</v>
      </c>
      <c r="AR32" s="122">
        <f t="shared" si="48"/>
        <v>0</v>
      </c>
      <c r="AS32" s="122">
        <f t="shared" si="49"/>
        <v>0</v>
      </c>
      <c r="AT32" s="122">
        <f t="shared" si="50"/>
        <v>86250.869127118785</v>
      </c>
      <c r="AU32" s="122">
        <f t="shared" si="51"/>
        <v>2</v>
      </c>
      <c r="AV32" s="222">
        <f t="shared" si="52"/>
        <v>1347.6609891446942</v>
      </c>
    </row>
    <row r="33" spans="2:67" s="86" customFormat="1" x14ac:dyDescent="0.3">
      <c r="B33" s="184">
        <f t="shared" si="18"/>
        <v>22</v>
      </c>
      <c r="C33" s="346">
        <f t="shared" si="19"/>
        <v>2043</v>
      </c>
      <c r="D33" s="347">
        <f t="shared" si="20"/>
        <v>52232</v>
      </c>
      <c r="E33" s="440">
        <f t="shared" si="21"/>
        <v>52596</v>
      </c>
      <c r="F33" s="732">
        <f>IF(AND(B33&gt;0,B33&lt;=Hatchery_Retrofit!$J$10),1,0)</f>
        <v>1</v>
      </c>
      <c r="G33" s="217">
        <f t="shared" si="22"/>
        <v>0</v>
      </c>
      <c r="H33" s="438">
        <f>(Hatchery_Retrofit!$M$15*F33)+IF(B33=Hatchery_Retrofit!$J$10,Hatchery_Retrofit!$J$12,0)</f>
        <v>12936.392036867404</v>
      </c>
      <c r="I33" s="122">
        <f t="shared" si="23"/>
        <v>12936.392036867404</v>
      </c>
      <c r="J33" s="219">
        <f t="shared" si="24"/>
        <v>1</v>
      </c>
      <c r="K33" s="220">
        <f>Deprec!AA32</f>
        <v>3940</v>
      </c>
      <c r="L33" s="122">
        <f t="shared" si="25"/>
        <v>8996.3920368674044</v>
      </c>
      <c r="M33" s="221">
        <f t="shared" si="26"/>
        <v>0</v>
      </c>
      <c r="N33" s="122">
        <f t="shared" si="27"/>
        <v>8996.3920368674044</v>
      </c>
      <c r="O33" s="438">
        <f>IF(N33&lt;0,0,(N33*Hatchery_Retrofit!$J$7))</f>
        <v>2249.0980092168511</v>
      </c>
      <c r="P33" s="122">
        <f t="shared" si="28"/>
        <v>6747.2940276505533</v>
      </c>
      <c r="Q33" s="123">
        <f t="shared" si="29"/>
        <v>0.52157464062788528</v>
      </c>
      <c r="T33" s="218">
        <f t="shared" si="30"/>
        <v>12936.392036867404</v>
      </c>
      <c r="U33" s="438">
        <f t="shared" si="31"/>
        <v>12936.392036867404</v>
      </c>
      <c r="V33" s="218">
        <f>IF(B33=0,Hatchery_Retrofit!$C$29,0)</f>
        <v>0</v>
      </c>
      <c r="W33" s="435">
        <f t="shared" si="32"/>
        <v>0</v>
      </c>
      <c r="X33" s="438">
        <f t="shared" si="33"/>
        <v>12936.392036867404</v>
      </c>
      <c r="Y33" s="184">
        <f>IF(B33=0,Hatchery_Retrofit!$G$15+Hatchery_Retrofit!$G$16,0)</f>
        <v>0</v>
      </c>
      <c r="Z33" s="185">
        <f>IF(B33=0,Hatchery_Retrofit!$G$14,0)</f>
        <v>0</v>
      </c>
      <c r="AA33" s="132">
        <f t="shared" si="34"/>
        <v>0</v>
      </c>
      <c r="AB33" s="218">
        <f t="shared" si="35"/>
        <v>12936.392036867404</v>
      </c>
      <c r="AC33" s="218">
        <f>Hatchery_Retrofit!$G$20*AVERAGE(AR33,AS33)</f>
        <v>0</v>
      </c>
      <c r="AD33" s="132">
        <f t="shared" si="36"/>
        <v>2249.0980092168511</v>
      </c>
      <c r="AE33" s="132">
        <f t="shared" si="37"/>
        <v>12936.392036867404</v>
      </c>
      <c r="AF33" s="122">
        <f t="shared" si="38"/>
        <v>10687.294027650554</v>
      </c>
      <c r="AG33" s="438">
        <f t="shared" si="39"/>
        <v>10687.294027650554</v>
      </c>
      <c r="AH33" s="122">
        <f t="shared" si="40"/>
        <v>0</v>
      </c>
      <c r="AI33" s="122">
        <f t="shared" si="41"/>
        <v>0</v>
      </c>
      <c r="AJ33" s="122">
        <f>-Debt_Calc!CY31</f>
        <v>0</v>
      </c>
      <c r="AK33" s="122">
        <f>Debt_Calc!CZ31</f>
        <v>0</v>
      </c>
      <c r="AL33" s="122">
        <f t="shared" si="42"/>
        <v>0</v>
      </c>
      <c r="AM33" s="217">
        <f t="shared" si="43"/>
        <v>0</v>
      </c>
      <c r="AN33" s="122">
        <f t="shared" si="44"/>
        <v>10687.294027650554</v>
      </c>
      <c r="AO33" s="122">
        <f t="shared" si="45"/>
        <v>12936.392036867404</v>
      </c>
      <c r="AP33" s="122">
        <f t="shared" si="46"/>
        <v>10687.294027650554</v>
      </c>
      <c r="AQ33" s="122">
        <f t="shared" si="47"/>
        <v>0</v>
      </c>
      <c r="AR33" s="122">
        <f t="shared" si="48"/>
        <v>0</v>
      </c>
      <c r="AS33" s="122">
        <f t="shared" si="49"/>
        <v>0</v>
      </c>
      <c r="AT33" s="122">
        <f t="shared" si="50"/>
        <v>96938.16315476934</v>
      </c>
      <c r="AU33" s="122">
        <f t="shared" si="51"/>
        <v>2</v>
      </c>
      <c r="AV33" s="222">
        <f t="shared" si="52"/>
        <v>1221.1175182599775</v>
      </c>
    </row>
    <row r="34" spans="2:67" s="86" customFormat="1" x14ac:dyDescent="0.3">
      <c r="B34" s="184">
        <f t="shared" si="18"/>
        <v>23</v>
      </c>
      <c r="C34" s="346">
        <f t="shared" si="19"/>
        <v>2044</v>
      </c>
      <c r="D34" s="347">
        <f t="shared" si="20"/>
        <v>52597</v>
      </c>
      <c r="E34" s="440">
        <f t="shared" si="21"/>
        <v>52962</v>
      </c>
      <c r="F34" s="732">
        <f>IF(AND(B34&gt;0,B34&lt;=Hatchery_Retrofit!$J$10),1,0)</f>
        <v>1</v>
      </c>
      <c r="G34" s="217">
        <f t="shared" si="22"/>
        <v>0</v>
      </c>
      <c r="H34" s="438">
        <f>(Hatchery_Retrofit!$M$15*F34)+IF(B34=Hatchery_Retrofit!$J$10,Hatchery_Retrofit!$J$12,0)</f>
        <v>12936.392036867404</v>
      </c>
      <c r="I34" s="122">
        <f t="shared" si="23"/>
        <v>12936.392036867404</v>
      </c>
      <c r="J34" s="219">
        <f t="shared" si="24"/>
        <v>1</v>
      </c>
      <c r="K34" s="220">
        <f>Deprec!AA33</f>
        <v>3940</v>
      </c>
      <c r="L34" s="122">
        <f t="shared" si="25"/>
        <v>8996.3920368674044</v>
      </c>
      <c r="M34" s="221">
        <f t="shared" si="26"/>
        <v>0</v>
      </c>
      <c r="N34" s="122">
        <f t="shared" si="27"/>
        <v>8996.3920368674044</v>
      </c>
      <c r="O34" s="438">
        <f>IF(N34&lt;0,0,(N34*Hatchery_Retrofit!$J$7))</f>
        <v>2249.0980092168511</v>
      </c>
      <c r="P34" s="122">
        <f t="shared" si="28"/>
        <v>6747.2940276505533</v>
      </c>
      <c r="Q34" s="123">
        <f t="shared" si="29"/>
        <v>0.52157464062788528</v>
      </c>
      <c r="T34" s="218">
        <f t="shared" si="30"/>
        <v>12936.392036867404</v>
      </c>
      <c r="U34" s="438">
        <f t="shared" si="31"/>
        <v>12936.392036867404</v>
      </c>
      <c r="V34" s="218">
        <f>IF(B34=0,Hatchery_Retrofit!$C$29,0)</f>
        <v>0</v>
      </c>
      <c r="W34" s="435">
        <f t="shared" si="32"/>
        <v>0</v>
      </c>
      <c r="X34" s="438">
        <f t="shared" si="33"/>
        <v>12936.392036867404</v>
      </c>
      <c r="Y34" s="184">
        <f>IF(B34=0,Hatchery_Retrofit!$G$15+Hatchery_Retrofit!$G$16,0)</f>
        <v>0</v>
      </c>
      <c r="Z34" s="185">
        <f>IF(B34=0,Hatchery_Retrofit!$G$14,0)</f>
        <v>0</v>
      </c>
      <c r="AA34" s="132">
        <f t="shared" si="34"/>
        <v>0</v>
      </c>
      <c r="AB34" s="218">
        <f t="shared" si="35"/>
        <v>12936.392036867404</v>
      </c>
      <c r="AC34" s="218">
        <f>Hatchery_Retrofit!$G$20*AVERAGE(AR34,AS34)</f>
        <v>0</v>
      </c>
      <c r="AD34" s="132">
        <f t="shared" si="36"/>
        <v>2249.0980092168511</v>
      </c>
      <c r="AE34" s="132">
        <f t="shared" si="37"/>
        <v>12936.392036867404</v>
      </c>
      <c r="AF34" s="122">
        <f t="shared" si="38"/>
        <v>10687.294027650554</v>
      </c>
      <c r="AG34" s="438">
        <f t="shared" si="39"/>
        <v>10687.294027650554</v>
      </c>
      <c r="AH34" s="122">
        <f t="shared" si="40"/>
        <v>0</v>
      </c>
      <c r="AI34" s="122">
        <f t="shared" si="41"/>
        <v>0</v>
      </c>
      <c r="AJ34" s="122">
        <f>-Debt_Calc!CY32</f>
        <v>0</v>
      </c>
      <c r="AK34" s="122">
        <f>Debt_Calc!CZ32</f>
        <v>0</v>
      </c>
      <c r="AL34" s="122">
        <f t="shared" si="42"/>
        <v>0</v>
      </c>
      <c r="AM34" s="217">
        <f t="shared" si="43"/>
        <v>0</v>
      </c>
      <c r="AN34" s="122">
        <f t="shared" si="44"/>
        <v>10687.294027650554</v>
      </c>
      <c r="AO34" s="122">
        <f t="shared" si="45"/>
        <v>12936.392036867404</v>
      </c>
      <c r="AP34" s="122">
        <f t="shared" si="46"/>
        <v>10687.294027650554</v>
      </c>
      <c r="AQ34" s="122">
        <f t="shared" si="47"/>
        <v>0</v>
      </c>
      <c r="AR34" s="122">
        <f t="shared" si="48"/>
        <v>0</v>
      </c>
      <c r="AS34" s="122">
        <f t="shared" si="49"/>
        <v>0</v>
      </c>
      <c r="AT34" s="122">
        <f t="shared" si="50"/>
        <v>107625.45718241989</v>
      </c>
      <c r="AU34" s="122">
        <f t="shared" si="51"/>
        <v>2</v>
      </c>
      <c r="AV34" s="222">
        <f t="shared" si="52"/>
        <v>1106.456301259982</v>
      </c>
    </row>
    <row r="35" spans="2:67" s="86" customFormat="1" x14ac:dyDescent="0.3">
      <c r="B35" s="184">
        <f t="shared" si="18"/>
        <v>24</v>
      </c>
      <c r="C35" s="346">
        <f t="shared" si="19"/>
        <v>2045</v>
      </c>
      <c r="D35" s="347">
        <f t="shared" si="20"/>
        <v>52963</v>
      </c>
      <c r="E35" s="440">
        <f t="shared" si="21"/>
        <v>53327</v>
      </c>
      <c r="F35" s="732">
        <f>IF(AND(B35&gt;0,B35&lt;=Hatchery_Retrofit!$J$10),1,0)</f>
        <v>1</v>
      </c>
      <c r="G35" s="217">
        <f t="shared" si="22"/>
        <v>0</v>
      </c>
      <c r="H35" s="438">
        <f>(Hatchery_Retrofit!$M$15*F35)+IF(B35=Hatchery_Retrofit!$J$10,Hatchery_Retrofit!$J$12,0)</f>
        <v>12936.392036867404</v>
      </c>
      <c r="I35" s="122">
        <f t="shared" si="23"/>
        <v>12936.392036867404</v>
      </c>
      <c r="J35" s="219">
        <f t="shared" si="24"/>
        <v>1</v>
      </c>
      <c r="K35" s="220">
        <f>Deprec!AA34</f>
        <v>3940</v>
      </c>
      <c r="L35" s="122">
        <f t="shared" si="25"/>
        <v>8996.3920368674044</v>
      </c>
      <c r="M35" s="221">
        <f t="shared" si="26"/>
        <v>0</v>
      </c>
      <c r="N35" s="122">
        <f t="shared" si="27"/>
        <v>8996.3920368674044</v>
      </c>
      <c r="O35" s="438">
        <f>IF(N35&lt;0,0,(N35*Hatchery_Retrofit!$J$7))</f>
        <v>2249.0980092168511</v>
      </c>
      <c r="P35" s="122">
        <f t="shared" si="28"/>
        <v>6747.2940276505533</v>
      </c>
      <c r="Q35" s="123">
        <f t="shared" si="29"/>
        <v>0.52157464062788528</v>
      </c>
      <c r="T35" s="218">
        <f t="shared" si="30"/>
        <v>12936.392036867404</v>
      </c>
      <c r="U35" s="438">
        <f t="shared" si="31"/>
        <v>12936.392036867404</v>
      </c>
      <c r="V35" s="218">
        <f>IF(B35=0,Hatchery_Retrofit!$C$29,0)</f>
        <v>0</v>
      </c>
      <c r="W35" s="435">
        <f t="shared" si="32"/>
        <v>0</v>
      </c>
      <c r="X35" s="438">
        <f t="shared" si="33"/>
        <v>12936.392036867404</v>
      </c>
      <c r="Y35" s="184">
        <f>IF(B35=0,Hatchery_Retrofit!$G$15+Hatchery_Retrofit!$G$16,0)</f>
        <v>0</v>
      </c>
      <c r="Z35" s="185">
        <f>IF(B35=0,Hatchery_Retrofit!$G$14,0)</f>
        <v>0</v>
      </c>
      <c r="AA35" s="132">
        <f t="shared" si="34"/>
        <v>0</v>
      </c>
      <c r="AB35" s="218">
        <f t="shared" si="35"/>
        <v>12936.392036867404</v>
      </c>
      <c r="AC35" s="218">
        <f>Hatchery_Retrofit!$G$20*AVERAGE(AR35,AS35)</f>
        <v>0</v>
      </c>
      <c r="AD35" s="132">
        <f t="shared" si="36"/>
        <v>2249.0980092168511</v>
      </c>
      <c r="AE35" s="132">
        <f t="shared" si="37"/>
        <v>12936.392036867404</v>
      </c>
      <c r="AF35" s="122">
        <f t="shared" si="38"/>
        <v>10687.294027650554</v>
      </c>
      <c r="AG35" s="438">
        <f t="shared" si="39"/>
        <v>10687.294027650554</v>
      </c>
      <c r="AH35" s="122">
        <f t="shared" si="40"/>
        <v>0</v>
      </c>
      <c r="AI35" s="122">
        <f t="shared" si="41"/>
        <v>0</v>
      </c>
      <c r="AJ35" s="122">
        <f>-Debt_Calc!CY33</f>
        <v>0</v>
      </c>
      <c r="AK35" s="122">
        <f>Debt_Calc!CZ33</f>
        <v>0</v>
      </c>
      <c r="AL35" s="122">
        <f t="shared" si="42"/>
        <v>0</v>
      </c>
      <c r="AM35" s="217">
        <f t="shared" si="43"/>
        <v>0</v>
      </c>
      <c r="AN35" s="122">
        <f t="shared" si="44"/>
        <v>10687.294027650554</v>
      </c>
      <c r="AO35" s="122">
        <f t="shared" si="45"/>
        <v>12936.392036867404</v>
      </c>
      <c r="AP35" s="122">
        <f t="shared" si="46"/>
        <v>10687.294027650554</v>
      </c>
      <c r="AQ35" s="122">
        <f t="shared" si="47"/>
        <v>0</v>
      </c>
      <c r="AR35" s="122">
        <f t="shared" si="48"/>
        <v>0</v>
      </c>
      <c r="AS35" s="122">
        <f t="shared" si="49"/>
        <v>0</v>
      </c>
      <c r="AT35" s="122">
        <f t="shared" si="50"/>
        <v>118312.75121007045</v>
      </c>
      <c r="AU35" s="122">
        <f t="shared" si="51"/>
        <v>2</v>
      </c>
      <c r="AV35" s="222">
        <f t="shared" si="52"/>
        <v>1002.5616112218254</v>
      </c>
    </row>
    <row r="36" spans="2:67" s="86" customFormat="1" x14ac:dyDescent="0.3">
      <c r="B36" s="184">
        <f t="shared" si="18"/>
        <v>25</v>
      </c>
      <c r="C36" s="346">
        <f t="shared" si="19"/>
        <v>2046</v>
      </c>
      <c r="D36" s="347">
        <f t="shared" si="20"/>
        <v>53328</v>
      </c>
      <c r="E36" s="440">
        <f t="shared" si="21"/>
        <v>53692</v>
      </c>
      <c r="F36" s="732">
        <f>IF(AND(B36&gt;0,B36&lt;=Hatchery_Retrofit!$J$10),1,0)</f>
        <v>1</v>
      </c>
      <c r="G36" s="217">
        <f t="shared" si="22"/>
        <v>0</v>
      </c>
      <c r="H36" s="438">
        <f>(Hatchery_Retrofit!$M$15*F36)+IF(B36=Hatchery_Retrofit!$J$10,Hatchery_Retrofit!$J$12,0)</f>
        <v>12936.392036867404</v>
      </c>
      <c r="I36" s="122">
        <f t="shared" si="23"/>
        <v>12936.392036867404</v>
      </c>
      <c r="J36" s="219">
        <f t="shared" si="24"/>
        <v>1</v>
      </c>
      <c r="K36" s="220">
        <f>Deprec!AA35</f>
        <v>3940</v>
      </c>
      <c r="L36" s="122">
        <f t="shared" si="25"/>
        <v>8996.3920368674044</v>
      </c>
      <c r="M36" s="221">
        <f t="shared" si="26"/>
        <v>0</v>
      </c>
      <c r="N36" s="122">
        <f t="shared" si="27"/>
        <v>8996.3920368674044</v>
      </c>
      <c r="O36" s="438">
        <f>IF(N36&lt;0,0,(N36*Hatchery_Retrofit!$J$7))</f>
        <v>2249.0980092168511</v>
      </c>
      <c r="P36" s="122">
        <f t="shared" si="28"/>
        <v>6747.2940276505533</v>
      </c>
      <c r="Q36" s="123">
        <f t="shared" si="29"/>
        <v>0.52157464062788528</v>
      </c>
      <c r="T36" s="218">
        <f t="shared" si="30"/>
        <v>12936.392036867404</v>
      </c>
      <c r="U36" s="438">
        <f t="shared" si="31"/>
        <v>12936.392036867404</v>
      </c>
      <c r="V36" s="218">
        <f>IF(B36=0,Hatchery_Retrofit!$C$29,0)</f>
        <v>0</v>
      </c>
      <c r="W36" s="435">
        <f t="shared" si="32"/>
        <v>0</v>
      </c>
      <c r="X36" s="438">
        <f t="shared" si="33"/>
        <v>12936.392036867404</v>
      </c>
      <c r="Y36" s="184">
        <f>IF(B36=0,Hatchery_Retrofit!$G$15+Hatchery_Retrofit!$G$16,0)</f>
        <v>0</v>
      </c>
      <c r="Z36" s="185">
        <f>IF(B36=0,Hatchery_Retrofit!$G$14,0)</f>
        <v>0</v>
      </c>
      <c r="AA36" s="132">
        <f t="shared" si="34"/>
        <v>0</v>
      </c>
      <c r="AB36" s="218">
        <f t="shared" si="35"/>
        <v>12936.392036867404</v>
      </c>
      <c r="AC36" s="218">
        <f>Hatchery_Retrofit!$G$20*AVERAGE(AR36,AS36)</f>
        <v>0</v>
      </c>
      <c r="AD36" s="132">
        <f t="shared" si="36"/>
        <v>2249.0980092168511</v>
      </c>
      <c r="AE36" s="132">
        <f t="shared" si="37"/>
        <v>12936.392036867404</v>
      </c>
      <c r="AF36" s="122">
        <f t="shared" si="38"/>
        <v>10687.294027650554</v>
      </c>
      <c r="AG36" s="438">
        <f t="shared" si="39"/>
        <v>10687.294027650554</v>
      </c>
      <c r="AH36" s="122">
        <f t="shared" si="40"/>
        <v>0</v>
      </c>
      <c r="AI36" s="122">
        <f t="shared" si="41"/>
        <v>0</v>
      </c>
      <c r="AJ36" s="122">
        <f>-Debt_Calc!CY34</f>
        <v>0</v>
      </c>
      <c r="AK36" s="122">
        <f>Debt_Calc!CZ34</f>
        <v>0</v>
      </c>
      <c r="AL36" s="122">
        <f t="shared" si="42"/>
        <v>0</v>
      </c>
      <c r="AM36" s="217">
        <f t="shared" si="43"/>
        <v>0</v>
      </c>
      <c r="AN36" s="122">
        <f t="shared" si="44"/>
        <v>10687.294027650554</v>
      </c>
      <c r="AO36" s="122">
        <f t="shared" si="45"/>
        <v>12936.392036867404</v>
      </c>
      <c r="AP36" s="122">
        <f t="shared" si="46"/>
        <v>10687.294027650554</v>
      </c>
      <c r="AQ36" s="122">
        <f t="shared" si="47"/>
        <v>0</v>
      </c>
      <c r="AR36" s="122">
        <f t="shared" si="48"/>
        <v>0</v>
      </c>
      <c r="AS36" s="122">
        <f t="shared" si="49"/>
        <v>0</v>
      </c>
      <c r="AT36" s="122">
        <f t="shared" si="50"/>
        <v>129000.045237721</v>
      </c>
      <c r="AU36" s="122">
        <f t="shared" si="51"/>
        <v>2</v>
      </c>
      <c r="AV36" s="222">
        <f t="shared" si="52"/>
        <v>908.42248641099195</v>
      </c>
    </row>
    <row r="37" spans="2:67" s="86" customFormat="1" x14ac:dyDescent="0.3">
      <c r="B37" s="184">
        <f t="shared" si="18"/>
        <v>26</v>
      </c>
      <c r="C37" s="346">
        <f t="shared" si="19"/>
        <v>2047</v>
      </c>
      <c r="D37" s="347">
        <f t="shared" si="20"/>
        <v>53693</v>
      </c>
      <c r="E37" s="440">
        <f t="shared" si="21"/>
        <v>54057</v>
      </c>
      <c r="F37" s="732">
        <f>IF(AND(B37&gt;0,B37&lt;=Hatchery_Retrofit!$J$10),1,0)</f>
        <v>0</v>
      </c>
      <c r="G37" s="217">
        <f t="shared" si="22"/>
        <v>0</v>
      </c>
      <c r="H37" s="438">
        <f>(Hatchery_Retrofit!$M$15*F37)+IF(B37=Hatchery_Retrofit!$J$10,Hatchery_Retrofit!$J$12,0)</f>
        <v>0</v>
      </c>
      <c r="I37" s="122">
        <f t="shared" si="23"/>
        <v>0</v>
      </c>
      <c r="J37" s="219">
        <f t="shared" si="24"/>
        <v>0</v>
      </c>
      <c r="K37" s="220">
        <f>Deprec!AA36</f>
        <v>0</v>
      </c>
      <c r="L37" s="122">
        <f t="shared" si="25"/>
        <v>0</v>
      </c>
      <c r="M37" s="221">
        <f t="shared" si="26"/>
        <v>0</v>
      </c>
      <c r="N37" s="122">
        <f t="shared" si="27"/>
        <v>0</v>
      </c>
      <c r="O37" s="438">
        <f>IF(N37&lt;0,0,(N37*Hatchery_Retrofit!$J$7))</f>
        <v>0</v>
      </c>
      <c r="P37" s="122">
        <f t="shared" si="28"/>
        <v>0</v>
      </c>
      <c r="Q37" s="123">
        <f t="shared" si="29"/>
        <v>0</v>
      </c>
      <c r="T37" s="218">
        <f t="shared" si="30"/>
        <v>0</v>
      </c>
      <c r="U37" s="438">
        <f t="shared" si="31"/>
        <v>0</v>
      </c>
      <c r="V37" s="218">
        <f>IF(B37=0,Hatchery_Retrofit!$C$29,0)</f>
        <v>0</v>
      </c>
      <c r="W37" s="435">
        <f t="shared" si="32"/>
        <v>0</v>
      </c>
      <c r="X37" s="438">
        <f t="shared" si="33"/>
        <v>0</v>
      </c>
      <c r="Y37" s="184">
        <f>IF(B37=0,Hatchery_Retrofit!$G$15+Hatchery_Retrofit!$G$16,0)</f>
        <v>0</v>
      </c>
      <c r="Z37" s="185">
        <f>IF(B37=0,Hatchery_Retrofit!$G$14,0)</f>
        <v>0</v>
      </c>
      <c r="AA37" s="132">
        <f t="shared" si="34"/>
        <v>0</v>
      </c>
      <c r="AB37" s="218">
        <f t="shared" si="35"/>
        <v>0</v>
      </c>
      <c r="AC37" s="218">
        <f>Hatchery_Retrofit!$G$20*AVERAGE(AR37,AS37)</f>
        <v>0</v>
      </c>
      <c r="AD37" s="132">
        <f t="shared" si="36"/>
        <v>0</v>
      </c>
      <c r="AE37" s="132">
        <f t="shared" si="37"/>
        <v>0</v>
      </c>
      <c r="AF37" s="122">
        <f t="shared" si="38"/>
        <v>0</v>
      </c>
      <c r="AG37" s="438">
        <f t="shared" si="39"/>
        <v>0</v>
      </c>
      <c r="AH37" s="122">
        <f t="shared" si="40"/>
        <v>0</v>
      </c>
      <c r="AI37" s="122">
        <f t="shared" si="41"/>
        <v>0</v>
      </c>
      <c r="AJ37" s="122">
        <f>-Debt_Calc!CY35</f>
        <v>0</v>
      </c>
      <c r="AK37" s="122">
        <f>Debt_Calc!CZ35</f>
        <v>0</v>
      </c>
      <c r="AL37" s="122">
        <f t="shared" si="42"/>
        <v>0</v>
      </c>
      <c r="AM37" s="217">
        <f t="shared" si="43"/>
        <v>0</v>
      </c>
      <c r="AN37" s="122">
        <f t="shared" si="44"/>
        <v>0</v>
      </c>
      <c r="AO37" s="122">
        <f t="shared" si="45"/>
        <v>0</v>
      </c>
      <c r="AP37" s="122">
        <f t="shared" si="46"/>
        <v>0</v>
      </c>
      <c r="AQ37" s="122">
        <f t="shared" si="47"/>
        <v>0</v>
      </c>
      <c r="AR37" s="122">
        <f t="shared" si="48"/>
        <v>0</v>
      </c>
      <c r="AS37" s="122">
        <f t="shared" si="49"/>
        <v>0</v>
      </c>
      <c r="AT37" s="122">
        <f t="shared" si="50"/>
        <v>129000.045237721</v>
      </c>
      <c r="AU37" s="122">
        <f t="shared" si="51"/>
        <v>2</v>
      </c>
      <c r="AV37" s="222">
        <f t="shared" si="52"/>
        <v>0</v>
      </c>
    </row>
    <row r="38" spans="2:67" s="86" customFormat="1" x14ac:dyDescent="0.3">
      <c r="B38" s="184">
        <f t="shared" si="18"/>
        <v>27</v>
      </c>
      <c r="C38" s="346">
        <f t="shared" si="19"/>
        <v>2048</v>
      </c>
      <c r="D38" s="347">
        <f t="shared" si="20"/>
        <v>54058</v>
      </c>
      <c r="E38" s="440">
        <f t="shared" si="21"/>
        <v>54423</v>
      </c>
      <c r="F38" s="732">
        <f>IF(AND(B38&gt;0,B38&lt;=Hatchery_Retrofit!$J$10),1,0)</f>
        <v>0</v>
      </c>
      <c r="G38" s="217">
        <f t="shared" si="22"/>
        <v>0</v>
      </c>
      <c r="H38" s="438">
        <f>(Hatchery_Retrofit!$M$15*F38)+IF(B38=Hatchery_Retrofit!$J$10,Hatchery_Retrofit!$J$12,0)</f>
        <v>0</v>
      </c>
      <c r="I38" s="122">
        <f t="shared" si="23"/>
        <v>0</v>
      </c>
      <c r="J38" s="219">
        <f t="shared" si="24"/>
        <v>0</v>
      </c>
      <c r="K38" s="220">
        <f>Deprec!AA37</f>
        <v>0</v>
      </c>
      <c r="L38" s="122">
        <f t="shared" si="25"/>
        <v>0</v>
      </c>
      <c r="M38" s="221">
        <f t="shared" si="26"/>
        <v>0</v>
      </c>
      <c r="N38" s="122">
        <f t="shared" si="27"/>
        <v>0</v>
      </c>
      <c r="O38" s="438">
        <f>IF(N38&lt;0,0,(N38*Hatchery_Retrofit!$J$7))</f>
        <v>0</v>
      </c>
      <c r="P38" s="122">
        <f t="shared" si="28"/>
        <v>0</v>
      </c>
      <c r="Q38" s="123">
        <f t="shared" si="29"/>
        <v>0</v>
      </c>
      <c r="T38" s="218">
        <f t="shared" si="30"/>
        <v>0</v>
      </c>
      <c r="U38" s="438">
        <f t="shared" si="31"/>
        <v>0</v>
      </c>
      <c r="V38" s="218">
        <f>IF(B38=0,Hatchery_Retrofit!$C$29,0)</f>
        <v>0</v>
      </c>
      <c r="W38" s="435">
        <f t="shared" si="32"/>
        <v>0</v>
      </c>
      <c r="X38" s="438">
        <f t="shared" si="33"/>
        <v>0</v>
      </c>
      <c r="Y38" s="184">
        <f>IF(B38=0,Hatchery_Retrofit!$G$15+Hatchery_Retrofit!$G$16,0)</f>
        <v>0</v>
      </c>
      <c r="Z38" s="185">
        <f>IF(B38=0,Hatchery_Retrofit!$G$14,0)</f>
        <v>0</v>
      </c>
      <c r="AA38" s="132">
        <f t="shared" si="34"/>
        <v>0</v>
      </c>
      <c r="AB38" s="218">
        <f t="shared" si="35"/>
        <v>0</v>
      </c>
      <c r="AC38" s="218">
        <f>Hatchery_Retrofit!$G$20*AVERAGE(AR38,AS38)</f>
        <v>0</v>
      </c>
      <c r="AD38" s="132">
        <f t="shared" si="36"/>
        <v>0</v>
      </c>
      <c r="AE38" s="132">
        <f t="shared" si="37"/>
        <v>0</v>
      </c>
      <c r="AF38" s="122">
        <f t="shared" si="38"/>
        <v>0</v>
      </c>
      <c r="AG38" s="438">
        <f t="shared" si="39"/>
        <v>0</v>
      </c>
      <c r="AH38" s="122">
        <f t="shared" si="40"/>
        <v>0</v>
      </c>
      <c r="AI38" s="122">
        <f t="shared" si="41"/>
        <v>0</v>
      </c>
      <c r="AJ38" s="122">
        <f>-Debt_Calc!CY36</f>
        <v>0</v>
      </c>
      <c r="AK38" s="122">
        <f>Debt_Calc!CZ36</f>
        <v>0</v>
      </c>
      <c r="AL38" s="122">
        <f t="shared" si="42"/>
        <v>0</v>
      </c>
      <c r="AM38" s="217">
        <f t="shared" si="43"/>
        <v>0</v>
      </c>
      <c r="AN38" s="122">
        <f t="shared" si="44"/>
        <v>0</v>
      </c>
      <c r="AO38" s="122">
        <f t="shared" si="45"/>
        <v>0</v>
      </c>
      <c r="AP38" s="122">
        <f t="shared" si="46"/>
        <v>0</v>
      </c>
      <c r="AQ38" s="122">
        <f t="shared" si="47"/>
        <v>0</v>
      </c>
      <c r="AR38" s="122">
        <f t="shared" si="48"/>
        <v>0</v>
      </c>
      <c r="AS38" s="122">
        <f t="shared" si="49"/>
        <v>0</v>
      </c>
      <c r="AT38" s="122">
        <f t="shared" si="50"/>
        <v>129000.045237721</v>
      </c>
      <c r="AU38" s="122">
        <f t="shared" si="51"/>
        <v>2</v>
      </c>
      <c r="AV38" s="222">
        <f t="shared" si="52"/>
        <v>0</v>
      </c>
    </row>
    <row r="39" spans="2:67" s="86" customFormat="1" x14ac:dyDescent="0.3">
      <c r="B39" s="184">
        <f t="shared" si="18"/>
        <v>28</v>
      </c>
      <c r="C39" s="346">
        <f t="shared" si="19"/>
        <v>2049</v>
      </c>
      <c r="D39" s="347">
        <f t="shared" si="20"/>
        <v>54424</v>
      </c>
      <c r="E39" s="440">
        <f t="shared" si="21"/>
        <v>54788</v>
      </c>
      <c r="F39" s="732">
        <f>IF(AND(B39&gt;0,B39&lt;=Hatchery_Retrofit!$J$10),1,0)</f>
        <v>0</v>
      </c>
      <c r="G39" s="217">
        <f t="shared" si="22"/>
        <v>0</v>
      </c>
      <c r="H39" s="438">
        <f>(Hatchery_Retrofit!$M$15*F39)+IF(B39=Hatchery_Retrofit!$J$10,Hatchery_Retrofit!$J$12,0)</f>
        <v>0</v>
      </c>
      <c r="I39" s="122">
        <f t="shared" si="23"/>
        <v>0</v>
      </c>
      <c r="J39" s="219">
        <f t="shared" si="24"/>
        <v>0</v>
      </c>
      <c r="K39" s="220">
        <f>Deprec!AA38</f>
        <v>0</v>
      </c>
      <c r="L39" s="122">
        <f t="shared" si="25"/>
        <v>0</v>
      </c>
      <c r="M39" s="221">
        <f t="shared" si="26"/>
        <v>0</v>
      </c>
      <c r="N39" s="122">
        <f t="shared" si="27"/>
        <v>0</v>
      </c>
      <c r="O39" s="438">
        <f>IF(N39&lt;0,0,(N39*Hatchery_Retrofit!$J$7))</f>
        <v>0</v>
      </c>
      <c r="P39" s="122">
        <f t="shared" si="28"/>
        <v>0</v>
      </c>
      <c r="Q39" s="123">
        <f t="shared" si="29"/>
        <v>0</v>
      </c>
      <c r="T39" s="218">
        <f t="shared" si="30"/>
        <v>0</v>
      </c>
      <c r="U39" s="438">
        <f t="shared" si="31"/>
        <v>0</v>
      </c>
      <c r="V39" s="218">
        <f>IF(B39=0,Hatchery_Retrofit!$C$29,0)</f>
        <v>0</v>
      </c>
      <c r="W39" s="435">
        <f t="shared" si="32"/>
        <v>0</v>
      </c>
      <c r="X39" s="438">
        <f t="shared" si="33"/>
        <v>0</v>
      </c>
      <c r="Y39" s="184">
        <f>IF(B39=0,Hatchery_Retrofit!$G$15+Hatchery_Retrofit!$G$16,0)</f>
        <v>0</v>
      </c>
      <c r="Z39" s="185">
        <f>IF(B39=0,Hatchery_Retrofit!$G$14,0)</f>
        <v>0</v>
      </c>
      <c r="AA39" s="132">
        <f t="shared" si="34"/>
        <v>0</v>
      </c>
      <c r="AB39" s="218">
        <f t="shared" si="35"/>
        <v>0</v>
      </c>
      <c r="AC39" s="218">
        <f>Hatchery_Retrofit!$G$20*AVERAGE(AR39,AS39)</f>
        <v>0</v>
      </c>
      <c r="AD39" s="132">
        <f t="shared" si="36"/>
        <v>0</v>
      </c>
      <c r="AE39" s="132">
        <f t="shared" si="37"/>
        <v>0</v>
      </c>
      <c r="AF39" s="122">
        <f t="shared" si="38"/>
        <v>0</v>
      </c>
      <c r="AG39" s="438">
        <f t="shared" si="39"/>
        <v>0</v>
      </c>
      <c r="AH39" s="122">
        <f t="shared" si="40"/>
        <v>0</v>
      </c>
      <c r="AI39" s="122">
        <f t="shared" si="41"/>
        <v>0</v>
      </c>
      <c r="AJ39" s="122">
        <f>-Debt_Calc!CY37</f>
        <v>0</v>
      </c>
      <c r="AK39" s="122">
        <f>Debt_Calc!CZ37</f>
        <v>0</v>
      </c>
      <c r="AL39" s="122">
        <f t="shared" si="42"/>
        <v>0</v>
      </c>
      <c r="AM39" s="217">
        <f t="shared" si="43"/>
        <v>0</v>
      </c>
      <c r="AN39" s="122">
        <f t="shared" si="44"/>
        <v>0</v>
      </c>
      <c r="AO39" s="122">
        <f t="shared" si="45"/>
        <v>0</v>
      </c>
      <c r="AP39" s="122">
        <f t="shared" si="46"/>
        <v>0</v>
      </c>
      <c r="AQ39" s="122">
        <f t="shared" si="47"/>
        <v>0</v>
      </c>
      <c r="AR39" s="122">
        <f t="shared" si="48"/>
        <v>0</v>
      </c>
      <c r="AS39" s="122">
        <f t="shared" si="49"/>
        <v>0</v>
      </c>
      <c r="AT39" s="122">
        <f t="shared" si="50"/>
        <v>129000.045237721</v>
      </c>
      <c r="AU39" s="122">
        <f t="shared" si="51"/>
        <v>2</v>
      </c>
      <c r="AV39" s="222">
        <f t="shared" si="52"/>
        <v>0</v>
      </c>
    </row>
    <row r="40" spans="2:67" s="86" customFormat="1" x14ac:dyDescent="0.3">
      <c r="B40" s="184">
        <f t="shared" si="18"/>
        <v>29</v>
      </c>
      <c r="C40" s="346">
        <f t="shared" si="19"/>
        <v>2050</v>
      </c>
      <c r="D40" s="347">
        <f t="shared" si="20"/>
        <v>54789</v>
      </c>
      <c r="E40" s="440">
        <f t="shared" si="21"/>
        <v>55153</v>
      </c>
      <c r="F40" s="732">
        <f>IF(AND(B40&gt;0,B40&lt;=Hatchery_Retrofit!$J$10),1,0)</f>
        <v>0</v>
      </c>
      <c r="G40" s="217">
        <f t="shared" si="22"/>
        <v>0</v>
      </c>
      <c r="H40" s="438">
        <f>(Hatchery_Retrofit!$M$15*F40)+IF(B40=Hatchery_Retrofit!$J$10,Hatchery_Retrofit!$J$12,0)</f>
        <v>0</v>
      </c>
      <c r="I40" s="122">
        <f t="shared" si="23"/>
        <v>0</v>
      </c>
      <c r="J40" s="219">
        <f t="shared" si="24"/>
        <v>0</v>
      </c>
      <c r="K40" s="220">
        <f>Deprec!AA39</f>
        <v>0</v>
      </c>
      <c r="L40" s="122">
        <f t="shared" si="25"/>
        <v>0</v>
      </c>
      <c r="M40" s="221">
        <f t="shared" si="26"/>
        <v>0</v>
      </c>
      <c r="N40" s="122">
        <f t="shared" si="27"/>
        <v>0</v>
      </c>
      <c r="O40" s="438">
        <f>IF(N40&lt;0,0,(N40*Hatchery_Retrofit!$J$7))</f>
        <v>0</v>
      </c>
      <c r="P40" s="122">
        <f t="shared" si="28"/>
        <v>0</v>
      </c>
      <c r="Q40" s="123">
        <f t="shared" si="29"/>
        <v>0</v>
      </c>
      <c r="T40" s="218">
        <f t="shared" si="30"/>
        <v>0</v>
      </c>
      <c r="U40" s="438">
        <f t="shared" si="31"/>
        <v>0</v>
      </c>
      <c r="V40" s="218">
        <f>IF(B40=0,Hatchery_Retrofit!$C$29,0)</f>
        <v>0</v>
      </c>
      <c r="W40" s="435">
        <f t="shared" si="32"/>
        <v>0</v>
      </c>
      <c r="X40" s="438">
        <f t="shared" si="33"/>
        <v>0</v>
      </c>
      <c r="Y40" s="184">
        <f>IF(B40=0,Hatchery_Retrofit!$G$15+Hatchery_Retrofit!$G$16,0)</f>
        <v>0</v>
      </c>
      <c r="Z40" s="185">
        <f>IF(B40=0,Hatchery_Retrofit!$G$14,0)</f>
        <v>0</v>
      </c>
      <c r="AA40" s="132">
        <f t="shared" si="34"/>
        <v>0</v>
      </c>
      <c r="AB40" s="218">
        <f t="shared" si="35"/>
        <v>0</v>
      </c>
      <c r="AC40" s="218">
        <f>Hatchery_Retrofit!$G$20*AVERAGE(AR40,AS40)</f>
        <v>0</v>
      </c>
      <c r="AD40" s="132">
        <f t="shared" si="36"/>
        <v>0</v>
      </c>
      <c r="AE40" s="132">
        <f t="shared" si="37"/>
        <v>0</v>
      </c>
      <c r="AF40" s="122">
        <f t="shared" si="38"/>
        <v>0</v>
      </c>
      <c r="AG40" s="438">
        <f t="shared" si="39"/>
        <v>0</v>
      </c>
      <c r="AH40" s="122">
        <f t="shared" si="40"/>
        <v>0</v>
      </c>
      <c r="AI40" s="122">
        <f t="shared" si="41"/>
        <v>0</v>
      </c>
      <c r="AJ40" s="122">
        <f>-Debt_Calc!CY38</f>
        <v>0</v>
      </c>
      <c r="AK40" s="122">
        <f>Debt_Calc!CZ38</f>
        <v>0</v>
      </c>
      <c r="AL40" s="122">
        <f t="shared" si="42"/>
        <v>0</v>
      </c>
      <c r="AM40" s="217">
        <f t="shared" si="43"/>
        <v>0</v>
      </c>
      <c r="AN40" s="122">
        <f t="shared" si="44"/>
        <v>0</v>
      </c>
      <c r="AO40" s="122">
        <f t="shared" si="45"/>
        <v>0</v>
      </c>
      <c r="AP40" s="122">
        <f t="shared" si="46"/>
        <v>0</v>
      </c>
      <c r="AQ40" s="122">
        <f t="shared" si="47"/>
        <v>0</v>
      </c>
      <c r="AR40" s="122">
        <f t="shared" si="48"/>
        <v>0</v>
      </c>
      <c r="AS40" s="122">
        <f t="shared" si="49"/>
        <v>0</v>
      </c>
      <c r="AT40" s="122">
        <f t="shared" si="50"/>
        <v>129000.045237721</v>
      </c>
      <c r="AU40" s="122">
        <f t="shared" si="51"/>
        <v>2</v>
      </c>
      <c r="AV40" s="222">
        <f t="shared" si="52"/>
        <v>0</v>
      </c>
    </row>
    <row r="41" spans="2:67" s="86" customFormat="1" x14ac:dyDescent="0.3">
      <c r="B41" s="184">
        <f t="shared" si="18"/>
        <v>30</v>
      </c>
      <c r="C41" s="346">
        <f t="shared" si="19"/>
        <v>2051</v>
      </c>
      <c r="D41" s="347">
        <f t="shared" si="20"/>
        <v>55154</v>
      </c>
      <c r="E41" s="440">
        <f t="shared" si="21"/>
        <v>55518</v>
      </c>
      <c r="F41" s="732">
        <f>IF(AND(B41&gt;0,B41&lt;=Hatchery_Retrofit!$J$10),1,0)</f>
        <v>0</v>
      </c>
      <c r="G41" s="217">
        <f t="shared" si="22"/>
        <v>0</v>
      </c>
      <c r="H41" s="438">
        <f>(Hatchery_Retrofit!$M$15*F41)+IF(B41=Hatchery_Retrofit!$J$10,Hatchery_Retrofit!$J$12,0)</f>
        <v>0</v>
      </c>
      <c r="I41" s="122">
        <f t="shared" si="23"/>
        <v>0</v>
      </c>
      <c r="J41" s="219">
        <f t="shared" si="24"/>
        <v>0</v>
      </c>
      <c r="K41" s="220">
        <f>Deprec!AA40</f>
        <v>0</v>
      </c>
      <c r="L41" s="122">
        <f t="shared" si="25"/>
        <v>0</v>
      </c>
      <c r="M41" s="221">
        <f t="shared" si="26"/>
        <v>0</v>
      </c>
      <c r="N41" s="122">
        <f t="shared" si="27"/>
        <v>0</v>
      </c>
      <c r="O41" s="438">
        <f>IF(N41&lt;0,0,(N41*Hatchery_Retrofit!$J$7))</f>
        <v>0</v>
      </c>
      <c r="P41" s="122">
        <f t="shared" si="28"/>
        <v>0</v>
      </c>
      <c r="Q41" s="123">
        <f t="shared" si="29"/>
        <v>0</v>
      </c>
      <c r="T41" s="218">
        <f t="shared" si="30"/>
        <v>0</v>
      </c>
      <c r="U41" s="438">
        <f t="shared" si="31"/>
        <v>0</v>
      </c>
      <c r="V41" s="218">
        <f>IF(B41=0,Hatchery_Retrofit!$C$29,0)</f>
        <v>0</v>
      </c>
      <c r="W41" s="435">
        <f t="shared" si="32"/>
        <v>0</v>
      </c>
      <c r="X41" s="438">
        <f t="shared" si="33"/>
        <v>0</v>
      </c>
      <c r="Y41" s="184">
        <f>IF(B41=0,Hatchery_Retrofit!$G$15+Hatchery_Retrofit!$G$16,0)</f>
        <v>0</v>
      </c>
      <c r="Z41" s="185">
        <f>IF(B41=0,Hatchery_Retrofit!$G$14,0)</f>
        <v>0</v>
      </c>
      <c r="AA41" s="132">
        <f t="shared" si="34"/>
        <v>0</v>
      </c>
      <c r="AB41" s="218">
        <f t="shared" si="35"/>
        <v>0</v>
      </c>
      <c r="AC41" s="218">
        <f>Hatchery_Retrofit!$G$20*AVERAGE(AR41,AS41)</f>
        <v>0</v>
      </c>
      <c r="AD41" s="132">
        <f t="shared" si="36"/>
        <v>0</v>
      </c>
      <c r="AE41" s="132">
        <f t="shared" si="37"/>
        <v>0</v>
      </c>
      <c r="AF41" s="122">
        <f t="shared" si="38"/>
        <v>0</v>
      </c>
      <c r="AG41" s="438">
        <f t="shared" si="39"/>
        <v>0</v>
      </c>
      <c r="AH41" s="122">
        <f t="shared" si="40"/>
        <v>0</v>
      </c>
      <c r="AI41" s="122">
        <f t="shared" si="41"/>
        <v>0</v>
      </c>
      <c r="AJ41" s="122">
        <f>-Debt_Calc!CY39</f>
        <v>0</v>
      </c>
      <c r="AK41" s="122">
        <f>Debt_Calc!CZ39</f>
        <v>0</v>
      </c>
      <c r="AL41" s="122">
        <f t="shared" si="42"/>
        <v>0</v>
      </c>
      <c r="AM41" s="217">
        <f t="shared" si="43"/>
        <v>0</v>
      </c>
      <c r="AN41" s="122">
        <f t="shared" si="44"/>
        <v>0</v>
      </c>
      <c r="AO41" s="122">
        <f t="shared" si="45"/>
        <v>0</v>
      </c>
      <c r="AP41" s="122">
        <f t="shared" si="46"/>
        <v>0</v>
      </c>
      <c r="AQ41" s="122">
        <f t="shared" si="47"/>
        <v>0</v>
      </c>
      <c r="AR41" s="122">
        <f t="shared" si="48"/>
        <v>0</v>
      </c>
      <c r="AS41" s="122">
        <f t="shared" si="49"/>
        <v>0</v>
      </c>
      <c r="AT41" s="122">
        <f t="shared" si="50"/>
        <v>129000.045237721</v>
      </c>
      <c r="AU41" s="122">
        <f t="shared" si="51"/>
        <v>2</v>
      </c>
      <c r="AV41" s="222">
        <f t="shared" si="52"/>
        <v>0</v>
      </c>
    </row>
    <row r="42" spans="2:67" s="86" customFormat="1" x14ac:dyDescent="0.3">
      <c r="B42" s="184">
        <f t="shared" si="18"/>
        <v>31</v>
      </c>
      <c r="C42" s="346">
        <f t="shared" si="19"/>
        <v>2052</v>
      </c>
      <c r="D42" s="347">
        <f t="shared" si="20"/>
        <v>55519</v>
      </c>
      <c r="E42" s="440">
        <f t="shared" si="21"/>
        <v>55884</v>
      </c>
      <c r="F42" s="732">
        <f>IF(AND(B42&gt;0,B42&lt;=Hatchery_Retrofit!$J$10),1,0)</f>
        <v>0</v>
      </c>
      <c r="G42" s="217">
        <f t="shared" si="22"/>
        <v>0</v>
      </c>
      <c r="H42" s="438">
        <f>(Hatchery_Retrofit!$M$15*F42)+IF(B42=Hatchery_Retrofit!$J$10,Hatchery_Retrofit!$J$12,0)</f>
        <v>0</v>
      </c>
      <c r="I42" s="122">
        <f t="shared" si="23"/>
        <v>0</v>
      </c>
      <c r="J42" s="219">
        <f t="shared" si="24"/>
        <v>0</v>
      </c>
      <c r="K42" s="220">
        <f>Deprec!AA41</f>
        <v>0</v>
      </c>
      <c r="L42" s="122">
        <f t="shared" si="25"/>
        <v>0</v>
      </c>
      <c r="M42" s="221">
        <f t="shared" si="26"/>
        <v>0</v>
      </c>
      <c r="N42" s="122">
        <f t="shared" si="27"/>
        <v>0</v>
      </c>
      <c r="O42" s="438">
        <f>IF(N42&lt;0,0,(N42*Hatchery_Retrofit!$J$7))</f>
        <v>0</v>
      </c>
      <c r="P42" s="122">
        <f t="shared" si="28"/>
        <v>0</v>
      </c>
      <c r="Q42" s="123">
        <f t="shared" si="29"/>
        <v>0</v>
      </c>
      <c r="T42" s="218">
        <f t="shared" si="30"/>
        <v>0</v>
      </c>
      <c r="U42" s="438">
        <f t="shared" si="31"/>
        <v>0</v>
      </c>
      <c r="V42" s="218">
        <f>IF(B42=0,Hatchery_Retrofit!$C$29,0)</f>
        <v>0</v>
      </c>
      <c r="W42" s="435">
        <f t="shared" si="32"/>
        <v>0</v>
      </c>
      <c r="X42" s="438">
        <f t="shared" si="33"/>
        <v>0</v>
      </c>
      <c r="Y42" s="184">
        <f>IF(B42=0,Hatchery_Retrofit!$G$15+Hatchery_Retrofit!$G$16,0)</f>
        <v>0</v>
      </c>
      <c r="Z42" s="185">
        <f>IF(B42=0,Hatchery_Retrofit!$G$14,0)</f>
        <v>0</v>
      </c>
      <c r="AA42" s="132">
        <f t="shared" si="34"/>
        <v>0</v>
      </c>
      <c r="AB42" s="218">
        <f t="shared" si="35"/>
        <v>0</v>
      </c>
      <c r="AC42" s="218">
        <f>Hatchery_Retrofit!$G$20*AVERAGE(AR42,AS42)</f>
        <v>0</v>
      </c>
      <c r="AD42" s="132">
        <f t="shared" si="36"/>
        <v>0</v>
      </c>
      <c r="AE42" s="132">
        <f t="shared" si="37"/>
        <v>0</v>
      </c>
      <c r="AF42" s="122">
        <f t="shared" si="38"/>
        <v>0</v>
      </c>
      <c r="AG42" s="438">
        <f t="shared" si="39"/>
        <v>0</v>
      </c>
      <c r="AH42" s="122">
        <f t="shared" si="40"/>
        <v>0</v>
      </c>
      <c r="AI42" s="122">
        <f t="shared" si="41"/>
        <v>0</v>
      </c>
      <c r="AJ42" s="122">
        <f>-Debt_Calc!CY40</f>
        <v>0</v>
      </c>
      <c r="AK42" s="122">
        <f>Debt_Calc!CZ40</f>
        <v>0</v>
      </c>
      <c r="AL42" s="122">
        <f t="shared" si="42"/>
        <v>0</v>
      </c>
      <c r="AM42" s="217">
        <f t="shared" si="43"/>
        <v>0</v>
      </c>
      <c r="AN42" s="122">
        <f t="shared" si="44"/>
        <v>0</v>
      </c>
      <c r="AO42" s="122">
        <f t="shared" si="45"/>
        <v>0</v>
      </c>
      <c r="AP42" s="122">
        <f t="shared" si="46"/>
        <v>0</v>
      </c>
      <c r="AQ42" s="122">
        <f t="shared" si="47"/>
        <v>0</v>
      </c>
      <c r="AR42" s="122">
        <f t="shared" si="48"/>
        <v>0</v>
      </c>
      <c r="AS42" s="122">
        <f t="shared" si="49"/>
        <v>0</v>
      </c>
      <c r="AT42" s="122">
        <f t="shared" si="50"/>
        <v>129000.045237721</v>
      </c>
      <c r="AU42" s="122">
        <f t="shared" si="51"/>
        <v>2</v>
      </c>
      <c r="AV42" s="222">
        <f t="shared" si="52"/>
        <v>0</v>
      </c>
    </row>
    <row r="43" spans="2:67" s="86" customFormat="1" x14ac:dyDescent="0.3">
      <c r="B43" s="184">
        <f t="shared" si="18"/>
        <v>32</v>
      </c>
      <c r="C43" s="346">
        <f t="shared" si="19"/>
        <v>2053</v>
      </c>
      <c r="D43" s="347">
        <f t="shared" si="20"/>
        <v>55885</v>
      </c>
      <c r="E43" s="440">
        <f t="shared" si="21"/>
        <v>56249</v>
      </c>
      <c r="F43" s="732">
        <f>IF(AND(B43&gt;0,B43&lt;=Hatchery_Retrofit!$J$10),1,0)</f>
        <v>0</v>
      </c>
      <c r="G43" s="217">
        <f t="shared" si="22"/>
        <v>0</v>
      </c>
      <c r="H43" s="438">
        <f>(Hatchery_Retrofit!$M$15*F43)+IF(B43=Hatchery_Retrofit!$J$10,Hatchery_Retrofit!$J$12,0)</f>
        <v>0</v>
      </c>
      <c r="I43" s="122">
        <f t="shared" si="23"/>
        <v>0</v>
      </c>
      <c r="J43" s="219">
        <f t="shared" si="24"/>
        <v>0</v>
      </c>
      <c r="K43" s="220">
        <f>Deprec!AA42</f>
        <v>0</v>
      </c>
      <c r="L43" s="122">
        <f t="shared" si="25"/>
        <v>0</v>
      </c>
      <c r="M43" s="221">
        <f t="shared" si="26"/>
        <v>0</v>
      </c>
      <c r="N43" s="122">
        <f t="shared" si="27"/>
        <v>0</v>
      </c>
      <c r="O43" s="438">
        <f>IF(N43&lt;0,0,(N43*Hatchery_Retrofit!$J$7))</f>
        <v>0</v>
      </c>
      <c r="P43" s="122">
        <f t="shared" si="28"/>
        <v>0</v>
      </c>
      <c r="Q43" s="123">
        <f t="shared" si="29"/>
        <v>0</v>
      </c>
      <c r="T43" s="218">
        <f t="shared" si="30"/>
        <v>0</v>
      </c>
      <c r="U43" s="438">
        <f t="shared" si="31"/>
        <v>0</v>
      </c>
      <c r="V43" s="218">
        <f>IF(B43=0,Hatchery_Retrofit!$C$29,0)</f>
        <v>0</v>
      </c>
      <c r="W43" s="435">
        <f t="shared" si="32"/>
        <v>0</v>
      </c>
      <c r="X43" s="438">
        <f t="shared" si="33"/>
        <v>0</v>
      </c>
      <c r="Y43" s="184">
        <f>IF(B43=0,Hatchery_Retrofit!$G$15+Hatchery_Retrofit!$G$16,0)</f>
        <v>0</v>
      </c>
      <c r="Z43" s="185">
        <f>IF(B43=0,Hatchery_Retrofit!$G$14,0)</f>
        <v>0</v>
      </c>
      <c r="AA43" s="132">
        <f t="shared" si="34"/>
        <v>0</v>
      </c>
      <c r="AB43" s="218">
        <f t="shared" si="35"/>
        <v>0</v>
      </c>
      <c r="AC43" s="218">
        <f>Hatchery_Retrofit!$G$20*AVERAGE(AR43,AS43)</f>
        <v>0</v>
      </c>
      <c r="AD43" s="132">
        <f t="shared" si="36"/>
        <v>0</v>
      </c>
      <c r="AE43" s="132">
        <f t="shared" si="37"/>
        <v>0</v>
      </c>
      <c r="AF43" s="122">
        <f t="shared" si="38"/>
        <v>0</v>
      </c>
      <c r="AG43" s="438">
        <f t="shared" si="39"/>
        <v>0</v>
      </c>
      <c r="AH43" s="122">
        <f t="shared" si="40"/>
        <v>0</v>
      </c>
      <c r="AI43" s="122">
        <f t="shared" si="41"/>
        <v>0</v>
      </c>
      <c r="AJ43" s="122">
        <f>-Debt_Calc!CY41</f>
        <v>0</v>
      </c>
      <c r="AK43" s="122">
        <f>Debt_Calc!CZ41</f>
        <v>0</v>
      </c>
      <c r="AL43" s="122">
        <f t="shared" si="42"/>
        <v>0</v>
      </c>
      <c r="AM43" s="217">
        <f t="shared" si="43"/>
        <v>0</v>
      </c>
      <c r="AN43" s="122">
        <f t="shared" si="44"/>
        <v>0</v>
      </c>
      <c r="AO43" s="122">
        <f t="shared" si="45"/>
        <v>0</v>
      </c>
      <c r="AP43" s="122">
        <f t="shared" si="46"/>
        <v>0</v>
      </c>
      <c r="AQ43" s="122">
        <f t="shared" si="47"/>
        <v>0</v>
      </c>
      <c r="AR43" s="122">
        <f t="shared" si="48"/>
        <v>0</v>
      </c>
      <c r="AS43" s="122">
        <f t="shared" si="49"/>
        <v>0</v>
      </c>
      <c r="AT43" s="122">
        <f t="shared" si="50"/>
        <v>129000.045237721</v>
      </c>
      <c r="AU43" s="122">
        <f t="shared" si="51"/>
        <v>2</v>
      </c>
      <c r="AV43" s="222">
        <f t="shared" si="52"/>
        <v>0</v>
      </c>
    </row>
    <row r="44" spans="2:67" s="86" customFormat="1" x14ac:dyDescent="0.3">
      <c r="B44" s="748">
        <f t="shared" si="18"/>
        <v>33</v>
      </c>
      <c r="C44" s="756">
        <f t="shared" si="19"/>
        <v>2054</v>
      </c>
      <c r="D44" s="757">
        <f t="shared" si="20"/>
        <v>56250</v>
      </c>
      <c r="E44" s="758">
        <f t="shared" si="21"/>
        <v>56614</v>
      </c>
      <c r="F44" s="762">
        <f>IF(AND(B44&gt;0,B44&lt;=Hatchery_Retrofit!$J$10),1,0)</f>
        <v>0</v>
      </c>
      <c r="G44" s="759">
        <f t="shared" si="22"/>
        <v>0</v>
      </c>
      <c r="H44" s="749">
        <f>(Hatchery_Retrofit!$M$15*F44)+IF(B44=Hatchery_Retrofit!$J$10,Hatchery_Retrofit!$J$12,0)</f>
        <v>0</v>
      </c>
      <c r="I44" s="83">
        <f t="shared" si="23"/>
        <v>0</v>
      </c>
      <c r="J44" s="738">
        <f t="shared" si="24"/>
        <v>0</v>
      </c>
      <c r="K44" s="750">
        <f>Deprec!AA43</f>
        <v>0</v>
      </c>
      <c r="L44" s="83">
        <f t="shared" si="25"/>
        <v>0</v>
      </c>
      <c r="M44" s="751">
        <f t="shared" si="26"/>
        <v>0</v>
      </c>
      <c r="N44" s="83">
        <f t="shared" si="27"/>
        <v>0</v>
      </c>
      <c r="O44" s="749">
        <f>IF(N44&lt;0,0,(N44*Hatchery_Retrofit!$J$7))</f>
        <v>0</v>
      </c>
      <c r="P44" s="83">
        <f t="shared" si="28"/>
        <v>0</v>
      </c>
      <c r="Q44" s="688">
        <f t="shared" si="29"/>
        <v>0</v>
      </c>
      <c r="R44" s="232"/>
      <c r="S44" s="232"/>
      <c r="T44" s="746">
        <f t="shared" si="30"/>
        <v>0</v>
      </c>
      <c r="U44" s="749">
        <f t="shared" si="31"/>
        <v>0</v>
      </c>
      <c r="V44" s="746">
        <f>IF(B44=0,Hatchery_Retrofit!$C$29,0)</f>
        <v>0</v>
      </c>
      <c r="W44" s="760">
        <f t="shared" si="32"/>
        <v>0</v>
      </c>
      <c r="X44" s="749">
        <f t="shared" si="33"/>
        <v>0</v>
      </c>
      <c r="Y44" s="748">
        <f>IF(B44=0,Hatchery_Retrofit!$G$15+Hatchery_Retrofit!$G$16,0)</f>
        <v>0</v>
      </c>
      <c r="Z44" s="150">
        <f>IF(B44=0,Hatchery_Retrofit!$G$14,0)</f>
        <v>0</v>
      </c>
      <c r="AA44" s="84">
        <f t="shared" si="34"/>
        <v>0</v>
      </c>
      <c r="AB44" s="746">
        <f t="shared" si="35"/>
        <v>0</v>
      </c>
      <c r="AC44" s="746">
        <f>Hatchery_Retrofit!$G$20*AVERAGE(AR44,AS44)</f>
        <v>0</v>
      </c>
      <c r="AD44" s="84">
        <f t="shared" si="36"/>
        <v>0</v>
      </c>
      <c r="AE44" s="84">
        <f t="shared" si="37"/>
        <v>0</v>
      </c>
      <c r="AF44" s="83">
        <f t="shared" si="38"/>
        <v>0</v>
      </c>
      <c r="AG44" s="749">
        <f t="shared" si="39"/>
        <v>0</v>
      </c>
      <c r="AH44" s="83">
        <f t="shared" si="40"/>
        <v>0</v>
      </c>
      <c r="AI44" s="83">
        <f t="shared" si="41"/>
        <v>0</v>
      </c>
      <c r="AJ44" s="83">
        <f>-Debt_Calc!CY42</f>
        <v>0</v>
      </c>
      <c r="AK44" s="83">
        <f>Debt_Calc!CZ42</f>
        <v>0</v>
      </c>
      <c r="AL44" s="83">
        <f t="shared" si="42"/>
        <v>0</v>
      </c>
      <c r="AM44" s="759">
        <f t="shared" si="43"/>
        <v>0</v>
      </c>
      <c r="AN44" s="83">
        <f t="shared" si="44"/>
        <v>0</v>
      </c>
      <c r="AO44" s="83">
        <f t="shared" si="45"/>
        <v>0</v>
      </c>
      <c r="AP44" s="83">
        <f t="shared" si="46"/>
        <v>0</v>
      </c>
      <c r="AQ44" s="83">
        <f t="shared" si="47"/>
        <v>0</v>
      </c>
      <c r="AR44" s="83">
        <f t="shared" si="48"/>
        <v>0</v>
      </c>
      <c r="AS44" s="83">
        <f t="shared" si="49"/>
        <v>0</v>
      </c>
      <c r="AT44" s="83">
        <f t="shared" si="50"/>
        <v>129000.045237721</v>
      </c>
      <c r="AU44" s="83">
        <f t="shared" si="51"/>
        <v>2</v>
      </c>
      <c r="AV44" s="739">
        <f t="shared" si="52"/>
        <v>0</v>
      </c>
    </row>
    <row r="45" spans="2:67" s="227" customFormat="1" x14ac:dyDescent="0.3">
      <c r="G45" s="202"/>
      <c r="H45" s="86"/>
      <c r="I45" s="86"/>
      <c r="J45" s="86"/>
      <c r="K45" s="86"/>
      <c r="L45" s="86"/>
      <c r="M45" s="199"/>
      <c r="N45" s="86"/>
      <c r="O45" s="86"/>
      <c r="P45" s="86"/>
      <c r="Q45" s="225"/>
      <c r="R45" s="86"/>
      <c r="S45" s="86"/>
      <c r="T45" s="239"/>
      <c r="U45" s="86"/>
      <c r="V45" s="202"/>
      <c r="W45" s="86"/>
      <c r="X45" s="86"/>
      <c r="Y45" s="86"/>
      <c r="Z45" s="86"/>
      <c r="AA45" s="86"/>
      <c r="AB45" s="86"/>
      <c r="AC45" s="86"/>
      <c r="AD45" s="86"/>
      <c r="AE45" s="86"/>
      <c r="AF45" s="86"/>
      <c r="AG45" s="86"/>
      <c r="AH45" s="86"/>
      <c r="AI45" s="86"/>
      <c r="AJ45" s="202"/>
      <c r="AK45" s="202"/>
      <c r="AL45" s="202"/>
      <c r="AM45" s="86"/>
      <c r="AN45" s="86"/>
      <c r="AO45" s="86"/>
      <c r="AP45" s="86"/>
      <c r="AQ45" s="86"/>
      <c r="AR45" s="86"/>
      <c r="AS45" s="86"/>
      <c r="AT45" s="86"/>
      <c r="AU45" s="86"/>
      <c r="AV45" s="86"/>
      <c r="AW45" s="86"/>
      <c r="AX45" s="86"/>
      <c r="AY45" s="86"/>
      <c r="AZ45" s="86"/>
      <c r="BA45" s="86"/>
      <c r="BB45" s="86"/>
      <c r="BC45" s="86"/>
      <c r="BD45" s="86"/>
      <c r="BE45" s="86"/>
      <c r="BF45" s="86"/>
      <c r="BG45" s="86"/>
      <c r="BH45" s="86"/>
      <c r="BI45" s="86"/>
      <c r="BJ45" s="86"/>
      <c r="BK45" s="86"/>
      <c r="BL45" s="86"/>
      <c r="BM45" s="86"/>
      <c r="BN45" s="86"/>
      <c r="BO45" s="86"/>
    </row>
    <row r="46" spans="2:67" s="227" customFormat="1" x14ac:dyDescent="0.3">
      <c r="G46" s="202"/>
      <c r="H46" s="86"/>
      <c r="I46" s="86"/>
      <c r="J46" s="86"/>
      <c r="K46" s="86"/>
      <c r="L46" s="86"/>
      <c r="M46" s="199"/>
      <c r="N46" s="86"/>
      <c r="O46" s="86"/>
      <c r="P46" s="86"/>
      <c r="Q46" s="225"/>
      <c r="R46" s="86"/>
      <c r="S46" s="86"/>
      <c r="T46" s="239"/>
      <c r="U46" s="86"/>
      <c r="V46" s="202"/>
      <c r="W46" s="86"/>
      <c r="X46" s="86"/>
      <c r="Y46" s="86"/>
      <c r="Z46" s="86"/>
      <c r="AA46" s="86"/>
      <c r="AB46" s="86"/>
      <c r="AC46" s="86"/>
      <c r="AD46" s="86"/>
      <c r="AE46" s="86"/>
      <c r="AF46" s="86"/>
      <c r="AG46" s="86"/>
      <c r="AH46" s="86"/>
      <c r="AI46" s="86"/>
      <c r="AJ46" s="202"/>
      <c r="AK46" s="202"/>
      <c r="AL46" s="202"/>
      <c r="AM46" s="86"/>
      <c r="AN46" s="86"/>
      <c r="AO46" s="86"/>
      <c r="AP46" s="86"/>
      <c r="AQ46" s="86"/>
      <c r="AR46" s="86"/>
      <c r="AS46" s="86"/>
      <c r="AT46" s="86"/>
      <c r="AU46" s="86"/>
      <c r="AV46" s="86"/>
      <c r="AW46" s="86"/>
      <c r="AX46" s="86"/>
      <c r="AY46" s="86"/>
      <c r="AZ46" s="86"/>
      <c r="BA46" s="86"/>
      <c r="BB46" s="86"/>
      <c r="BC46" s="86"/>
      <c r="BD46" s="86"/>
      <c r="BE46" s="86"/>
      <c r="BF46" s="86"/>
      <c r="BG46" s="86"/>
      <c r="BH46" s="86"/>
      <c r="BI46" s="86"/>
      <c r="BJ46" s="86"/>
      <c r="BK46" s="86"/>
      <c r="BL46" s="86"/>
      <c r="BM46" s="86"/>
      <c r="BN46" s="86"/>
      <c r="BO46" s="86"/>
    </row>
    <row r="47" spans="2:67" s="227" customFormat="1" x14ac:dyDescent="0.3">
      <c r="G47" s="202"/>
      <c r="H47" s="86"/>
      <c r="I47" s="86"/>
      <c r="J47" s="86"/>
      <c r="K47" s="86"/>
      <c r="L47" s="86"/>
      <c r="M47" s="199"/>
      <c r="N47" s="86"/>
      <c r="O47" s="86"/>
      <c r="P47" s="86"/>
      <c r="Q47" s="225"/>
      <c r="R47" s="86"/>
      <c r="S47" s="86"/>
      <c r="T47" s="239"/>
      <c r="U47" s="86"/>
      <c r="V47" s="202"/>
      <c r="W47" s="86"/>
      <c r="X47" s="86"/>
      <c r="Y47" s="86"/>
      <c r="Z47" s="86"/>
      <c r="AA47" s="86"/>
      <c r="AB47" s="86"/>
      <c r="AC47" s="86"/>
      <c r="AD47" s="86"/>
      <c r="AE47" s="86"/>
      <c r="AF47" s="86"/>
      <c r="AG47" s="86"/>
      <c r="AH47" s="86"/>
      <c r="AI47" s="86"/>
      <c r="AJ47" s="202"/>
      <c r="AK47" s="202"/>
      <c r="AL47" s="202"/>
      <c r="AM47" s="86"/>
      <c r="AN47" s="86"/>
      <c r="AO47" s="86"/>
      <c r="AP47" s="86"/>
      <c r="AQ47" s="86"/>
      <c r="AR47" s="86"/>
      <c r="AS47" s="86"/>
      <c r="AT47" s="86"/>
      <c r="AU47" s="86"/>
      <c r="AV47" s="86"/>
      <c r="AW47" s="86"/>
      <c r="AX47" s="86"/>
      <c r="AY47" s="86"/>
      <c r="AZ47" s="86"/>
      <c r="BA47" s="86"/>
      <c r="BB47" s="86"/>
      <c r="BC47" s="86"/>
      <c r="BD47" s="86"/>
      <c r="BE47" s="86"/>
      <c r="BF47" s="86"/>
      <c r="BG47" s="86"/>
      <c r="BH47" s="86"/>
      <c r="BI47" s="86"/>
      <c r="BJ47" s="86"/>
      <c r="BK47" s="86"/>
      <c r="BL47" s="86"/>
      <c r="BM47" s="86"/>
      <c r="BN47" s="86"/>
      <c r="BO47" s="86"/>
    </row>
    <row r="48" spans="2:67" s="227" customFormat="1" x14ac:dyDescent="0.3">
      <c r="G48" s="202"/>
      <c r="H48" s="86"/>
      <c r="I48" s="86"/>
      <c r="J48" s="86"/>
      <c r="K48" s="86"/>
      <c r="L48" s="86"/>
      <c r="M48" s="199"/>
      <c r="N48" s="86"/>
      <c r="O48" s="86"/>
      <c r="P48" s="86"/>
      <c r="Q48" s="225"/>
      <c r="R48" s="86"/>
      <c r="S48" s="86"/>
      <c r="T48" s="239"/>
      <c r="U48" s="86"/>
      <c r="V48" s="202"/>
      <c r="W48" s="86"/>
      <c r="X48" s="86"/>
      <c r="Y48" s="86"/>
      <c r="Z48" s="86"/>
      <c r="AA48" s="86"/>
      <c r="AB48" s="86"/>
      <c r="AC48" s="86"/>
      <c r="AD48" s="86"/>
      <c r="AE48" s="86"/>
      <c r="AF48" s="86"/>
      <c r="AG48" s="86"/>
      <c r="AH48" s="86"/>
      <c r="AI48" s="86"/>
      <c r="AJ48" s="202"/>
      <c r="AK48" s="202"/>
      <c r="AL48" s="202"/>
      <c r="AM48" s="86"/>
      <c r="AN48" s="86"/>
      <c r="AO48" s="86"/>
      <c r="AP48" s="86"/>
      <c r="AQ48" s="86"/>
      <c r="AR48" s="86"/>
      <c r="AS48" s="86"/>
      <c r="AT48" s="86"/>
      <c r="AU48" s="86"/>
      <c r="AV48" s="86"/>
      <c r="AW48" s="86"/>
      <c r="AX48" s="86"/>
      <c r="AY48" s="86"/>
      <c r="AZ48" s="86"/>
      <c r="BA48" s="86"/>
      <c r="BB48" s="86"/>
      <c r="BC48" s="86"/>
      <c r="BD48" s="86"/>
      <c r="BE48" s="86"/>
      <c r="BF48" s="86"/>
      <c r="BG48" s="86"/>
      <c r="BH48" s="86"/>
      <c r="BI48" s="86"/>
      <c r="BJ48" s="86"/>
      <c r="BK48" s="86"/>
      <c r="BL48" s="86"/>
      <c r="BM48" s="86"/>
      <c r="BN48" s="86"/>
      <c r="BO48" s="86"/>
    </row>
    <row r="49" spans="7:67" s="227" customFormat="1" x14ac:dyDescent="0.3">
      <c r="G49" s="202"/>
      <c r="H49" s="86"/>
      <c r="I49" s="86"/>
      <c r="J49" s="86"/>
      <c r="K49" s="86"/>
      <c r="L49" s="86"/>
      <c r="M49" s="199"/>
      <c r="N49" s="86"/>
      <c r="O49" s="86"/>
      <c r="P49" s="86"/>
      <c r="Q49" s="225"/>
      <c r="R49" s="86"/>
      <c r="S49" s="86"/>
      <c r="T49" s="239"/>
      <c r="U49" s="86"/>
      <c r="V49" s="202"/>
      <c r="W49" s="86"/>
      <c r="X49" s="86"/>
      <c r="Y49" s="86"/>
      <c r="Z49" s="86"/>
      <c r="AA49" s="86"/>
      <c r="AB49" s="86"/>
      <c r="AC49" s="86"/>
      <c r="AD49" s="86"/>
      <c r="AE49" s="86"/>
      <c r="AF49" s="86"/>
      <c r="AG49" s="86"/>
      <c r="AH49" s="86"/>
      <c r="AI49" s="86"/>
      <c r="AJ49" s="202"/>
      <c r="AK49" s="202"/>
      <c r="AL49" s="202"/>
      <c r="AM49" s="86"/>
      <c r="AN49" s="86"/>
      <c r="AO49" s="86"/>
      <c r="AP49" s="86"/>
      <c r="AQ49" s="86"/>
      <c r="AR49" s="86"/>
      <c r="AS49" s="86"/>
      <c r="AT49" s="86"/>
      <c r="AU49" s="86"/>
      <c r="AV49" s="86"/>
      <c r="AW49" s="86"/>
      <c r="AX49" s="86"/>
      <c r="AY49" s="86"/>
      <c r="AZ49" s="86"/>
      <c r="BA49" s="86"/>
      <c r="BB49" s="86"/>
      <c r="BC49" s="86"/>
      <c r="BD49" s="86"/>
      <c r="BE49" s="86"/>
      <c r="BF49" s="86"/>
      <c r="BG49" s="86"/>
      <c r="BH49" s="86"/>
      <c r="BI49" s="86"/>
      <c r="BJ49" s="86"/>
      <c r="BK49" s="86"/>
      <c r="BL49" s="86"/>
      <c r="BM49" s="86"/>
      <c r="BN49" s="86"/>
      <c r="BO49" s="86"/>
    </row>
    <row r="50" spans="7:67" s="227" customFormat="1" x14ac:dyDescent="0.3">
      <c r="G50" s="202"/>
      <c r="H50" s="86"/>
      <c r="I50" s="86"/>
      <c r="J50" s="86"/>
      <c r="K50" s="86"/>
      <c r="L50" s="86"/>
      <c r="M50" s="199"/>
      <c r="N50" s="86"/>
      <c r="O50" s="86"/>
      <c r="P50" s="86"/>
      <c r="Q50" s="225"/>
      <c r="R50" s="86"/>
      <c r="S50" s="86"/>
      <c r="T50" s="239"/>
      <c r="U50" s="86"/>
      <c r="V50" s="202"/>
      <c r="W50" s="86"/>
      <c r="X50" s="86"/>
      <c r="Y50" s="86"/>
      <c r="Z50" s="86"/>
      <c r="AA50" s="86"/>
      <c r="AB50" s="86"/>
      <c r="AC50" s="86"/>
      <c r="AD50" s="86"/>
      <c r="AE50" s="86"/>
      <c r="AF50" s="86"/>
      <c r="AG50" s="86"/>
      <c r="AH50" s="86"/>
      <c r="AI50" s="86"/>
      <c r="AJ50" s="202"/>
      <c r="AK50" s="202"/>
      <c r="AL50" s="202"/>
      <c r="AM50" s="86"/>
      <c r="AN50" s="86"/>
      <c r="AO50" s="86"/>
      <c r="AP50" s="86"/>
      <c r="AQ50" s="86"/>
      <c r="AR50" s="86"/>
      <c r="AS50" s="86"/>
      <c r="AT50" s="86"/>
      <c r="AU50" s="86"/>
      <c r="AV50" s="86"/>
      <c r="AW50" s="86"/>
      <c r="AX50" s="86"/>
      <c r="AY50" s="86"/>
      <c r="AZ50" s="86"/>
      <c r="BA50" s="86"/>
      <c r="BB50" s="86"/>
      <c r="BC50" s="86"/>
      <c r="BD50" s="86"/>
      <c r="BE50" s="86"/>
      <c r="BF50" s="86"/>
      <c r="BG50" s="86"/>
      <c r="BH50" s="86"/>
      <c r="BI50" s="86"/>
      <c r="BJ50" s="86"/>
      <c r="BK50" s="86"/>
      <c r="BL50" s="86"/>
      <c r="BM50" s="86"/>
      <c r="BN50" s="86"/>
      <c r="BO50" s="86"/>
    </row>
    <row r="51" spans="7:67" s="227" customFormat="1" x14ac:dyDescent="0.3">
      <c r="G51" s="202"/>
      <c r="H51" s="86"/>
      <c r="I51" s="86"/>
      <c r="J51" s="86"/>
      <c r="K51" s="86"/>
      <c r="L51" s="86"/>
      <c r="M51" s="199"/>
      <c r="N51" s="86"/>
      <c r="O51" s="86"/>
      <c r="P51" s="86"/>
      <c r="Q51" s="225"/>
      <c r="R51" s="86"/>
      <c r="S51" s="86"/>
      <c r="T51" s="239"/>
      <c r="U51" s="86"/>
      <c r="V51" s="202"/>
      <c r="W51" s="86"/>
      <c r="X51" s="86"/>
      <c r="Y51" s="86"/>
      <c r="Z51" s="86"/>
      <c r="AA51" s="86"/>
      <c r="AB51" s="86"/>
      <c r="AC51" s="86"/>
      <c r="AD51" s="86"/>
      <c r="AE51" s="86"/>
      <c r="AF51" s="86"/>
      <c r="AG51" s="86"/>
      <c r="AH51" s="86"/>
      <c r="AI51" s="86"/>
      <c r="AJ51" s="202"/>
      <c r="AK51" s="202"/>
      <c r="AL51" s="202"/>
      <c r="AM51" s="86"/>
      <c r="AN51" s="86"/>
      <c r="AO51" s="86"/>
      <c r="AP51" s="86"/>
      <c r="AQ51" s="86"/>
      <c r="AR51" s="86"/>
      <c r="AS51" s="86"/>
      <c r="AT51" s="86"/>
      <c r="AU51" s="86"/>
      <c r="AV51" s="86"/>
      <c r="AW51" s="86"/>
      <c r="AX51" s="86"/>
      <c r="AY51" s="86"/>
      <c r="AZ51" s="86"/>
      <c r="BA51" s="86"/>
      <c r="BB51" s="86"/>
      <c r="BC51" s="86"/>
      <c r="BD51" s="86"/>
      <c r="BE51" s="86"/>
      <c r="BF51" s="86"/>
      <c r="BG51" s="86"/>
      <c r="BH51" s="86"/>
      <c r="BI51" s="86"/>
      <c r="BJ51" s="86"/>
      <c r="BK51" s="86"/>
      <c r="BL51" s="86"/>
      <c r="BM51" s="86"/>
      <c r="BN51" s="86"/>
      <c r="BO51" s="86"/>
    </row>
    <row r="52" spans="7:67" s="227" customFormat="1" x14ac:dyDescent="0.3">
      <c r="G52" s="202"/>
      <c r="H52" s="86"/>
      <c r="I52" s="86"/>
      <c r="J52" s="86"/>
      <c r="K52" s="86"/>
      <c r="L52" s="86"/>
      <c r="M52" s="199"/>
      <c r="N52" s="86"/>
      <c r="O52" s="86"/>
      <c r="P52" s="86"/>
      <c r="Q52" s="225"/>
      <c r="R52" s="86"/>
      <c r="S52" s="86"/>
      <c r="T52" s="239"/>
      <c r="U52" s="86"/>
      <c r="V52" s="202"/>
      <c r="W52" s="86"/>
      <c r="X52" s="86"/>
      <c r="Y52" s="86"/>
      <c r="Z52" s="86"/>
      <c r="AA52" s="86"/>
      <c r="AB52" s="86"/>
      <c r="AC52" s="86"/>
      <c r="AD52" s="86"/>
      <c r="AE52" s="86"/>
      <c r="AF52" s="86"/>
      <c r="AG52" s="86"/>
      <c r="AH52" s="86"/>
      <c r="AI52" s="86"/>
      <c r="AJ52" s="202"/>
      <c r="AK52" s="202"/>
      <c r="AL52" s="202"/>
      <c r="AM52" s="86"/>
      <c r="AN52" s="86"/>
      <c r="AO52" s="86"/>
      <c r="AP52" s="86"/>
      <c r="AQ52" s="86"/>
      <c r="AR52" s="86"/>
      <c r="AS52" s="86"/>
      <c r="AT52" s="86"/>
      <c r="AU52" s="86"/>
      <c r="AV52" s="86"/>
      <c r="AW52" s="86"/>
      <c r="AX52" s="86"/>
      <c r="AY52" s="86"/>
      <c r="AZ52" s="86"/>
      <c r="BA52" s="86"/>
      <c r="BB52" s="86"/>
      <c r="BC52" s="86"/>
      <c r="BD52" s="86"/>
      <c r="BE52" s="86"/>
      <c r="BF52" s="86"/>
      <c r="BG52" s="86"/>
      <c r="BH52" s="86"/>
      <c r="BI52" s="86"/>
      <c r="BJ52" s="86"/>
      <c r="BK52" s="86"/>
      <c r="BL52" s="86"/>
      <c r="BM52" s="86"/>
      <c r="BN52" s="86"/>
      <c r="BO52" s="86"/>
    </row>
    <row r="53" spans="7:67" s="227" customFormat="1" x14ac:dyDescent="0.3">
      <c r="G53" s="202"/>
      <c r="H53" s="86"/>
      <c r="I53" s="86"/>
      <c r="J53" s="86"/>
      <c r="K53" s="86"/>
      <c r="L53" s="86"/>
      <c r="M53" s="199"/>
      <c r="N53" s="86"/>
      <c r="O53" s="86"/>
      <c r="P53" s="86"/>
      <c r="Q53" s="225"/>
      <c r="R53" s="86"/>
      <c r="S53" s="86"/>
      <c r="T53" s="239"/>
      <c r="U53" s="86"/>
      <c r="V53" s="202"/>
      <c r="W53" s="86"/>
      <c r="X53" s="86"/>
      <c r="Y53" s="86"/>
      <c r="Z53" s="86"/>
      <c r="AA53" s="86"/>
      <c r="AB53" s="86"/>
      <c r="AC53" s="86"/>
      <c r="AD53" s="86"/>
      <c r="AE53" s="86"/>
      <c r="AF53" s="86"/>
      <c r="AG53" s="86"/>
      <c r="AH53" s="86"/>
      <c r="AI53" s="86"/>
      <c r="AJ53" s="202"/>
      <c r="AK53" s="202"/>
      <c r="AL53" s="202"/>
      <c r="AM53" s="86"/>
      <c r="AN53" s="86"/>
      <c r="AO53" s="86"/>
      <c r="AP53" s="86"/>
      <c r="AQ53" s="86"/>
      <c r="AR53" s="86"/>
      <c r="AS53" s="86"/>
      <c r="AT53" s="86"/>
      <c r="AU53" s="86"/>
      <c r="AV53" s="86"/>
      <c r="AW53" s="86"/>
      <c r="AX53" s="86"/>
      <c r="AY53" s="86"/>
      <c r="AZ53" s="86"/>
      <c r="BA53" s="86"/>
      <c r="BB53" s="86"/>
      <c r="BC53" s="86"/>
      <c r="BD53" s="86"/>
      <c r="BE53" s="86"/>
      <c r="BF53" s="86"/>
      <c r="BG53" s="86"/>
      <c r="BH53" s="86"/>
      <c r="BI53" s="86"/>
      <c r="BJ53" s="86"/>
      <c r="BK53" s="86"/>
      <c r="BL53" s="86"/>
      <c r="BM53" s="86"/>
      <c r="BN53" s="86"/>
      <c r="BO53" s="86"/>
    </row>
    <row r="54" spans="7:67" s="227" customFormat="1" x14ac:dyDescent="0.3">
      <c r="G54" s="202"/>
      <c r="H54" s="86"/>
      <c r="I54" s="86"/>
      <c r="J54" s="86"/>
      <c r="K54" s="86"/>
      <c r="L54" s="86"/>
      <c r="M54" s="199"/>
      <c r="N54" s="86"/>
      <c r="O54" s="86"/>
      <c r="P54" s="86"/>
      <c r="Q54" s="225"/>
      <c r="R54" s="86"/>
      <c r="S54" s="86"/>
      <c r="T54" s="239"/>
      <c r="U54" s="86"/>
      <c r="V54" s="202"/>
      <c r="W54" s="86"/>
      <c r="X54" s="86"/>
      <c r="Y54" s="86"/>
      <c r="Z54" s="86"/>
      <c r="AA54" s="86"/>
      <c r="AB54" s="86"/>
      <c r="AC54" s="86"/>
      <c r="AD54" s="86"/>
      <c r="AE54" s="86"/>
      <c r="AF54" s="86"/>
      <c r="AG54" s="86"/>
      <c r="AH54" s="86"/>
      <c r="AI54" s="86"/>
      <c r="AJ54" s="202"/>
      <c r="AK54" s="202"/>
      <c r="AL54" s="202"/>
      <c r="AM54" s="86"/>
      <c r="AN54" s="86"/>
      <c r="AO54" s="86"/>
      <c r="AP54" s="86"/>
      <c r="AQ54" s="86"/>
      <c r="AR54" s="86"/>
      <c r="AS54" s="86"/>
      <c r="AT54" s="86"/>
      <c r="AU54" s="86"/>
      <c r="AV54" s="86"/>
      <c r="AW54" s="86"/>
      <c r="AX54" s="86"/>
      <c r="AY54" s="86"/>
      <c r="AZ54" s="86"/>
      <c r="BA54" s="86"/>
      <c r="BB54" s="86"/>
      <c r="BC54" s="86"/>
      <c r="BD54" s="86"/>
      <c r="BE54" s="86"/>
      <c r="BF54" s="86"/>
      <c r="BG54" s="86"/>
      <c r="BH54" s="86"/>
      <c r="BI54" s="86"/>
      <c r="BJ54" s="86"/>
      <c r="BK54" s="86"/>
      <c r="BL54" s="86"/>
      <c r="BM54" s="86"/>
      <c r="BN54" s="86"/>
      <c r="BO54" s="86"/>
    </row>
    <row r="55" spans="7:67" s="227" customFormat="1" x14ac:dyDescent="0.3">
      <c r="G55" s="202"/>
      <c r="H55" s="86"/>
      <c r="I55" s="86"/>
      <c r="J55" s="86"/>
      <c r="K55" s="86"/>
      <c r="L55" s="86"/>
      <c r="M55" s="199"/>
      <c r="N55" s="86"/>
      <c r="O55" s="86"/>
      <c r="P55" s="86"/>
      <c r="Q55" s="225"/>
      <c r="R55" s="86"/>
      <c r="S55" s="86"/>
      <c r="T55" s="239"/>
      <c r="U55" s="86"/>
      <c r="V55" s="202"/>
      <c r="W55" s="86"/>
      <c r="X55" s="86"/>
      <c r="Y55" s="86"/>
      <c r="Z55" s="86"/>
      <c r="AA55" s="86"/>
      <c r="AB55" s="86"/>
      <c r="AC55" s="86"/>
      <c r="AD55" s="86"/>
      <c r="AE55" s="86"/>
      <c r="AF55" s="86"/>
      <c r="AG55" s="86"/>
      <c r="AH55" s="86"/>
      <c r="AI55" s="86"/>
      <c r="AJ55" s="202"/>
      <c r="AK55" s="202"/>
      <c r="AL55" s="202"/>
      <c r="AM55" s="86"/>
      <c r="AN55" s="86"/>
      <c r="AO55" s="86"/>
      <c r="AP55" s="86"/>
      <c r="AQ55" s="86"/>
      <c r="AR55" s="86"/>
      <c r="AS55" s="86"/>
      <c r="AT55" s="86"/>
      <c r="AU55" s="86"/>
      <c r="AV55" s="86"/>
      <c r="AW55" s="86"/>
      <c r="AX55" s="86"/>
      <c r="AY55" s="86"/>
      <c r="AZ55" s="86"/>
      <c r="BA55" s="86"/>
      <c r="BB55" s="86"/>
      <c r="BC55" s="86"/>
      <c r="BD55" s="86"/>
      <c r="BE55" s="86"/>
      <c r="BF55" s="86"/>
      <c r="BG55" s="86"/>
      <c r="BH55" s="86"/>
      <c r="BI55" s="86"/>
      <c r="BJ55" s="86"/>
      <c r="BK55" s="86"/>
      <c r="BL55" s="86"/>
      <c r="BM55" s="86"/>
      <c r="BN55" s="86"/>
      <c r="BO55" s="86"/>
    </row>
    <row r="56" spans="7:67" s="227" customFormat="1" x14ac:dyDescent="0.3">
      <c r="G56" s="202"/>
      <c r="H56" s="86"/>
      <c r="I56" s="86"/>
      <c r="J56" s="86"/>
      <c r="K56" s="86"/>
      <c r="L56" s="86"/>
      <c r="M56" s="199"/>
      <c r="N56" s="86"/>
      <c r="O56" s="86"/>
      <c r="P56" s="86"/>
      <c r="Q56" s="225"/>
      <c r="R56" s="86"/>
      <c r="S56" s="86"/>
      <c r="T56" s="239"/>
      <c r="U56" s="86"/>
      <c r="V56" s="202"/>
      <c r="W56" s="86"/>
      <c r="X56" s="86"/>
      <c r="Y56" s="86"/>
      <c r="Z56" s="86"/>
      <c r="AA56" s="86"/>
      <c r="AB56" s="86"/>
      <c r="AC56" s="86"/>
      <c r="AD56" s="86"/>
      <c r="AE56" s="86"/>
      <c r="AF56" s="86"/>
      <c r="AG56" s="86"/>
      <c r="AH56" s="86"/>
      <c r="AI56" s="86"/>
      <c r="AJ56" s="202"/>
      <c r="AK56" s="202"/>
      <c r="AL56" s="202"/>
      <c r="AM56" s="86"/>
      <c r="AN56" s="86"/>
      <c r="AO56" s="86"/>
      <c r="AP56" s="86"/>
      <c r="AQ56" s="86"/>
      <c r="AR56" s="86"/>
      <c r="AS56" s="86"/>
      <c r="AT56" s="86"/>
      <c r="AU56" s="86"/>
      <c r="AV56" s="86"/>
      <c r="AW56" s="86"/>
      <c r="AX56" s="86"/>
      <c r="AY56" s="86"/>
      <c r="AZ56" s="86"/>
      <c r="BA56" s="86"/>
      <c r="BB56" s="86"/>
      <c r="BC56" s="86"/>
      <c r="BD56" s="86"/>
      <c r="BE56" s="86"/>
      <c r="BF56" s="86"/>
      <c r="BG56" s="86"/>
      <c r="BH56" s="86"/>
      <c r="BI56" s="86"/>
      <c r="BJ56" s="86"/>
      <c r="BK56" s="86"/>
      <c r="BL56" s="86"/>
      <c r="BM56" s="86"/>
      <c r="BN56" s="86"/>
      <c r="BO56" s="86"/>
    </row>
    <row r="57" spans="7:67" s="227" customFormat="1" x14ac:dyDescent="0.3">
      <c r="G57" s="202"/>
      <c r="H57" s="86"/>
      <c r="I57" s="86"/>
      <c r="J57" s="86"/>
      <c r="K57" s="86"/>
      <c r="L57" s="86"/>
      <c r="M57" s="199"/>
      <c r="N57" s="86"/>
      <c r="O57" s="86"/>
      <c r="P57" s="86"/>
      <c r="Q57" s="225"/>
      <c r="R57" s="86"/>
      <c r="S57" s="86"/>
      <c r="T57" s="239"/>
      <c r="U57" s="86"/>
      <c r="V57" s="202"/>
      <c r="W57" s="86"/>
      <c r="X57" s="86"/>
      <c r="Y57" s="86"/>
      <c r="Z57" s="86"/>
      <c r="AA57" s="86"/>
      <c r="AB57" s="86"/>
      <c r="AC57" s="86"/>
      <c r="AD57" s="86"/>
      <c r="AE57" s="86"/>
      <c r="AF57" s="86"/>
      <c r="AG57" s="86"/>
      <c r="AH57" s="86"/>
      <c r="AI57" s="86"/>
      <c r="AJ57" s="202"/>
      <c r="AK57" s="202"/>
      <c r="AL57" s="202"/>
      <c r="AM57" s="86"/>
      <c r="AN57" s="86"/>
      <c r="AO57" s="86"/>
      <c r="AP57" s="86"/>
      <c r="AQ57" s="86"/>
      <c r="AR57" s="86"/>
      <c r="AS57" s="86"/>
      <c r="AT57" s="86"/>
      <c r="AU57" s="86"/>
      <c r="AV57" s="86"/>
      <c r="AW57" s="86"/>
      <c r="AX57" s="86"/>
      <c r="AY57" s="86"/>
      <c r="AZ57" s="86"/>
      <c r="BA57" s="86"/>
      <c r="BB57" s="86"/>
      <c r="BC57" s="86"/>
      <c r="BD57" s="86"/>
      <c r="BE57" s="86"/>
      <c r="BF57" s="86"/>
      <c r="BG57" s="86"/>
      <c r="BH57" s="86"/>
      <c r="BI57" s="86"/>
      <c r="BJ57" s="86"/>
      <c r="BK57" s="86"/>
      <c r="BL57" s="86"/>
      <c r="BM57" s="86"/>
      <c r="BN57" s="86"/>
      <c r="BO57" s="86"/>
    </row>
    <row r="58" spans="7:67" s="227" customFormat="1" x14ac:dyDescent="0.3">
      <c r="G58" s="202"/>
      <c r="H58" s="86"/>
      <c r="I58" s="86"/>
      <c r="J58" s="86"/>
      <c r="K58" s="86"/>
      <c r="L58" s="86"/>
      <c r="M58" s="199"/>
      <c r="N58" s="86"/>
      <c r="O58" s="86"/>
      <c r="P58" s="86"/>
      <c r="Q58" s="225"/>
      <c r="R58" s="86"/>
      <c r="S58" s="86"/>
      <c r="T58" s="239"/>
      <c r="U58" s="86"/>
      <c r="V58" s="202"/>
      <c r="W58" s="86"/>
      <c r="X58" s="86"/>
      <c r="Y58" s="86"/>
      <c r="Z58" s="86"/>
      <c r="AA58" s="86"/>
      <c r="AB58" s="86"/>
      <c r="AC58" s="86"/>
      <c r="AD58" s="86"/>
      <c r="AE58" s="86"/>
      <c r="AF58" s="86"/>
      <c r="AG58" s="86"/>
      <c r="AH58" s="86"/>
      <c r="AI58" s="86"/>
      <c r="AJ58" s="202"/>
      <c r="AK58" s="202"/>
      <c r="AL58" s="202"/>
      <c r="AM58" s="86"/>
      <c r="AN58" s="86"/>
      <c r="AO58" s="86"/>
      <c r="AP58" s="86"/>
      <c r="AQ58" s="86"/>
      <c r="AR58" s="86"/>
      <c r="AS58" s="86"/>
      <c r="AT58" s="86"/>
      <c r="AU58" s="86"/>
      <c r="AV58" s="86"/>
      <c r="AW58" s="86"/>
      <c r="AX58" s="86"/>
      <c r="AY58" s="86"/>
      <c r="AZ58" s="86"/>
      <c r="BA58" s="86"/>
      <c r="BB58" s="86"/>
      <c r="BC58" s="86"/>
      <c r="BD58" s="86"/>
      <c r="BE58" s="86"/>
      <c r="BF58" s="86"/>
      <c r="BG58" s="86"/>
      <c r="BH58" s="86"/>
      <c r="BI58" s="86"/>
      <c r="BJ58" s="86"/>
      <c r="BK58" s="86"/>
      <c r="BL58" s="86"/>
      <c r="BM58" s="86"/>
      <c r="BN58" s="86"/>
      <c r="BO58" s="86"/>
    </row>
    <row r="59" spans="7:67" s="227" customFormat="1" x14ac:dyDescent="0.3">
      <c r="G59" s="202"/>
      <c r="H59" s="86"/>
      <c r="I59" s="86"/>
      <c r="J59" s="86"/>
      <c r="K59" s="86"/>
      <c r="L59" s="86"/>
      <c r="M59" s="199"/>
      <c r="N59" s="86"/>
      <c r="O59" s="86"/>
      <c r="P59" s="86"/>
      <c r="Q59" s="225"/>
      <c r="R59" s="86"/>
      <c r="S59" s="86"/>
      <c r="T59" s="239"/>
      <c r="U59" s="86"/>
      <c r="V59" s="202"/>
      <c r="W59" s="86"/>
      <c r="X59" s="86"/>
      <c r="Y59" s="86"/>
      <c r="Z59" s="86"/>
      <c r="AA59" s="86"/>
      <c r="AB59" s="86"/>
      <c r="AC59" s="86"/>
      <c r="AD59" s="86"/>
      <c r="AE59" s="86"/>
      <c r="AF59" s="86"/>
      <c r="AG59" s="86"/>
      <c r="AH59" s="86"/>
      <c r="AI59" s="86"/>
      <c r="AJ59" s="202"/>
      <c r="AK59" s="202"/>
      <c r="AL59" s="202"/>
      <c r="AM59" s="86"/>
      <c r="AN59" s="86"/>
      <c r="AO59" s="86"/>
      <c r="AP59" s="86"/>
      <c r="AQ59" s="86"/>
      <c r="AR59" s="86"/>
      <c r="AS59" s="86"/>
      <c r="AT59" s="86"/>
      <c r="AU59" s="86"/>
      <c r="AV59" s="86"/>
      <c r="AW59" s="86"/>
      <c r="AX59" s="86"/>
      <c r="AY59" s="86"/>
      <c r="AZ59" s="86"/>
      <c r="BA59" s="86"/>
      <c r="BB59" s="86"/>
      <c r="BC59" s="86"/>
      <c r="BD59" s="86"/>
      <c r="BE59" s="86"/>
      <c r="BF59" s="86"/>
      <c r="BG59" s="86"/>
      <c r="BH59" s="86"/>
      <c r="BI59" s="86"/>
      <c r="BJ59" s="86"/>
      <c r="BK59" s="86"/>
      <c r="BL59" s="86"/>
      <c r="BM59" s="86"/>
      <c r="BN59" s="86"/>
      <c r="BO59" s="86"/>
    </row>
    <row r="60" spans="7:67" x14ac:dyDescent="0.3">
      <c r="T60" s="107"/>
    </row>
    <row r="61" spans="7:67" x14ac:dyDescent="0.3">
      <c r="T61" s="107"/>
    </row>
    <row r="62" spans="7:67" x14ac:dyDescent="0.3">
      <c r="T62" s="107"/>
    </row>
    <row r="63" spans="7:67" x14ac:dyDescent="0.3">
      <c r="T63" s="107"/>
    </row>
    <row r="64" spans="7:67" x14ac:dyDescent="0.3">
      <c r="T64" s="107"/>
    </row>
    <row r="65" spans="20:20" x14ac:dyDescent="0.3">
      <c r="T65" s="107"/>
    </row>
    <row r="66" spans="20:20" x14ac:dyDescent="0.3">
      <c r="T66" s="107"/>
    </row>
  </sheetData>
  <pageMargins left="0.7" right="0.7" top="0.75" bottom="0.75" header="0.3" footer="0.3"/>
  <pageSetup orientation="portrait" verticalDpi="0" r:id="rId1"/>
  <headerFooter>
    <oddFooter>&amp;L&amp;F&amp;C&amp;A&amp;R&amp;D&amp;T</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50"/>
  </sheetPr>
  <dimension ref="B2:DQ66"/>
  <sheetViews>
    <sheetView zoomScale="80" zoomScaleNormal="80" workbookViewId="0"/>
  </sheetViews>
  <sheetFormatPr defaultColWidth="14.33203125" defaultRowHeight="14.4" x14ac:dyDescent="0.3"/>
  <cols>
    <col min="1" max="1" width="4.33203125" style="75" customWidth="1"/>
    <col min="2" max="7" width="14.33203125" style="75"/>
    <col min="8" max="8" width="14.33203125" style="76"/>
    <col min="9" max="9" width="14.33203125" style="75"/>
    <col min="10" max="10" width="14.33203125" style="77"/>
    <col min="11" max="11" width="14.33203125" style="78"/>
    <col min="12" max="12" width="15.6640625" style="79" customWidth="1"/>
    <col min="13" max="14" width="14.33203125" style="79"/>
    <col min="15" max="15" width="14.33203125" style="80"/>
    <col min="16" max="37" width="14.33203125" style="79"/>
    <col min="38" max="38" width="15.109375" style="78" bestFit="1" customWidth="1"/>
    <col min="39" max="41" width="14.33203125" style="79"/>
    <col min="42" max="42" width="14.33203125" style="81"/>
    <col min="43" max="47" width="14.33203125" style="79"/>
    <col min="48" max="48" width="14.33203125" style="80"/>
    <col min="49" max="61" width="14.33203125" style="79"/>
    <col min="62" max="62" width="14.33203125" style="80"/>
    <col min="63" max="63" width="16.33203125" style="80" bestFit="1" customWidth="1"/>
    <col min="64" max="64" width="14.33203125" style="80"/>
    <col min="65" max="93" width="14.33203125" style="79"/>
    <col min="94" max="16384" width="14.33203125" style="75"/>
  </cols>
  <sheetData>
    <row r="2" spans="2:121" x14ac:dyDescent="0.3">
      <c r="AY2" s="82" t="s">
        <v>90</v>
      </c>
      <c r="AZ2" s="83"/>
      <c r="BA2" s="83"/>
      <c r="BB2" s="84"/>
      <c r="BE2" s="82" t="s">
        <v>91</v>
      </c>
      <c r="BF2" s="85"/>
      <c r="BG2" s="86"/>
      <c r="BJ2" s="82" t="s">
        <v>153</v>
      </c>
      <c r="BK2" s="85"/>
      <c r="BN2" s="82" t="s">
        <v>92</v>
      </c>
      <c r="BO2" s="83"/>
      <c r="BP2" s="83"/>
      <c r="BQ2" s="84"/>
      <c r="BS2" s="82" t="s">
        <v>93</v>
      </c>
      <c r="BT2" s="84"/>
    </row>
    <row r="3" spans="2:121" s="87" customFormat="1" ht="28.8" x14ac:dyDescent="0.3">
      <c r="F3" s="88" t="s">
        <v>94</v>
      </c>
      <c r="H3" s="89"/>
      <c r="I3" s="90" t="s">
        <v>739</v>
      </c>
      <c r="J3" s="90" t="s">
        <v>95</v>
      </c>
      <c r="K3" s="90" t="s">
        <v>213</v>
      </c>
      <c r="L3" s="90" t="s">
        <v>214</v>
      </c>
      <c r="M3" s="91"/>
      <c r="N3" s="91"/>
      <c r="O3" s="92"/>
      <c r="P3" s="90" t="s">
        <v>736</v>
      </c>
      <c r="Q3" s="91"/>
      <c r="R3" s="91"/>
      <c r="S3" s="91"/>
      <c r="T3" s="91"/>
      <c r="U3" s="91"/>
      <c r="V3" s="91"/>
      <c r="W3" s="91"/>
      <c r="X3" s="91"/>
      <c r="Y3" s="91"/>
      <c r="Z3" s="91"/>
      <c r="AA3" s="91"/>
      <c r="AB3" s="93"/>
      <c r="AC3" s="93"/>
      <c r="AD3" s="93"/>
      <c r="AE3" s="93"/>
      <c r="AF3" s="93"/>
      <c r="AG3" s="90" t="s">
        <v>737</v>
      </c>
      <c r="AH3" s="90" t="s">
        <v>750</v>
      </c>
      <c r="AI3" s="90" t="s">
        <v>96</v>
      </c>
      <c r="AJ3" s="93"/>
      <c r="AK3" s="94"/>
      <c r="AL3" s="95"/>
      <c r="AM3" s="94"/>
      <c r="AN3" s="94"/>
      <c r="AO3" s="96"/>
      <c r="AP3" s="90" t="s">
        <v>97</v>
      </c>
      <c r="AQ3" s="96"/>
      <c r="AR3" s="91"/>
      <c r="AS3" s="91"/>
      <c r="AT3" s="91"/>
      <c r="AU3" s="91"/>
      <c r="AV3" s="92"/>
      <c r="AW3" s="91"/>
      <c r="AX3" s="91"/>
      <c r="AY3" s="97" t="s">
        <v>38</v>
      </c>
      <c r="AZ3" s="97" t="s">
        <v>222</v>
      </c>
      <c r="BA3" s="97" t="s">
        <v>98</v>
      </c>
      <c r="BB3" s="97" t="s">
        <v>223</v>
      </c>
      <c r="BD3" s="91"/>
      <c r="BE3" s="98" t="s">
        <v>38</v>
      </c>
      <c r="BF3" s="98" t="s">
        <v>222</v>
      </c>
      <c r="BG3" s="91"/>
      <c r="BH3" s="79"/>
      <c r="BI3" s="79"/>
      <c r="BJ3" s="97" t="s">
        <v>151</v>
      </c>
      <c r="BK3" s="97" t="s">
        <v>152</v>
      </c>
      <c r="BN3" s="97" t="s">
        <v>98</v>
      </c>
      <c r="BO3" s="97" t="s">
        <v>99</v>
      </c>
      <c r="BP3" s="97" t="s">
        <v>38</v>
      </c>
      <c r="BQ3" s="97" t="s">
        <v>222</v>
      </c>
      <c r="BR3" s="91"/>
      <c r="BS3" s="97" t="s">
        <v>38</v>
      </c>
      <c r="BT3" s="97" t="s">
        <v>222</v>
      </c>
      <c r="BU3" s="97" t="s">
        <v>100</v>
      </c>
      <c r="BV3" s="88" t="s">
        <v>101</v>
      </c>
      <c r="BW3" s="91"/>
      <c r="BX3" s="91"/>
      <c r="BY3" s="91"/>
      <c r="BZ3" s="91"/>
      <c r="CA3" s="91"/>
      <c r="CB3" s="91"/>
      <c r="CC3" s="91"/>
      <c r="CD3" s="91"/>
      <c r="CE3" s="91"/>
      <c r="CF3" s="91"/>
      <c r="CG3" s="91"/>
      <c r="CH3" s="91"/>
      <c r="CI3" s="91"/>
      <c r="CJ3" s="91"/>
      <c r="CK3" s="91"/>
      <c r="CL3" s="91"/>
      <c r="CM3" s="91"/>
      <c r="CN3" s="91"/>
      <c r="CO3" s="91"/>
    </row>
    <row r="4" spans="2:121" x14ac:dyDescent="0.3">
      <c r="F4" s="99">
        <f t="array" ref="F4">MAX(($F$12:$F$44&gt;0)*($B$12:$B$44))</f>
        <v>25</v>
      </c>
      <c r="I4" s="101">
        <f>AVERAGEIF(I12:I44,"&gt;0")</f>
        <v>65604</v>
      </c>
      <c r="J4" s="100">
        <f>AVERAGEIF(J12:J44,"&gt;0")</f>
        <v>1.0000000000000004E-2</v>
      </c>
      <c r="K4" s="101">
        <f>AVERAGEIF(K12:K44,"&gt;0")</f>
        <v>7.059615066117308</v>
      </c>
      <c r="L4" s="101">
        <f>AVERAGEIF(L12:L44,"&gt;0")</f>
        <v>12.478975267841449</v>
      </c>
      <c r="P4" s="101">
        <f>AVERAGEIF(P12:P44,"&gt;0")</f>
        <v>640738.20374728483</v>
      </c>
      <c r="AG4" s="101">
        <f>AVERAGEIF(AG12:AG44,"&gt;0")</f>
        <v>597158.04247447278</v>
      </c>
      <c r="AH4" s="101">
        <f>AVERAGEIF(AH12:AH44,"&gt;0")</f>
        <v>43580.161272812009</v>
      </c>
      <c r="AI4" s="100">
        <f>AVERAGEIF(AI12:AI44,"&gt;0")</f>
        <v>6.8245607895235358E-2</v>
      </c>
      <c r="AP4" s="100">
        <f>AVERAGEIF(AP12:AP44,"&gt;0")</f>
        <v>2.7022647285970657E-2</v>
      </c>
      <c r="AY4" s="103">
        <f>IRR(BF11:BF44)</f>
        <v>0.13840690421538948</v>
      </c>
      <c r="AZ4" s="104">
        <f>NPV(AY4,BF11:BF44)</f>
        <v>4.0744859872743117E-11</v>
      </c>
      <c r="BA4" s="103">
        <f>XIRR(BG11:BG44,E11:E44,1)</f>
        <v>0.13831498101353645</v>
      </c>
      <c r="BB4" s="101">
        <f>XNPV(BA4,BG11:BG44,E11:E44)</f>
        <v>-6.4363286651314411E-4</v>
      </c>
      <c r="BE4" s="103">
        <f>IRR(BE11:BE44)</f>
        <v>0.15523170276329967</v>
      </c>
      <c r="BF4" s="105">
        <f>NPV(BE4,BE11:BE44)</f>
        <v>6.6312484153388098E-8</v>
      </c>
      <c r="BJ4" s="106">
        <f>AVERAGEIF(BM12:BM44,"&gt;0")</f>
        <v>0.98857403672289124</v>
      </c>
      <c r="BK4" s="106">
        <f t="array" ref="BK4">MIN(IF(BM12:BM44&lt;&gt;0,BM12:BM44))</f>
        <v>0.88261361651162995</v>
      </c>
      <c r="BN4" s="103">
        <f>XIRR(BP11:BP44,D11:D44,1)</f>
        <v>0.11540748551487923</v>
      </c>
      <c r="BO4" s="106">
        <f>XNPV(BN4,BP11:BP44,D11:D44)</f>
        <v>2.3921977472127764E-3</v>
      </c>
      <c r="BP4" s="103">
        <f>IFERROR(IRR(BP11:BP44),"NEG IRR")</f>
        <v>0.11548272775149648</v>
      </c>
      <c r="BQ4" s="105">
        <f>NPV(BP4,BP11:BP44)</f>
        <v>8.3595312783273689E-8</v>
      </c>
      <c r="BS4" s="103">
        <f>IRR(BO11:BO44)</f>
        <v>0.14598517060535121</v>
      </c>
      <c r="BT4" s="105">
        <f>NPV(BS4,BO11:BO44)</f>
        <v>1.5733827038201384E-10</v>
      </c>
      <c r="BU4" s="105">
        <f>MATCH(1,$BU$12:$BU$44,0)</f>
        <v>13</v>
      </c>
      <c r="BV4" s="99">
        <f t="array" ref="BV4">MAX(($BV$12:$BV$44&gt;0)*($B$12:$B$44))</f>
        <v>25</v>
      </c>
    </row>
    <row r="5" spans="2:121" x14ac:dyDescent="0.3">
      <c r="H5" s="108"/>
      <c r="I5" s="102"/>
    </row>
    <row r="6" spans="2:121" x14ac:dyDescent="0.3">
      <c r="G6" s="109"/>
      <c r="H6" s="109"/>
      <c r="I6" s="109"/>
      <c r="K6" s="110"/>
      <c r="O6" s="112"/>
      <c r="P6" s="111"/>
      <c r="AS6" s="113"/>
      <c r="AV6" s="114"/>
    </row>
    <row r="7" spans="2:121" x14ac:dyDescent="0.3">
      <c r="G7" s="450" t="s">
        <v>102</v>
      </c>
      <c r="H7" s="451"/>
      <c r="I7" s="452"/>
      <c r="J7" s="453"/>
      <c r="K7" s="460" t="s">
        <v>103</v>
      </c>
      <c r="L7" s="461"/>
      <c r="M7" s="462"/>
      <c r="N7" s="463"/>
      <c r="O7" s="116"/>
      <c r="P7" s="116"/>
      <c r="Q7" s="117" t="s">
        <v>104</v>
      </c>
      <c r="R7" s="115"/>
      <c r="S7" s="115"/>
      <c r="T7" s="115"/>
      <c r="U7" s="115"/>
      <c r="V7" s="115"/>
      <c r="W7" s="115"/>
      <c r="X7" s="115"/>
      <c r="Y7" s="115"/>
      <c r="Z7" s="115"/>
      <c r="AA7" s="115"/>
      <c r="AB7" s="115"/>
      <c r="AC7" s="115"/>
      <c r="AD7" s="115"/>
      <c r="AE7" s="115"/>
      <c r="AF7" s="115"/>
      <c r="AG7" s="118"/>
      <c r="AH7" s="117" t="s">
        <v>105</v>
      </c>
      <c r="AI7" s="118"/>
      <c r="AJ7" s="105" t="s">
        <v>106</v>
      </c>
      <c r="AK7" s="105" t="s">
        <v>107</v>
      </c>
      <c r="AL7" s="119" t="s">
        <v>108</v>
      </c>
      <c r="AM7" s="105" t="s">
        <v>109</v>
      </c>
      <c r="AN7" s="120" t="s">
        <v>110</v>
      </c>
      <c r="AO7" s="121" t="s">
        <v>111</v>
      </c>
      <c r="AP7" s="123"/>
      <c r="AS7" s="425" t="s">
        <v>112</v>
      </c>
      <c r="AT7" s="426"/>
      <c r="AU7" s="427"/>
      <c r="AV7" s="430" t="s">
        <v>13</v>
      </c>
      <c r="AW7" s="431"/>
      <c r="AX7" s="432"/>
      <c r="AY7" s="124" t="s">
        <v>113</v>
      </c>
      <c r="AZ7" s="83"/>
      <c r="BA7" s="83"/>
      <c r="BB7" s="83"/>
      <c r="BC7" s="125" t="s">
        <v>114</v>
      </c>
      <c r="BD7" s="127" t="s">
        <v>110</v>
      </c>
      <c r="BE7" s="128" t="s">
        <v>115</v>
      </c>
      <c r="BF7" s="126"/>
      <c r="BG7" s="105" t="s">
        <v>116</v>
      </c>
      <c r="BH7" s="129" t="s">
        <v>117</v>
      </c>
      <c r="BI7" s="130"/>
      <c r="BJ7" s="131"/>
      <c r="BK7" s="131"/>
      <c r="BL7" s="131"/>
      <c r="BM7" s="132"/>
      <c r="BN7" s="133" t="s">
        <v>118</v>
      </c>
      <c r="BO7" s="133"/>
      <c r="BP7" s="134"/>
      <c r="BQ7" s="126"/>
      <c r="BR7" s="126"/>
      <c r="BS7" s="126"/>
      <c r="BT7" s="126"/>
      <c r="BU7" s="126"/>
      <c r="BV7" s="127"/>
      <c r="CI7" s="135"/>
      <c r="CS7" s="136"/>
      <c r="DD7" s="136"/>
      <c r="DJ7" s="136"/>
      <c r="DQ7" s="136"/>
    </row>
    <row r="8" spans="2:121" s="163" customFormat="1" ht="57.6" x14ac:dyDescent="0.3">
      <c r="B8" s="34" t="s">
        <v>51</v>
      </c>
      <c r="C8" s="137" t="s">
        <v>52</v>
      </c>
      <c r="D8" s="36" t="s">
        <v>56</v>
      </c>
      <c r="E8" s="138" t="s">
        <v>57</v>
      </c>
      <c r="F8" s="449" t="s">
        <v>119</v>
      </c>
      <c r="G8" s="142" t="s">
        <v>207</v>
      </c>
      <c r="H8" s="140" t="s">
        <v>208</v>
      </c>
      <c r="I8" s="141" t="s">
        <v>209</v>
      </c>
      <c r="J8" s="459" t="s">
        <v>212</v>
      </c>
      <c r="K8" s="464" t="s">
        <v>690</v>
      </c>
      <c r="L8" s="141" t="s">
        <v>691</v>
      </c>
      <c r="M8" s="141" t="s">
        <v>210</v>
      </c>
      <c r="N8" s="144" t="s">
        <v>211</v>
      </c>
      <c r="O8" s="143" t="s">
        <v>120</v>
      </c>
      <c r="P8" s="147" t="s">
        <v>121</v>
      </c>
      <c r="Q8" s="141" t="str">
        <f>Fish_Inputs!L7</f>
        <v>Cost of Fresh Fish (incl. Transport)</v>
      </c>
      <c r="R8" s="141" t="str">
        <f>Fish_Inputs!L8</f>
        <v>Electricity Costs</v>
      </c>
      <c r="S8" s="141" t="str">
        <f>Fish_Inputs!L9</f>
        <v>Equipment O&amp;M</v>
      </c>
      <c r="T8" s="141" t="str">
        <f>Fish_Inputs!L10</f>
        <v>Labor (Non-payroll)</v>
      </c>
      <c r="U8" s="141" t="str">
        <f>Fish_Inputs!L11</f>
        <v>Payroll</v>
      </c>
      <c r="V8" s="141" t="str">
        <f>Fish_Inputs!L12</f>
        <v>Insurances</v>
      </c>
      <c r="W8" s="141" t="str">
        <f>Fish_Inputs!L13</f>
        <v>Equipment Leases</v>
      </c>
      <c r="X8" s="141" t="str">
        <f>Fish_Inputs!L14</f>
        <v>Office and Admin Expenses</v>
      </c>
      <c r="Y8" s="141" t="str">
        <f>Fish_Inputs!L15</f>
        <v xml:space="preserve">Distribution/Marketing Expenses </v>
      </c>
      <c r="Z8" s="145" t="str">
        <f>Fish_Inputs!L16</f>
        <v>Utilities, Property Tax</v>
      </c>
      <c r="AA8" s="145" t="str">
        <f>Fish_Inputs!L17</f>
        <v>Packaging</v>
      </c>
      <c r="AB8" s="141" t="str">
        <f>Fish_Inputs!L18</f>
        <v>Other 1</v>
      </c>
      <c r="AC8" s="141" t="str">
        <f>Fish_Inputs!L19</f>
        <v>Other 2</v>
      </c>
      <c r="AD8" s="141" t="str">
        <f>Fish_Inputs!L20</f>
        <v>Other 3</v>
      </c>
      <c r="AE8" s="141" t="str">
        <f>Fish_Inputs!L21</f>
        <v>Other 4</v>
      </c>
      <c r="AF8" s="141" t="str">
        <f>Fish_Inputs!L22</f>
        <v>Other 5</v>
      </c>
      <c r="AG8" s="142" t="s">
        <v>122</v>
      </c>
      <c r="AH8" s="142" t="s">
        <v>105</v>
      </c>
      <c r="AI8" s="144" t="s">
        <v>123</v>
      </c>
      <c r="AJ8" s="139" t="s">
        <v>124</v>
      </c>
      <c r="AK8" s="139" t="s">
        <v>107</v>
      </c>
      <c r="AL8" s="146" t="s">
        <v>125</v>
      </c>
      <c r="AM8" s="147" t="s">
        <v>126</v>
      </c>
      <c r="AN8" s="147" t="s">
        <v>110</v>
      </c>
      <c r="AO8" s="148" t="s">
        <v>111</v>
      </c>
      <c r="AP8" s="149" t="s">
        <v>127</v>
      </c>
      <c r="AQ8" s="150"/>
      <c r="AR8" s="150"/>
      <c r="AS8" s="428" t="s">
        <v>128</v>
      </c>
      <c r="AT8" s="429" t="s">
        <v>129</v>
      </c>
      <c r="AU8" s="156" t="s">
        <v>130</v>
      </c>
      <c r="AV8" s="433" t="s">
        <v>215</v>
      </c>
      <c r="AW8" s="429" t="s">
        <v>131</v>
      </c>
      <c r="AX8" s="156" t="s">
        <v>132</v>
      </c>
      <c r="AY8" s="152" t="s">
        <v>133</v>
      </c>
      <c r="AZ8" s="152" t="s">
        <v>134</v>
      </c>
      <c r="BA8" s="152" t="s">
        <v>131</v>
      </c>
      <c r="BB8" s="151" t="s">
        <v>135</v>
      </c>
      <c r="BC8" s="153" t="s">
        <v>136</v>
      </c>
      <c r="BD8" s="155" t="s">
        <v>137</v>
      </c>
      <c r="BE8" s="156" t="s">
        <v>138</v>
      </c>
      <c r="BF8" s="154" t="s">
        <v>139</v>
      </c>
      <c r="BG8" s="42" t="s">
        <v>116</v>
      </c>
      <c r="BH8" s="157" t="s">
        <v>140</v>
      </c>
      <c r="BI8" s="158" t="s">
        <v>141</v>
      </c>
      <c r="BJ8" s="159" t="s">
        <v>142</v>
      </c>
      <c r="BK8" s="159" t="s">
        <v>63</v>
      </c>
      <c r="BL8" s="159" t="s">
        <v>131</v>
      </c>
      <c r="BM8" s="160" t="s">
        <v>143</v>
      </c>
      <c r="BN8" s="152" t="s">
        <v>144</v>
      </c>
      <c r="BO8" s="152" t="s">
        <v>145</v>
      </c>
      <c r="BP8" s="41" t="s">
        <v>146</v>
      </c>
      <c r="BQ8" s="161" t="s">
        <v>147</v>
      </c>
      <c r="BR8" s="161" t="s">
        <v>64</v>
      </c>
      <c r="BS8" s="161" t="s">
        <v>65</v>
      </c>
      <c r="BT8" s="161" t="s">
        <v>148</v>
      </c>
      <c r="BU8" s="161" t="s">
        <v>100</v>
      </c>
      <c r="BV8" s="144" t="s">
        <v>149</v>
      </c>
      <c r="BW8" s="162"/>
      <c r="BX8" s="162"/>
      <c r="BY8" s="162"/>
      <c r="BZ8" s="162"/>
      <c r="CA8" s="162"/>
      <c r="CB8" s="162"/>
      <c r="CC8" s="162"/>
      <c r="CD8" s="162"/>
      <c r="CE8" s="162"/>
      <c r="CF8" s="162"/>
      <c r="CG8" s="162"/>
      <c r="CH8" s="162"/>
      <c r="CI8" s="102"/>
      <c r="CJ8" s="162"/>
      <c r="CK8" s="162"/>
      <c r="CL8" s="162"/>
      <c r="CM8" s="162"/>
      <c r="CN8" s="162"/>
      <c r="CO8" s="162"/>
      <c r="CS8" s="164"/>
      <c r="DD8" s="75"/>
      <c r="DJ8" s="75"/>
      <c r="DQ8" s="75"/>
    </row>
    <row r="9" spans="2:121" s="163" customFormat="1" x14ac:dyDescent="0.3">
      <c r="B9" s="165"/>
      <c r="C9" s="166"/>
      <c r="D9" s="167"/>
      <c r="E9" s="170"/>
      <c r="F9" s="171"/>
      <c r="G9" s="172">
        <f>SUM(G12:G44)</f>
        <v>1649999.9999999995</v>
      </c>
      <c r="H9" s="173"/>
      <c r="I9" s="172">
        <f>SUM(I12:I44)</f>
        <v>1640100</v>
      </c>
      <c r="J9" s="191"/>
      <c r="K9" s="174"/>
      <c r="L9" s="102"/>
      <c r="M9" s="102">
        <f t="shared" ref="M9:AH9" si="0">SUM(M12:M44)</f>
        <v>5787732.1230660984</v>
      </c>
      <c r="N9" s="175">
        <f t="shared" si="0"/>
        <v>10230722.970616026</v>
      </c>
      <c r="O9" s="177">
        <f t="shared" si="0"/>
        <v>0</v>
      </c>
      <c r="P9" s="178">
        <f t="shared" si="0"/>
        <v>16018455.093682121</v>
      </c>
      <c r="Q9" s="102">
        <f t="shared" si="0"/>
        <v>12709439.775775518</v>
      </c>
      <c r="R9" s="102">
        <f t="shared" si="0"/>
        <v>217083.16328310728</v>
      </c>
      <c r="S9" s="102">
        <f t="shared" si="0"/>
        <v>758713.92233227345</v>
      </c>
      <c r="T9" s="102">
        <f t="shared" si="0"/>
        <v>394897.217760937</v>
      </c>
      <c r="U9" s="102">
        <f t="shared" si="0"/>
        <v>497232.22115686245</v>
      </c>
      <c r="V9" s="102">
        <f t="shared" si="0"/>
        <v>2605.3915072127552</v>
      </c>
      <c r="W9" s="102">
        <f t="shared" si="0"/>
        <v>0</v>
      </c>
      <c r="X9" s="102">
        <f t="shared" si="0"/>
        <v>80596.685127579854</v>
      </c>
      <c r="Y9" s="102">
        <f t="shared" si="0"/>
        <v>80596.685127579854</v>
      </c>
      <c r="Z9" s="102">
        <f t="shared" si="0"/>
        <v>101173.5213188045</v>
      </c>
      <c r="AA9" s="102">
        <f t="shared" si="0"/>
        <v>86612.478471951588</v>
      </c>
      <c r="AB9" s="102">
        <f t="shared" si="0"/>
        <v>0</v>
      </c>
      <c r="AC9" s="102">
        <f t="shared" si="0"/>
        <v>0</v>
      </c>
      <c r="AD9" s="102">
        <f t="shared" si="0"/>
        <v>0</v>
      </c>
      <c r="AE9" s="102"/>
      <c r="AF9" s="102"/>
      <c r="AG9" s="178">
        <f t="shared" si="0"/>
        <v>14928951.061861821</v>
      </c>
      <c r="AH9" s="176">
        <f t="shared" si="0"/>
        <v>1089504.0318203003</v>
      </c>
      <c r="AI9" s="175"/>
      <c r="AJ9" s="178">
        <f t="shared" ref="AJ9:AO9" si="1">SUM(AJ12:AJ44)</f>
        <v>268635.96749581344</v>
      </c>
      <c r="AK9" s="178">
        <f t="shared" si="1"/>
        <v>820868.06432448677</v>
      </c>
      <c r="AL9" s="178">
        <f t="shared" si="1"/>
        <v>211210.45797905352</v>
      </c>
      <c r="AM9" s="178">
        <f t="shared" si="1"/>
        <v>609657.60634543328</v>
      </c>
      <c r="AN9" s="178">
        <f t="shared" si="1"/>
        <v>182897.66621368509</v>
      </c>
      <c r="AO9" s="176">
        <f t="shared" si="1"/>
        <v>426759.94013174804</v>
      </c>
      <c r="AP9" s="179"/>
      <c r="AQ9" s="162"/>
      <c r="AR9" s="162"/>
      <c r="AS9" s="180">
        <f>SUM(AS12:AS44)</f>
        <v>16018455.093682121</v>
      </c>
      <c r="AT9" s="181">
        <f>SUM(AT12:AT44)</f>
        <v>14928951.061861821</v>
      </c>
      <c r="AU9" s="183">
        <f>SUM(AU12:AU44)</f>
        <v>1089504.0318203003</v>
      </c>
      <c r="AV9" s="180">
        <f t="shared" ref="AV9:BA9" si="2">SUM(AV10:AV44)</f>
        <v>268635.9674958135</v>
      </c>
      <c r="AW9" s="181">
        <f t="shared" si="2"/>
        <v>268635.9674958135</v>
      </c>
      <c r="AX9" s="183">
        <f t="shared" si="2"/>
        <v>820868.06432448677</v>
      </c>
      <c r="AY9" s="102">
        <f t="shared" si="2"/>
        <v>80590.790248744044</v>
      </c>
      <c r="AZ9" s="102">
        <f t="shared" si="2"/>
        <v>188045.17724706943</v>
      </c>
      <c r="BA9" s="102">
        <f t="shared" si="2"/>
        <v>268635.9674958135</v>
      </c>
      <c r="BB9" s="176">
        <f t="shared" ref="BB9:BL9" si="3">SUM(BB12:BB44)</f>
        <v>1089504.0318203003</v>
      </c>
      <c r="BC9" s="180">
        <f>SUM(BC10:BC44)</f>
        <v>0</v>
      </c>
      <c r="BD9" s="182">
        <f>SUM(BD10:BD44)</f>
        <v>182897.66621368509</v>
      </c>
      <c r="BE9" s="183">
        <f>SUM(BE12:BE44)</f>
        <v>1089504.0318203003</v>
      </c>
      <c r="BF9" s="183">
        <f>SUM(BF12:BF44)</f>
        <v>906606.36560661509</v>
      </c>
      <c r="BG9" s="182">
        <f>SUM(BG12:BG44)</f>
        <v>906606.36560661509</v>
      </c>
      <c r="BH9" s="180">
        <f t="shared" si="3"/>
        <v>1264733.2813116973</v>
      </c>
      <c r="BI9" s="181">
        <f t="shared" si="3"/>
        <v>1076688.1040646282</v>
      </c>
      <c r="BJ9" s="181">
        <f t="shared" si="3"/>
        <v>211210.45797905352</v>
      </c>
      <c r="BK9" s="181">
        <f t="shared" si="3"/>
        <v>188045.17724706943</v>
      </c>
      <c r="BL9" s="181">
        <f t="shared" si="3"/>
        <v>399255.63522612292</v>
      </c>
      <c r="BM9" s="182"/>
      <c r="BN9" s="180">
        <f t="shared" ref="BN9:BS9" si="4">SUM(BN10:BN44)</f>
        <v>507350.73038049228</v>
      </c>
      <c r="BO9" s="181">
        <f t="shared" si="4"/>
        <v>609657.60634543328</v>
      </c>
      <c r="BP9" s="181">
        <f t="shared" si="4"/>
        <v>426759.94013174821</v>
      </c>
      <c r="BQ9" s="181">
        <f t="shared" si="4"/>
        <v>0</v>
      </c>
      <c r="BR9" s="181">
        <f t="shared" si="4"/>
        <v>0</v>
      </c>
      <c r="BS9" s="181">
        <f t="shared" si="4"/>
        <v>0</v>
      </c>
      <c r="BT9" s="181"/>
      <c r="BU9" s="181"/>
      <c r="BV9" s="182">
        <f>SUM(BV11:BV44)</f>
        <v>9.3276867119129747E-8</v>
      </c>
      <c r="BW9" s="162"/>
      <c r="BX9" s="162"/>
      <c r="BY9" s="162"/>
      <c r="BZ9" s="162"/>
      <c r="CA9" s="162"/>
      <c r="CB9" s="162"/>
      <c r="CC9" s="162"/>
      <c r="CD9" s="162"/>
      <c r="CE9" s="162"/>
      <c r="CF9" s="162"/>
      <c r="CG9" s="162"/>
      <c r="CH9" s="162"/>
      <c r="CI9" s="102"/>
      <c r="CJ9" s="162"/>
      <c r="CK9" s="162"/>
      <c r="CL9" s="162"/>
      <c r="CM9" s="162"/>
      <c r="CN9" s="162"/>
      <c r="CO9" s="162"/>
      <c r="CS9" s="164"/>
      <c r="DD9" s="75"/>
      <c r="DJ9" s="75"/>
      <c r="DQ9" s="75"/>
    </row>
    <row r="10" spans="2:121" s="163" customFormat="1" x14ac:dyDescent="0.3">
      <c r="B10" s="186"/>
      <c r="C10" s="187"/>
      <c r="D10" s="186"/>
      <c r="E10" s="169"/>
      <c r="F10" s="190"/>
      <c r="J10" s="191"/>
      <c r="K10" s="174"/>
      <c r="L10" s="102"/>
      <c r="M10" s="193"/>
      <c r="N10" s="194"/>
      <c r="O10" s="194"/>
      <c r="P10" s="195"/>
      <c r="Q10" s="162"/>
      <c r="R10" s="162"/>
      <c r="S10" s="162"/>
      <c r="T10" s="162"/>
      <c r="U10" s="162"/>
      <c r="V10" s="162"/>
      <c r="W10" s="162"/>
      <c r="X10" s="162"/>
      <c r="Y10" s="162"/>
      <c r="Z10" s="162"/>
      <c r="AA10" s="162"/>
      <c r="AB10" s="162"/>
      <c r="AC10" s="162"/>
      <c r="AD10" s="162"/>
      <c r="AE10" s="162"/>
      <c r="AF10" s="162"/>
      <c r="AG10" s="195"/>
      <c r="AH10" s="192"/>
      <c r="AI10" s="194"/>
      <c r="AJ10" s="195"/>
      <c r="AK10" s="195"/>
      <c r="AL10" s="195"/>
      <c r="AM10" s="195"/>
      <c r="AN10" s="195"/>
      <c r="AO10" s="192"/>
      <c r="AP10" s="179"/>
      <c r="AQ10" s="162"/>
      <c r="AR10" s="162"/>
      <c r="AS10" s="196"/>
      <c r="AT10" s="86"/>
      <c r="AU10" s="197"/>
      <c r="AV10" s="196"/>
      <c r="AW10" s="198"/>
      <c r="AX10" s="197"/>
      <c r="AY10" s="162"/>
      <c r="AZ10" s="162"/>
      <c r="BA10" s="79"/>
      <c r="BB10" s="196"/>
      <c r="BC10" s="196"/>
      <c r="BD10" s="200"/>
      <c r="BE10" s="197"/>
      <c r="BF10" s="200"/>
      <c r="BG10" s="200"/>
      <c r="BH10" s="196"/>
      <c r="BI10" s="86"/>
      <c r="BJ10" s="201"/>
      <c r="BK10" s="201"/>
      <c r="BL10" s="202"/>
      <c r="BM10" s="203"/>
      <c r="BN10" s="196"/>
      <c r="BO10" s="86"/>
      <c r="BP10" s="193"/>
      <c r="BQ10" s="86"/>
      <c r="BR10" s="86"/>
      <c r="BS10" s="86"/>
      <c r="BT10" s="86"/>
      <c r="BU10" s="86"/>
      <c r="BV10" s="175"/>
      <c r="BW10" s="162"/>
      <c r="BX10" s="162"/>
      <c r="BY10" s="162"/>
      <c r="BZ10" s="162"/>
      <c r="CA10" s="162"/>
      <c r="CB10" s="162"/>
      <c r="CC10" s="162"/>
      <c r="CD10" s="162"/>
      <c r="CE10" s="162"/>
      <c r="CF10" s="162"/>
      <c r="CG10" s="162"/>
      <c r="CH10" s="162"/>
      <c r="CI10" s="102"/>
      <c r="CJ10" s="162"/>
      <c r="CK10" s="162"/>
      <c r="CL10" s="162"/>
      <c r="CM10" s="162"/>
      <c r="CN10" s="162"/>
      <c r="CO10" s="162"/>
      <c r="CS10" s="164"/>
      <c r="DD10" s="75"/>
      <c r="DJ10" s="75"/>
      <c r="DQ10" s="75"/>
    </row>
    <row r="11" spans="2:121" s="163" customFormat="1" x14ac:dyDescent="0.3">
      <c r="B11" s="73">
        <v>0</v>
      </c>
      <c r="C11" s="74">
        <f>YEAR(D11)</f>
        <v>2021</v>
      </c>
      <c r="D11" s="205">
        <f>Fish_Inputs!G6</f>
        <v>44197</v>
      </c>
      <c r="E11" s="206">
        <f>EDATE(D11,12)-1</f>
        <v>44561</v>
      </c>
      <c r="F11" s="443">
        <v>0</v>
      </c>
      <c r="G11" s="172"/>
      <c r="H11" s="173"/>
      <c r="I11" s="102"/>
      <c r="J11" s="191"/>
      <c r="K11" s="174"/>
      <c r="L11" s="102"/>
      <c r="M11" s="102"/>
      <c r="N11" s="175"/>
      <c r="O11" s="207"/>
      <c r="P11" s="454"/>
      <c r="Q11" s="102"/>
      <c r="R11" s="102"/>
      <c r="S11" s="102"/>
      <c r="T11" s="102"/>
      <c r="U11" s="102"/>
      <c r="V11" s="102"/>
      <c r="W11" s="102"/>
      <c r="X11" s="102"/>
      <c r="Y11" s="102"/>
      <c r="Z11" s="193"/>
      <c r="AA11" s="193"/>
      <c r="AB11" s="102"/>
      <c r="AC11" s="102"/>
      <c r="AD11" s="102"/>
      <c r="AE11" s="102"/>
      <c r="AF11" s="102"/>
      <c r="AG11" s="340"/>
      <c r="AH11" s="176"/>
      <c r="AI11" s="175"/>
      <c r="AJ11" s="190"/>
      <c r="AK11" s="190"/>
      <c r="AL11" s="208"/>
      <c r="AM11" s="178"/>
      <c r="AN11" s="178"/>
      <c r="AO11" s="209"/>
      <c r="AP11" s="179"/>
      <c r="AQ11" s="162"/>
      <c r="AR11" s="162"/>
      <c r="AS11" s="196"/>
      <c r="AT11" s="86"/>
      <c r="AU11" s="197"/>
      <c r="AV11" s="196">
        <f>IF(B11=0,Fish_Inputs!$C$29,0)</f>
        <v>268635.9674958135</v>
      </c>
      <c r="AW11" s="198">
        <f t="shared" ref="AW11:AW44" si="5">SUM(AV11:AV11)</f>
        <v>268635.9674958135</v>
      </c>
      <c r="AX11" s="197">
        <f t="shared" ref="AX11:AX44" si="6">AU11-AW11</f>
        <v>-268635.9674958135</v>
      </c>
      <c r="AY11" s="339">
        <f>IF(B11=0,Fish_Inputs!$G$15+Fish_Inputs!$G$16,0)</f>
        <v>80590.790248744044</v>
      </c>
      <c r="AZ11" s="339">
        <f>IF(B11=0,Fish_Inputs!$G$14,0)</f>
        <v>188045.17724706943</v>
      </c>
      <c r="BA11" s="79">
        <f t="shared" ref="BA11:BA44" si="7">SUM(AY11:AZ11)</f>
        <v>268635.9674958135</v>
      </c>
      <c r="BB11" s="196">
        <f t="shared" ref="BB11:BB44" si="8">AX11+BA11</f>
        <v>0</v>
      </c>
      <c r="BC11" s="437">
        <f>Fish_Inputs!$G$20*AVERAGE(BR11,BS11)</f>
        <v>0</v>
      </c>
      <c r="BD11" s="231">
        <f t="shared" ref="BD11:BD44" si="9">AN11</f>
        <v>0</v>
      </c>
      <c r="BE11" s="210">
        <f>AX11</f>
        <v>-268635.9674958135</v>
      </c>
      <c r="BF11" s="211">
        <f>AX11</f>
        <v>-268635.9674958135</v>
      </c>
      <c r="BG11" s="211">
        <f>AX11</f>
        <v>-268635.9674958135</v>
      </c>
      <c r="BH11" s="212"/>
      <c r="BI11" s="290">
        <f>Fish_Inputs!G14</f>
        <v>188045.17724706943</v>
      </c>
      <c r="BJ11" s="201"/>
      <c r="BK11" s="201"/>
      <c r="BL11" s="202"/>
      <c r="BM11" s="203"/>
      <c r="BN11" s="196"/>
      <c r="BO11" s="213">
        <f>-Fish_Inputs!G15</f>
        <v>-80590.790248744044</v>
      </c>
      <c r="BP11" s="213">
        <f>-Fish_Inputs!G15</f>
        <v>-80590.790248744044</v>
      </c>
      <c r="BQ11" s="213">
        <f>BB11</f>
        <v>0</v>
      </c>
      <c r="BR11" s="86"/>
      <c r="BS11" s="213">
        <f t="shared" ref="BS11:BS44" si="10">BQ11+BR11</f>
        <v>0</v>
      </c>
      <c r="BT11" s="213">
        <f>-Fish_Inputs!G15</f>
        <v>-80590.790248744044</v>
      </c>
      <c r="BU11" s="86"/>
      <c r="BV11" s="214">
        <f t="shared" ref="BV11:BV44" si="11">BP11/((1+$BP$4)^B11)</f>
        <v>-80590.790248744044</v>
      </c>
      <c r="BW11" s="162"/>
      <c r="BX11" s="162"/>
      <c r="BY11" s="162"/>
      <c r="BZ11" s="162"/>
      <c r="CA11" s="162"/>
      <c r="CB11" s="162"/>
      <c r="CC11" s="162"/>
      <c r="CD11" s="162"/>
      <c r="CE11" s="162"/>
      <c r="CF11" s="162"/>
      <c r="CG11" s="162"/>
      <c r="CH11" s="162"/>
      <c r="CI11" s="102"/>
      <c r="CJ11" s="162"/>
      <c r="CK11" s="162"/>
      <c r="CL11" s="162"/>
      <c r="CM11" s="162"/>
      <c r="CN11" s="162"/>
      <c r="CO11" s="162"/>
      <c r="CS11" s="164"/>
      <c r="DD11" s="75"/>
      <c r="DJ11" s="75"/>
      <c r="DQ11" s="75"/>
    </row>
    <row r="12" spans="2:121" s="162" customFormat="1" x14ac:dyDescent="0.3">
      <c r="B12" s="184">
        <f>B11+1</f>
        <v>1</v>
      </c>
      <c r="C12" s="346">
        <f t="shared" ref="C12:C44" si="12">YEAR(D12)</f>
        <v>2022</v>
      </c>
      <c r="D12" s="347">
        <f>EDATE(D11,12)</f>
        <v>44562</v>
      </c>
      <c r="E12" s="440">
        <f>EDATE(E11,12)</f>
        <v>44926</v>
      </c>
      <c r="F12" s="732">
        <f>IF(AND(B12&gt;0,B12&lt;=Fish_Inputs!$J$17),1,0)</f>
        <v>1</v>
      </c>
      <c r="G12" s="729">
        <f>IF(F12=1,Fish_Inputs!$G$31,0)</f>
        <v>65999.999999999956</v>
      </c>
      <c r="H12" s="348">
        <f>IF(AND(F11=0,F12=1),100%,IF(AND(F11=0,F12=0),100%,H11-Fish_Inputs!$G$41))*F12</f>
        <v>1</v>
      </c>
      <c r="I12" s="216">
        <f>H12*G12</f>
        <v>65999.999999999956</v>
      </c>
      <c r="J12" s="219">
        <f>Fish_Inputs!$J$11</f>
        <v>0.01</v>
      </c>
      <c r="K12" s="444">
        <f>IF(B12=1,Fish_Inputs!$R$15,K11*(1+Fish_CashFlows!J12))*F12</f>
        <v>6.2489512437202261</v>
      </c>
      <c r="L12" s="338">
        <f>IF(B12=1,Fish_Inputs!$R$16,L11*(1+Fish_CashFlows!J12))*F12</f>
        <v>11.045999999999999</v>
      </c>
      <c r="M12" s="122">
        <f>K12*I12*Fish_Inputs!$J$9</f>
        <v>206215.39104276733</v>
      </c>
      <c r="N12" s="222">
        <f>L12*I12*Fish_Inputs!$J$10</f>
        <v>364517.99999999977</v>
      </c>
      <c r="O12" s="217">
        <f>BC11</f>
        <v>0</v>
      </c>
      <c r="P12" s="122">
        <f>SUM(M12:O12)+IF(B12=Fish_Inputs!$J$17,Fish_Inputs!$J$19,0)</f>
        <v>570733.39104276709</v>
      </c>
      <c r="Q12" s="218">
        <f>IF(B12=1,Fish_Inputs!$O$7,Q11*(1+Fish_Inputs!$N$23))*F12</f>
        <v>450000</v>
      </c>
      <c r="R12" s="122">
        <f>IF(B12=1,Fish_Inputs!$O$8,R11*(1+Fish_Inputs!$N$23))*F12</f>
        <v>7686.210029775878</v>
      </c>
      <c r="S12" s="122">
        <f>IF(B12=1,Fish_Inputs!$O$9,S11*(1+Fish_Inputs!$N$23))*F12</f>
        <v>26863.596749581353</v>
      </c>
      <c r="T12" s="122">
        <f>IF(B12=1,Fish_Inputs!$O$10,T11*(1+Fish_Inputs!$N$23))*F12</f>
        <v>13982.028407824006</v>
      </c>
      <c r="U12" s="122">
        <f>IF(B12=1,Fish_Inputs!$O$11,U11*(1+Fish_Inputs!$N$23))*F12</f>
        <v>17605.378637307782</v>
      </c>
      <c r="V12" s="122">
        <f>IF(B12=1,Fish_Inputs!$O$12,V11*(1+Fish_Inputs!$N$23))*F12</f>
        <v>92.248454607764188</v>
      </c>
      <c r="W12" s="122">
        <f>IF(B12=1,Fish_Inputs!$O$13,W11*(1+Fish_Inputs!$N$23))*F12</f>
        <v>0</v>
      </c>
      <c r="X12" s="122">
        <f>IF(B12=1,Fish_Inputs!$O$14,X11*(1+Fish_Inputs!$N$23))*F12</f>
        <v>2853.6669552138355</v>
      </c>
      <c r="Y12" s="122">
        <f>IF(B12=1,Fish_Inputs!$O$15,Y11*(1+Fish_Inputs!$N$23))*F12</f>
        <v>2853.6669552138355</v>
      </c>
      <c r="Z12" s="122">
        <f>IF(B12=1,Fish_Inputs!$O$16,Z11*(1+Fish_Inputs!$N$23))*F12</f>
        <v>3582.2259199999999</v>
      </c>
      <c r="AA12" s="122">
        <f>IF(B12=1,Fish_Inputs!$O$17,AA11*(1+Fish_Inputs!$N$23))*F12</f>
        <v>3066.6666666666647</v>
      </c>
      <c r="AB12" s="181">
        <f>IF(B12=1,Fish_Inputs!$O$18,AB11*(1+Fish_Inputs!$N$23))*F12</f>
        <v>0</v>
      </c>
      <c r="AC12" s="482">
        <f>IF(B12=1,Fish_Inputs!$O$19,AC11*(1+Fish_Inputs!$N$23))*F12</f>
        <v>0</v>
      </c>
      <c r="AD12" s="122">
        <f>IF(B12=1,Fish_Inputs!$O$20,AD11*(1+Fish_Inputs!$N$23))*F12</f>
        <v>0</v>
      </c>
      <c r="AE12" s="122">
        <f>IF(B12=1,Fish_Inputs!$O$21,AE11*(1+Fish_Inputs!$N$23))*F12</f>
        <v>0</v>
      </c>
      <c r="AF12" s="132">
        <f>IF(B12=1,Fish_Inputs!$O$22,AF11*(1+Fish_Inputs!$N$23))*F12</f>
        <v>0</v>
      </c>
      <c r="AG12" s="132">
        <f>SUM(Q12:AF12)*F12</f>
        <v>528585.68877619109</v>
      </c>
      <c r="AH12" s="122">
        <f t="shared" ref="AH12:AH44" si="13">P12-AG12</f>
        <v>42147.702266576001</v>
      </c>
      <c r="AI12" s="219">
        <f t="shared" ref="AI12:AI44" si="14">IFERROR(AH12/P12,0)</f>
        <v>7.3848320298150777E-2</v>
      </c>
      <c r="AJ12" s="220">
        <f>Deprec!C11</f>
        <v>10745.438699832541</v>
      </c>
      <c r="AK12" s="122">
        <f t="shared" ref="AK12:AK44" si="15">AH12-AJ12</f>
        <v>31402.263566743459</v>
      </c>
      <c r="AL12" s="221">
        <f>BJ12</f>
        <v>31403.544600260597</v>
      </c>
      <c r="AM12" s="122">
        <f>AK12-AL12</f>
        <v>-1.2810335171379847</v>
      </c>
      <c r="AN12" s="438">
        <f>IF(AM12&lt;0,0,(AM12*Fish_Inputs!$J$14))</f>
        <v>0</v>
      </c>
      <c r="AO12" s="122">
        <f>AM12-AN12</f>
        <v>-1.2810335171379847</v>
      </c>
      <c r="AP12" s="123">
        <f t="shared" ref="AP12:AP44" si="16">IFERROR(AO12/P12,0)</f>
        <v>-2.2445392844414677E-6</v>
      </c>
      <c r="AQ12" s="185"/>
      <c r="AR12" s="185"/>
      <c r="AS12" s="218">
        <f t="shared" ref="AS12:AS44" si="17">P12</f>
        <v>570733.39104276709</v>
      </c>
      <c r="AT12" s="122">
        <f t="shared" ref="AT12:AT44" si="18">AG12</f>
        <v>528585.68877619109</v>
      </c>
      <c r="AU12" s="438">
        <f>AS12-AT12</f>
        <v>42147.702266576001</v>
      </c>
      <c r="AV12" s="218">
        <f>IF(B12=0,Fish_Inputs!$C$29,0)</f>
        <v>0</v>
      </c>
      <c r="AW12" s="435">
        <f t="shared" si="5"/>
        <v>0</v>
      </c>
      <c r="AX12" s="438">
        <f t="shared" si="6"/>
        <v>42147.702266576001</v>
      </c>
      <c r="AY12" s="184">
        <f>IF(B12=0,Fish_Inputs!$G$15+Fish_Inputs!$G$16,0)</f>
        <v>0</v>
      </c>
      <c r="AZ12" s="185">
        <f>IF(B12=0,Fish_Inputs!$G$14,0)</f>
        <v>0</v>
      </c>
      <c r="BA12" s="132">
        <f t="shared" si="7"/>
        <v>0</v>
      </c>
      <c r="BB12" s="218">
        <f t="shared" si="8"/>
        <v>42147.702266576001</v>
      </c>
      <c r="BC12" s="218">
        <f>Fish_Inputs!$G$20*AVERAGE(BR12,BS12)</f>
        <v>0</v>
      </c>
      <c r="BD12" s="132">
        <f t="shared" si="9"/>
        <v>0</v>
      </c>
      <c r="BE12" s="132">
        <f t="shared" ref="BE12:BE44" si="19">BG12+BD12-O12</f>
        <v>42147.702266576001</v>
      </c>
      <c r="BF12" s="122">
        <f t="shared" ref="BF12:BF44" si="20">BG12-O12</f>
        <v>42147.702266576001</v>
      </c>
      <c r="BG12" s="438">
        <f t="shared" ref="BG12:BG44" si="21">BB12-BD12</f>
        <v>42147.702266576001</v>
      </c>
      <c r="BH12" s="122">
        <f>BI11</f>
        <v>188045.17724706943</v>
      </c>
      <c r="BI12" s="122">
        <f>BH12-BK12</f>
        <v>179523.15832471775</v>
      </c>
      <c r="BJ12" s="122">
        <f>-Debt_Calc!M10</f>
        <v>31403.544600260597</v>
      </c>
      <c r="BK12" s="122">
        <f>Debt_Calc!N10</f>
        <v>8522.0189223516863</v>
      </c>
      <c r="BL12" s="122">
        <f t="shared" ref="BL12:BL44" si="22">SUM(BJ12:BK12)</f>
        <v>39925.563522612283</v>
      </c>
      <c r="BM12" s="217">
        <f>IFERROR(BG12/BL12,0)</f>
        <v>1.0556570414517803</v>
      </c>
      <c r="BN12" s="122">
        <f>BG12-BL12</f>
        <v>2222.1387439637183</v>
      </c>
      <c r="BO12" s="122">
        <f t="shared" ref="BO12:BO44" si="23">BN12+BD12</f>
        <v>2222.1387439637183</v>
      </c>
      <c r="BP12" s="122">
        <f>BN12+BR12</f>
        <v>2222.1387439637183</v>
      </c>
      <c r="BQ12" s="122">
        <f t="shared" ref="BQ12:BQ44" si="24">BN12-BP12</f>
        <v>0</v>
      </c>
      <c r="BR12" s="122">
        <f t="shared" ref="BR12:BR44" si="25">BS11</f>
        <v>0</v>
      </c>
      <c r="BS12" s="122">
        <f t="shared" si="10"/>
        <v>0</v>
      </c>
      <c r="BT12" s="122">
        <f t="shared" ref="BT12:BT44" si="26">BP12+BT11</f>
        <v>-78368.651504780326</v>
      </c>
      <c r="BU12" s="122">
        <f>IF(BU11&gt;=1,2,IF(BT12&gt;0,1,0))</f>
        <v>0</v>
      </c>
      <c r="BV12" s="222">
        <f t="shared" si="11"/>
        <v>1992.0870925925792</v>
      </c>
      <c r="BW12" s="102"/>
      <c r="BX12" s="102"/>
      <c r="BY12" s="102"/>
      <c r="BZ12" s="102"/>
      <c r="CA12" s="102"/>
      <c r="CI12" s="102"/>
      <c r="CS12" s="349"/>
      <c r="CT12" s="102"/>
      <c r="CU12" s="102"/>
      <c r="CV12" s="102"/>
      <c r="CW12" s="102"/>
      <c r="CX12" s="102"/>
      <c r="CY12" s="102"/>
      <c r="CZ12" s="102"/>
      <c r="DA12" s="102"/>
      <c r="DB12" s="102"/>
      <c r="DC12" s="102"/>
      <c r="DD12" s="79"/>
      <c r="DJ12" s="79"/>
      <c r="DQ12" s="79"/>
    </row>
    <row r="13" spans="2:121" s="193" customFormat="1" x14ac:dyDescent="0.3">
      <c r="B13" s="192">
        <f t="shared" ref="B13:B44" si="27">B12+1</f>
        <v>2</v>
      </c>
      <c r="C13" s="350">
        <f t="shared" si="12"/>
        <v>2023</v>
      </c>
      <c r="D13" s="351">
        <f t="shared" ref="D13:E28" si="28">EDATE(D12,12)</f>
        <v>44927</v>
      </c>
      <c r="E13" s="441">
        <f t="shared" si="28"/>
        <v>45291</v>
      </c>
      <c r="F13" s="733">
        <f>IF(AND(B13&gt;0,B13&lt;=Fish_Inputs!$J$17),1,0)</f>
        <v>1</v>
      </c>
      <c r="G13" s="730">
        <f>IF(F13=1,Fish_Inputs!$G$31,0)</f>
        <v>65999.999999999956</v>
      </c>
      <c r="H13" s="446">
        <f>IF(AND(F12=0,F13=1),100%,IF(AND(F12=0,F13=0),100%,H12-Fish_Inputs!$G$41))*F13</f>
        <v>0.99950000000000006</v>
      </c>
      <c r="I13" s="224">
        <f>H13*G13</f>
        <v>65966.999999999956</v>
      </c>
      <c r="J13" s="225">
        <f>Fish_Inputs!$J$11</f>
        <v>0.01</v>
      </c>
      <c r="K13" s="444">
        <f>IF(B13=1,Fish_Inputs!$R$15,K12*(1+Fish_CashFlows!J13))*F13</f>
        <v>6.3114407561574284</v>
      </c>
      <c r="L13" s="338">
        <f>IF(B13=1,Fish_Inputs!$R$16,L12*(1+Fish_CashFlows!J13))*F13</f>
        <v>11.156459999999999</v>
      </c>
      <c r="M13" s="86">
        <f>K13*I13*Fish_Inputs!$J$9</f>
        <v>208173.40618071839</v>
      </c>
      <c r="N13" s="214">
        <f>L13*I13*Fish_Inputs!$J$10</f>
        <v>367979.09840999974</v>
      </c>
      <c r="O13" s="423">
        <f t="shared" ref="O13:O44" si="29">BC12</f>
        <v>0</v>
      </c>
      <c r="P13" s="122">
        <f>SUM(M13:O13)+IF(B13=Fish_Inputs!$J$17,Fish_Inputs!$J$19,0)</f>
        <v>576152.50459071808</v>
      </c>
      <c r="Q13" s="196">
        <f>IF(B13=1,Fish_Inputs!$O$7,Q12*(1+Fish_Inputs!$N$23))*F13</f>
        <v>454500</v>
      </c>
      <c r="R13" s="86">
        <f>IF(B13=1,Fish_Inputs!$O$8,R12*(1+Fish_Inputs!$N$23))*F13</f>
        <v>7763.0721300736368</v>
      </c>
      <c r="S13" s="86">
        <f>IF(B13=1,Fish_Inputs!$O$9,S12*(1+Fish_Inputs!$N$23))*F13</f>
        <v>27132.232717077168</v>
      </c>
      <c r="T13" s="86">
        <f>IF(B13=1,Fish_Inputs!$O$10,T12*(1+Fish_Inputs!$N$23))*F13</f>
        <v>14121.848691902245</v>
      </c>
      <c r="U13" s="86">
        <f>IF(B13=1,Fish_Inputs!$O$11,U12*(1+Fish_Inputs!$N$23))*F13</f>
        <v>17781.432423680861</v>
      </c>
      <c r="V13" s="86">
        <f>IF(B13=1,Fish_Inputs!$O$12,V12*(1+Fish_Inputs!$N$23))*F13</f>
        <v>93.170939153841829</v>
      </c>
      <c r="W13" s="86">
        <f>IF(B13=1,Fish_Inputs!$O$13,W12*(1+Fish_Inputs!$N$23))*F13</f>
        <v>0</v>
      </c>
      <c r="X13" s="86">
        <f>IF(B13=1,Fish_Inputs!$O$14,X12*(1+Fish_Inputs!$N$23))*F13</f>
        <v>2882.2036247659739</v>
      </c>
      <c r="Y13" s="86">
        <f>IF(B13=1,Fish_Inputs!$O$15,Y12*(1+Fish_Inputs!$N$23))*F13</f>
        <v>2882.2036247659739</v>
      </c>
      <c r="Z13" s="86">
        <f>IF(B13=1,Fish_Inputs!$O$16,Z12*(1+Fish_Inputs!$N$23))*F13</f>
        <v>3618.0481792</v>
      </c>
      <c r="AA13" s="86">
        <f>IF(B13=1,Fish_Inputs!$O$17,AA12*(1+Fish_Inputs!$N$23))*F13</f>
        <v>3097.3333333333312</v>
      </c>
      <c r="AB13" s="102">
        <f>IF(B13=1,Fish_Inputs!$O$18,AB12*(1+Fish_Inputs!$N$23))*F13</f>
        <v>0</v>
      </c>
      <c r="AC13" s="684">
        <f>IF(B13=1,Fish_Inputs!$O$19,AC12*(1+Fish_Inputs!$N$23))*F13</f>
        <v>0</v>
      </c>
      <c r="AD13" s="86">
        <f>IF(B13=1,Fish_Inputs!$O$20,AD12*(1+Fish_Inputs!$N$23))*F13</f>
        <v>0</v>
      </c>
      <c r="AE13" s="86">
        <f>IF(B13=1,Fish_Inputs!$O$21,AE12*(1+Fish_Inputs!$N$23))*F13</f>
        <v>0</v>
      </c>
      <c r="AF13" s="200">
        <f>IF(B13=1,Fish_Inputs!$O$22,AF12*(1+Fish_Inputs!$N$23))*F13</f>
        <v>0</v>
      </c>
      <c r="AG13" s="200">
        <f t="shared" ref="AG13:AG44" si="30">SUM(Q13:AF13)*F13</f>
        <v>533871.54566395306</v>
      </c>
      <c r="AH13" s="86">
        <f t="shared" si="13"/>
        <v>42280.958926765015</v>
      </c>
      <c r="AI13" s="225">
        <f t="shared" si="14"/>
        <v>7.3385012804552813E-2</v>
      </c>
      <c r="AJ13" s="457">
        <f>Deprec!C12</f>
        <v>10745.438699832541</v>
      </c>
      <c r="AK13" s="86">
        <f t="shared" si="15"/>
        <v>31535.520226932473</v>
      </c>
      <c r="AL13" s="455">
        <f t="shared" ref="AL13:AL44" si="31">BJ13</f>
        <v>29980.367440227867</v>
      </c>
      <c r="AM13" s="86">
        <f t="shared" ref="AM13:AM44" si="32">AK13-AL13</f>
        <v>1555.1527867046061</v>
      </c>
      <c r="AN13" s="197">
        <f>IF(AM13&lt;0,0,(AM13*Fish_Inputs!$J$14))</f>
        <v>466.54583601138182</v>
      </c>
      <c r="AO13" s="86">
        <f t="shared" ref="AO13:AO44" si="33">AM13-AN13</f>
        <v>1088.6069506932242</v>
      </c>
      <c r="AP13" s="226">
        <f t="shared" si="16"/>
        <v>1.8894423646852647E-3</v>
      </c>
      <c r="AS13" s="196">
        <f t="shared" si="17"/>
        <v>576152.50459071808</v>
      </c>
      <c r="AT13" s="86">
        <f t="shared" si="18"/>
        <v>533871.54566395306</v>
      </c>
      <c r="AU13" s="197">
        <f t="shared" ref="AU13:AU44" si="34">AS13-AT13</f>
        <v>42280.958926765015</v>
      </c>
      <c r="AV13" s="196">
        <f>IF(B13=0,Fish_Inputs!$C$29,0)</f>
        <v>0</v>
      </c>
      <c r="AW13" s="198">
        <f t="shared" si="5"/>
        <v>0</v>
      </c>
      <c r="AX13" s="197">
        <f t="shared" si="6"/>
        <v>42280.958926765015</v>
      </c>
      <c r="AY13" s="192">
        <f>IF(B13=0,Fish_Inputs!$G$15+Fish_Inputs!$G$16,0)</f>
        <v>0</v>
      </c>
      <c r="AZ13" s="193">
        <f>IF(B13=0,Fish_Inputs!$G$14,0)</f>
        <v>0</v>
      </c>
      <c r="BA13" s="200">
        <f t="shared" si="7"/>
        <v>0</v>
      </c>
      <c r="BB13" s="196">
        <f t="shared" si="8"/>
        <v>42280.958926765015</v>
      </c>
      <c r="BC13" s="196">
        <f>Fish_Inputs!$G$20*AVERAGE(BR13,BS13)</f>
        <v>0</v>
      </c>
      <c r="BD13" s="200">
        <f t="shared" si="9"/>
        <v>466.54583601138182</v>
      </c>
      <c r="BE13" s="200">
        <f t="shared" si="19"/>
        <v>42280.958926765015</v>
      </c>
      <c r="BF13" s="86">
        <f t="shared" si="20"/>
        <v>41814.413090753631</v>
      </c>
      <c r="BG13" s="197">
        <f t="shared" si="21"/>
        <v>41814.413090753631</v>
      </c>
      <c r="BH13" s="86">
        <f t="shared" ref="BH13:BH44" si="35">BI12</f>
        <v>179523.15832471775</v>
      </c>
      <c r="BI13" s="86">
        <f t="shared" ref="BI13:BI44" si="36">BH13-BK13</f>
        <v>169577.96224233333</v>
      </c>
      <c r="BJ13" s="86">
        <f>-Debt_Calc!M11</f>
        <v>29980.367440227867</v>
      </c>
      <c r="BK13" s="86">
        <f>Debt_Calc!N11</f>
        <v>9945.1960823844165</v>
      </c>
      <c r="BL13" s="86">
        <f t="shared" si="22"/>
        <v>39925.563522612283</v>
      </c>
      <c r="BM13" s="423">
        <f t="shared" ref="BM13:BM44" si="37">IFERROR(BG13/BL13,0)</f>
        <v>1.0473092776028465</v>
      </c>
      <c r="BN13" s="86">
        <f t="shared" ref="BN13:BN44" si="38">BG13-BL13</f>
        <v>1888.8495681413478</v>
      </c>
      <c r="BO13" s="86">
        <f t="shared" si="23"/>
        <v>2355.3954041527295</v>
      </c>
      <c r="BP13" s="86">
        <f t="shared" ref="BP13:BP44" si="39">BN13+BR13</f>
        <v>1888.8495681413478</v>
      </c>
      <c r="BQ13" s="86">
        <f t="shared" si="24"/>
        <v>0</v>
      </c>
      <c r="BR13" s="86">
        <f t="shared" si="25"/>
        <v>0</v>
      </c>
      <c r="BS13" s="86">
        <f t="shared" si="10"/>
        <v>0</v>
      </c>
      <c r="BT13" s="86">
        <f t="shared" si="26"/>
        <v>-76479.801936638978</v>
      </c>
      <c r="BU13" s="86">
        <f t="shared" ref="BU13:BU44" si="40">IF(BU12&gt;=1,2,IF(BT13&gt;0,1,0))</f>
        <v>0</v>
      </c>
      <c r="BV13" s="214">
        <f t="shared" si="11"/>
        <v>1517.9996491100671</v>
      </c>
      <c r="BW13" s="102"/>
      <c r="BX13" s="102"/>
      <c r="BY13" s="102"/>
      <c r="BZ13" s="102"/>
      <c r="CA13" s="102"/>
      <c r="CI13" s="102"/>
      <c r="CS13" s="102"/>
      <c r="CT13" s="102"/>
      <c r="CU13" s="102"/>
      <c r="CV13" s="102"/>
      <c r="CW13" s="102"/>
      <c r="CX13" s="102"/>
      <c r="CY13" s="102"/>
      <c r="CZ13" s="102"/>
      <c r="DA13" s="102"/>
      <c r="DB13" s="102"/>
      <c r="DC13" s="102"/>
      <c r="DD13" s="86"/>
      <c r="DJ13" s="86"/>
      <c r="DQ13" s="86"/>
    </row>
    <row r="14" spans="2:121" s="193" customFormat="1" x14ac:dyDescent="0.3">
      <c r="B14" s="192">
        <f t="shared" si="27"/>
        <v>3</v>
      </c>
      <c r="C14" s="350">
        <f t="shared" si="12"/>
        <v>2024</v>
      </c>
      <c r="D14" s="351">
        <f t="shared" si="28"/>
        <v>45292</v>
      </c>
      <c r="E14" s="441">
        <f>EDATE(E13,12)</f>
        <v>45657</v>
      </c>
      <c r="F14" s="733">
        <f>IF(AND(B14&gt;0,B14&lt;=Fish_Inputs!$J$17),1,0)</f>
        <v>1</v>
      </c>
      <c r="G14" s="730">
        <f>IF(F14=1,Fish_Inputs!$G$31,0)</f>
        <v>65999.999999999956</v>
      </c>
      <c r="H14" s="446">
        <f>IF(AND(F13=0,F14=1),100%,IF(AND(F13=0,F14=0),100%,H13-Fish_Inputs!$G$41))*F14</f>
        <v>0.99900000000000011</v>
      </c>
      <c r="I14" s="224">
        <f t="shared" ref="I14:I44" si="41">H14*G14</f>
        <v>65933.999999999971</v>
      </c>
      <c r="J14" s="225">
        <f>Fish_Inputs!$J$11</f>
        <v>0.01</v>
      </c>
      <c r="K14" s="444">
        <f>IF(B14=1,Fish_Inputs!$R$15,K13*(1+Fish_CashFlows!J14))*F14</f>
        <v>6.3745551637190028</v>
      </c>
      <c r="L14" s="338">
        <f>IF(B14=1,Fish_Inputs!$R$16,L13*(1+Fish_CashFlows!J14))*F14</f>
        <v>11.268024599999999</v>
      </c>
      <c r="M14" s="86">
        <f>K14*I14*Fish_Inputs!$J$9</f>
        <v>210149.96008232428</v>
      </c>
      <c r="N14" s="214">
        <f>L14*I14*Fish_Inputs!$J$10</f>
        <v>371472.9669881998</v>
      </c>
      <c r="O14" s="423">
        <f t="shared" si="29"/>
        <v>0</v>
      </c>
      <c r="P14" s="122">
        <f>SUM(M14:O14)+IF(B14=Fish_Inputs!$J$17,Fish_Inputs!$J$19,0)</f>
        <v>581622.92707052408</v>
      </c>
      <c r="Q14" s="196">
        <f>IF(B14=1,Fish_Inputs!$O$7,Q13*(1+Fish_Inputs!$N$23))*F14</f>
        <v>459045</v>
      </c>
      <c r="R14" s="86">
        <f>IF(B14=1,Fish_Inputs!$O$8,R13*(1+Fish_Inputs!$N$23))*F14</f>
        <v>7840.7028513743735</v>
      </c>
      <c r="S14" s="86">
        <f>IF(B14=1,Fish_Inputs!$O$9,S13*(1+Fish_Inputs!$N$23))*F14</f>
        <v>27403.55504424794</v>
      </c>
      <c r="T14" s="86">
        <f>IF(B14=1,Fish_Inputs!$O$10,T13*(1+Fish_Inputs!$N$23))*F14</f>
        <v>14263.067178821268</v>
      </c>
      <c r="U14" s="86">
        <f>IF(B14=1,Fish_Inputs!$O$11,U13*(1+Fish_Inputs!$N$23))*F14</f>
        <v>17959.24674791767</v>
      </c>
      <c r="V14" s="86">
        <f>IF(B14=1,Fish_Inputs!$O$12,V13*(1+Fish_Inputs!$N$23))*F14</f>
        <v>94.102648545380248</v>
      </c>
      <c r="W14" s="86">
        <f>IF(B14=1,Fish_Inputs!$O$13,W13*(1+Fish_Inputs!$N$23))*F14</f>
        <v>0</v>
      </c>
      <c r="X14" s="86">
        <f>IF(B14=1,Fish_Inputs!$O$14,X13*(1+Fish_Inputs!$N$23))*F14</f>
        <v>2911.0256610136339</v>
      </c>
      <c r="Y14" s="86">
        <f>IF(B14=1,Fish_Inputs!$O$15,Y13*(1+Fish_Inputs!$N$23))*F14</f>
        <v>2911.0256610136339</v>
      </c>
      <c r="Z14" s="86">
        <f>IF(B14=1,Fish_Inputs!$O$16,Z13*(1+Fish_Inputs!$N$23))*F14</f>
        <v>3654.2286609920002</v>
      </c>
      <c r="AA14" s="86">
        <f>IF(B14=1,Fish_Inputs!$O$17,AA13*(1+Fish_Inputs!$N$23))*F14</f>
        <v>3128.3066666666646</v>
      </c>
      <c r="AB14" s="102">
        <f>IF(B14=1,Fish_Inputs!$O$18,AB13*(1+Fish_Inputs!$N$23))*F14</f>
        <v>0</v>
      </c>
      <c r="AC14" s="684">
        <f>IF(B14=1,Fish_Inputs!$O$19,AC13*(1+Fish_Inputs!$N$23))*F14</f>
        <v>0</v>
      </c>
      <c r="AD14" s="86">
        <f>IF(B14=1,Fish_Inputs!$O$20,AD13*(1+Fish_Inputs!$N$23))*F14</f>
        <v>0</v>
      </c>
      <c r="AE14" s="86">
        <f>IF(B14=1,Fish_Inputs!$O$21,AE13*(1+Fish_Inputs!$N$23))*F14</f>
        <v>0</v>
      </c>
      <c r="AF14" s="200">
        <f>IF(B14=1,Fish_Inputs!$O$22,AF13*(1+Fish_Inputs!$N$23))*F14</f>
        <v>0</v>
      </c>
      <c r="AG14" s="200">
        <f t="shared" si="30"/>
        <v>539210.26112059271</v>
      </c>
      <c r="AH14" s="86">
        <f t="shared" si="13"/>
        <v>42412.665949931368</v>
      </c>
      <c r="AI14" s="225">
        <f t="shared" si="14"/>
        <v>7.2921241539690304E-2</v>
      </c>
      <c r="AJ14" s="457">
        <f>Deprec!C13</f>
        <v>10745.438699832541</v>
      </c>
      <c r="AK14" s="86">
        <f t="shared" si="15"/>
        <v>31667.227250098826</v>
      </c>
      <c r="AL14" s="455">
        <f t="shared" si="31"/>
        <v>28319.519694469669</v>
      </c>
      <c r="AM14" s="86">
        <f t="shared" si="32"/>
        <v>3347.7075556291566</v>
      </c>
      <c r="AN14" s="197">
        <f>IF(AM14&lt;0,0,(AM14*Fish_Inputs!$J$14))</f>
        <v>1004.3122666887469</v>
      </c>
      <c r="AO14" s="86">
        <f t="shared" si="33"/>
        <v>2343.3952889404095</v>
      </c>
      <c r="AP14" s="226">
        <f t="shared" si="16"/>
        <v>4.0290627825547588E-3</v>
      </c>
      <c r="AS14" s="196">
        <f t="shared" si="17"/>
        <v>581622.92707052408</v>
      </c>
      <c r="AT14" s="86">
        <f t="shared" si="18"/>
        <v>539210.26112059271</v>
      </c>
      <c r="AU14" s="197">
        <f t="shared" si="34"/>
        <v>42412.665949931368</v>
      </c>
      <c r="AV14" s="196">
        <f>IF(B14=0,Fish_Inputs!$C$29,0)</f>
        <v>0</v>
      </c>
      <c r="AW14" s="198">
        <f t="shared" si="5"/>
        <v>0</v>
      </c>
      <c r="AX14" s="197">
        <f t="shared" si="6"/>
        <v>42412.665949931368</v>
      </c>
      <c r="AY14" s="192">
        <f>IF(B14=0,Fish_Inputs!$G$15+Fish_Inputs!$G$16,0)</f>
        <v>0</v>
      </c>
      <c r="AZ14" s="193">
        <f>IF(B14=0,Fish_Inputs!$G$14,0)</f>
        <v>0</v>
      </c>
      <c r="BA14" s="200">
        <f t="shared" si="7"/>
        <v>0</v>
      </c>
      <c r="BB14" s="196">
        <f t="shared" si="8"/>
        <v>42412.665949931368</v>
      </c>
      <c r="BC14" s="196">
        <f>Fish_Inputs!$G$20*AVERAGE(BR14,BS14)</f>
        <v>0</v>
      </c>
      <c r="BD14" s="200">
        <f t="shared" si="9"/>
        <v>1004.3122666887469</v>
      </c>
      <c r="BE14" s="200">
        <f t="shared" si="19"/>
        <v>42412.665949931368</v>
      </c>
      <c r="BF14" s="86">
        <f t="shared" si="20"/>
        <v>41408.353683242618</v>
      </c>
      <c r="BG14" s="197">
        <f t="shared" si="21"/>
        <v>41408.353683242618</v>
      </c>
      <c r="BH14" s="86">
        <f t="shared" si="35"/>
        <v>169577.96224233333</v>
      </c>
      <c r="BI14" s="86">
        <f t="shared" si="36"/>
        <v>157971.9184141907</v>
      </c>
      <c r="BJ14" s="86">
        <f>-Debt_Calc!M12</f>
        <v>28319.519694469669</v>
      </c>
      <c r="BK14" s="86">
        <f>Debt_Calc!N12</f>
        <v>11606.043828142621</v>
      </c>
      <c r="BL14" s="86">
        <f t="shared" si="22"/>
        <v>39925.56352261229</v>
      </c>
      <c r="BM14" s="423">
        <f t="shared" si="37"/>
        <v>1.0371388661750642</v>
      </c>
      <c r="BN14" s="86">
        <f t="shared" si="38"/>
        <v>1482.7901606303276</v>
      </c>
      <c r="BO14" s="86">
        <f t="shared" si="23"/>
        <v>2487.1024273190746</v>
      </c>
      <c r="BP14" s="86">
        <f t="shared" si="39"/>
        <v>1482.7901606303276</v>
      </c>
      <c r="BQ14" s="86">
        <f t="shared" si="24"/>
        <v>0</v>
      </c>
      <c r="BR14" s="86">
        <f t="shared" si="25"/>
        <v>0</v>
      </c>
      <c r="BS14" s="86">
        <f t="shared" si="10"/>
        <v>0</v>
      </c>
      <c r="BT14" s="86">
        <f t="shared" si="26"/>
        <v>-74997.011776008643</v>
      </c>
      <c r="BU14" s="86">
        <f t="shared" si="40"/>
        <v>0</v>
      </c>
      <c r="BV14" s="214">
        <f t="shared" si="11"/>
        <v>1068.2948763487032</v>
      </c>
      <c r="BW14" s="102"/>
      <c r="BX14" s="102"/>
      <c r="BY14" s="102"/>
      <c r="BZ14" s="102"/>
      <c r="CA14" s="102"/>
      <c r="CI14" s="102"/>
      <c r="CS14" s="102"/>
      <c r="CT14" s="102"/>
      <c r="CU14" s="102"/>
      <c r="CV14" s="102"/>
      <c r="CW14" s="102"/>
      <c r="CX14" s="102"/>
      <c r="CY14" s="102"/>
      <c r="CZ14" s="102"/>
      <c r="DA14" s="102"/>
      <c r="DB14" s="102"/>
      <c r="DC14" s="102"/>
      <c r="DD14" s="86"/>
      <c r="DJ14" s="86"/>
      <c r="DQ14" s="86"/>
    </row>
    <row r="15" spans="2:121" s="86" customFormat="1" x14ac:dyDescent="0.3">
      <c r="B15" s="192">
        <f t="shared" si="27"/>
        <v>4</v>
      </c>
      <c r="C15" s="350">
        <f t="shared" si="12"/>
        <v>2025</v>
      </c>
      <c r="D15" s="351">
        <f t="shared" si="28"/>
        <v>45658</v>
      </c>
      <c r="E15" s="441">
        <f t="shared" si="28"/>
        <v>46022</v>
      </c>
      <c r="F15" s="733">
        <f>IF(AND(B15&gt;0,B15&lt;=Fish_Inputs!$J$17),1,0)</f>
        <v>1</v>
      </c>
      <c r="G15" s="730">
        <f>IF(F15=1,Fish_Inputs!$G$31,0)</f>
        <v>65999.999999999956</v>
      </c>
      <c r="H15" s="446">
        <f>IF(AND(F14=0,F15=1),100%,IF(AND(F14=0,F15=0),100%,H14-Fish_Inputs!$G$41))*F15</f>
        <v>0.99850000000000017</v>
      </c>
      <c r="I15" s="224">
        <f t="shared" si="41"/>
        <v>65900.999999999971</v>
      </c>
      <c r="J15" s="225">
        <f>Fish_Inputs!$J$11</f>
        <v>0.01</v>
      </c>
      <c r="K15" s="444">
        <f>IF(B15=1,Fish_Inputs!$R$15,K14*(1+Fish_CashFlows!J15))*F15</f>
        <v>6.4383007153561929</v>
      </c>
      <c r="L15" s="338">
        <f>IF(B15=1,Fish_Inputs!$R$16,L14*(1+Fish_CashFlows!J15))*F15</f>
        <v>11.380704845999999</v>
      </c>
      <c r="M15" s="86">
        <f>K15*I15*Fish_Inputs!$J$9</f>
        <v>212145.22772134413</v>
      </c>
      <c r="N15" s="214">
        <f>L15*I15*Fish_Inputs!$J$10</f>
        <v>374999.91502812278</v>
      </c>
      <c r="O15" s="423">
        <f t="shared" si="29"/>
        <v>0</v>
      </c>
      <c r="P15" s="122">
        <f>SUM(M15:O15)+IF(B15=Fish_Inputs!$J$17,Fish_Inputs!$J$19,0)</f>
        <v>587145.14274946693</v>
      </c>
      <c r="Q15" s="196">
        <f>IF(B15=1,Fish_Inputs!$O$7,Q14*(1+Fish_Inputs!$N$23))*F15</f>
        <v>463635.45</v>
      </c>
      <c r="R15" s="86">
        <f>IF(B15=1,Fish_Inputs!$O$8,R14*(1+Fish_Inputs!$N$23))*F15</f>
        <v>7919.1098798881176</v>
      </c>
      <c r="S15" s="86">
        <f>IF(B15=1,Fish_Inputs!$O$9,S14*(1+Fish_Inputs!$N$23))*F15</f>
        <v>27677.59059469042</v>
      </c>
      <c r="T15" s="86">
        <f>IF(B15=1,Fish_Inputs!$O$10,T14*(1+Fish_Inputs!$N$23))*F15</f>
        <v>14405.69785060948</v>
      </c>
      <c r="U15" s="86">
        <f>IF(B15=1,Fish_Inputs!$O$11,U14*(1+Fish_Inputs!$N$23))*F15</f>
        <v>18138.839215396849</v>
      </c>
      <c r="V15" s="86">
        <f>IF(B15=1,Fish_Inputs!$O$12,V14*(1+Fish_Inputs!$N$23))*F15</f>
        <v>95.043675030834052</v>
      </c>
      <c r="W15" s="86">
        <f>IF(B15=1,Fish_Inputs!$O$13,W14*(1+Fish_Inputs!$N$23))*F15</f>
        <v>0</v>
      </c>
      <c r="X15" s="86">
        <f>IF(B15=1,Fish_Inputs!$O$14,X14*(1+Fish_Inputs!$N$23))*F15</f>
        <v>2940.1359176237702</v>
      </c>
      <c r="Y15" s="86">
        <f>IF(B15=1,Fish_Inputs!$O$15,Y14*(1+Fish_Inputs!$N$23))*F15</f>
        <v>2940.1359176237702</v>
      </c>
      <c r="Z15" s="86">
        <f>IF(B15=1,Fish_Inputs!$O$16,Z14*(1+Fish_Inputs!$N$23))*F15</f>
        <v>3690.7709476019204</v>
      </c>
      <c r="AA15" s="86">
        <f>IF(B15=1,Fish_Inputs!$O$17,AA14*(1+Fish_Inputs!$N$23))*F15</f>
        <v>3159.5897333333314</v>
      </c>
      <c r="AB15" s="102">
        <f>IF(B15=1,Fish_Inputs!$O$18,AB14*(1+Fish_Inputs!$N$23))*F15</f>
        <v>0</v>
      </c>
      <c r="AC15" s="684">
        <f>IF(B15=1,Fish_Inputs!$O$19,AC14*(1+Fish_Inputs!$N$23))*F15</f>
        <v>0</v>
      </c>
      <c r="AD15" s="86">
        <f>IF(B15=1,Fish_Inputs!$O$20,AD14*(1+Fish_Inputs!$N$23))*F15</f>
        <v>0</v>
      </c>
      <c r="AE15" s="86">
        <f>IF(B15=1,Fish_Inputs!$O$21,AE14*(1+Fish_Inputs!$N$23))*F15</f>
        <v>0</v>
      </c>
      <c r="AF15" s="200">
        <f>IF(B15=1,Fish_Inputs!$O$22,AF14*(1+Fish_Inputs!$N$23))*F15</f>
        <v>0</v>
      </c>
      <c r="AG15" s="200">
        <f t="shared" si="30"/>
        <v>544602.36373179848</v>
      </c>
      <c r="AH15" s="86">
        <f t="shared" si="13"/>
        <v>42542.77901766845</v>
      </c>
      <c r="AI15" s="225">
        <f t="shared" si="14"/>
        <v>7.2457005806861166E-2</v>
      </c>
      <c r="AJ15" s="457">
        <f>Deprec!C14</f>
        <v>10745.438699832541</v>
      </c>
      <c r="AK15" s="86">
        <f t="shared" si="15"/>
        <v>31797.340317835908</v>
      </c>
      <c r="AL15" s="455">
        <f t="shared" si="31"/>
        <v>26381.310375169847</v>
      </c>
      <c r="AM15" s="86">
        <f t="shared" si="32"/>
        <v>5416.0299426660604</v>
      </c>
      <c r="AN15" s="197">
        <f>IF(AM15&lt;0,0,(AM15*Fish_Inputs!$J$14))</f>
        <v>1624.8089827998181</v>
      </c>
      <c r="AO15" s="86">
        <f t="shared" si="33"/>
        <v>3791.2209598662421</v>
      </c>
      <c r="AP15" s="226">
        <f t="shared" si="16"/>
        <v>6.4570421925195841E-3</v>
      </c>
      <c r="AS15" s="196">
        <f t="shared" si="17"/>
        <v>587145.14274946693</v>
      </c>
      <c r="AT15" s="86">
        <f t="shared" si="18"/>
        <v>544602.36373179848</v>
      </c>
      <c r="AU15" s="197">
        <f t="shared" si="34"/>
        <v>42542.77901766845</v>
      </c>
      <c r="AV15" s="196">
        <f>IF(B15=0,Fish_Inputs!$C$29,0)</f>
        <v>0</v>
      </c>
      <c r="AW15" s="198">
        <f t="shared" si="5"/>
        <v>0</v>
      </c>
      <c r="AX15" s="197">
        <f t="shared" si="6"/>
        <v>42542.77901766845</v>
      </c>
      <c r="AY15" s="192">
        <f>IF(B15=0,Fish_Inputs!$G$15+Fish_Inputs!$G$16,0)</f>
        <v>0</v>
      </c>
      <c r="AZ15" s="193">
        <f>IF(B15=0,Fish_Inputs!$G$14,0)</f>
        <v>0</v>
      </c>
      <c r="BA15" s="200">
        <f t="shared" si="7"/>
        <v>0</v>
      </c>
      <c r="BB15" s="196">
        <f t="shared" si="8"/>
        <v>42542.77901766845</v>
      </c>
      <c r="BC15" s="196">
        <f>Fish_Inputs!$G$20*AVERAGE(BR15,BS15)</f>
        <v>0</v>
      </c>
      <c r="BD15" s="200">
        <f t="shared" si="9"/>
        <v>1624.8089827998181</v>
      </c>
      <c r="BE15" s="200">
        <f t="shared" si="19"/>
        <v>42542.77901766845</v>
      </c>
      <c r="BF15" s="86">
        <f t="shared" si="20"/>
        <v>40917.970034868631</v>
      </c>
      <c r="BG15" s="197">
        <f t="shared" si="21"/>
        <v>40917.970034868631</v>
      </c>
      <c r="BH15" s="86">
        <f t="shared" si="35"/>
        <v>157971.9184141907</v>
      </c>
      <c r="BI15" s="86">
        <f t="shared" si="36"/>
        <v>144427.66526674828</v>
      </c>
      <c r="BJ15" s="86">
        <f>-Debt_Calc!M13</f>
        <v>26381.310375169847</v>
      </c>
      <c r="BK15" s="86">
        <f>Debt_Calc!N13</f>
        <v>13544.253147442429</v>
      </c>
      <c r="BL15" s="86">
        <f t="shared" si="22"/>
        <v>39925.563522612276</v>
      </c>
      <c r="BM15" s="423">
        <f t="shared" si="37"/>
        <v>1.0248564184120856</v>
      </c>
      <c r="BN15" s="86">
        <f t="shared" si="38"/>
        <v>992.4065122563552</v>
      </c>
      <c r="BO15" s="86">
        <f t="shared" si="23"/>
        <v>2617.2154950561735</v>
      </c>
      <c r="BP15" s="86">
        <f t="shared" si="39"/>
        <v>992.4065122563552</v>
      </c>
      <c r="BQ15" s="86">
        <f t="shared" si="24"/>
        <v>0</v>
      </c>
      <c r="BR15" s="86">
        <f t="shared" si="25"/>
        <v>0</v>
      </c>
      <c r="BS15" s="86">
        <f t="shared" si="10"/>
        <v>0</v>
      </c>
      <c r="BT15" s="86">
        <f t="shared" si="26"/>
        <v>-74004.605263752281</v>
      </c>
      <c r="BU15" s="86">
        <f t="shared" si="40"/>
        <v>0</v>
      </c>
      <c r="BV15" s="214">
        <f t="shared" si="11"/>
        <v>640.9707411787715</v>
      </c>
    </row>
    <row r="16" spans="2:121" s="86" customFormat="1" x14ac:dyDescent="0.3">
      <c r="B16" s="192">
        <f t="shared" si="27"/>
        <v>5</v>
      </c>
      <c r="C16" s="350">
        <f t="shared" si="12"/>
        <v>2026</v>
      </c>
      <c r="D16" s="351">
        <f t="shared" si="28"/>
        <v>46023</v>
      </c>
      <c r="E16" s="441">
        <f t="shared" si="28"/>
        <v>46387</v>
      </c>
      <c r="F16" s="733">
        <f>IF(AND(B16&gt;0,B16&lt;=Fish_Inputs!$J$17),1,0)</f>
        <v>1</v>
      </c>
      <c r="G16" s="730">
        <f>IF(F16=1,Fish_Inputs!$G$31,0)</f>
        <v>65999.999999999956</v>
      </c>
      <c r="H16" s="446">
        <f>IF(AND(F15=0,F16=1),100%,IF(AND(F15=0,F16=0),100%,H15-Fish_Inputs!$G$41))*F16</f>
        <v>0.99800000000000022</v>
      </c>
      <c r="I16" s="224">
        <f t="shared" si="41"/>
        <v>65867.999999999971</v>
      </c>
      <c r="J16" s="225">
        <f>Fish_Inputs!$J$11</f>
        <v>0.01</v>
      </c>
      <c r="K16" s="444">
        <f>IF(B16=1,Fish_Inputs!$R$15,K15*(1+Fish_CashFlows!J16))*F16</f>
        <v>6.5026837225097545</v>
      </c>
      <c r="L16" s="338">
        <f>IF(B16=1,Fish_Inputs!$R$16,L15*(1+Fish_CashFlows!J16))*F16</f>
        <v>11.494511894459999</v>
      </c>
      <c r="M16" s="86">
        <f>K16*I16*Fish_Inputs!$J$9</f>
        <v>214159.38571713615</v>
      </c>
      <c r="N16" s="214">
        <f>L16*I16*Fish_Inputs!$J$10</f>
        <v>378560.2547321454</v>
      </c>
      <c r="O16" s="423">
        <f t="shared" si="29"/>
        <v>0</v>
      </c>
      <c r="P16" s="122">
        <f>SUM(M16:O16)+IF(B16=Fish_Inputs!$J$17,Fish_Inputs!$J$19,0)</f>
        <v>592719.64044928155</v>
      </c>
      <c r="Q16" s="196">
        <f>IF(B16=1,Fish_Inputs!$O$7,Q15*(1+Fish_Inputs!$N$23))*F16</f>
        <v>468271.80450000003</v>
      </c>
      <c r="R16" s="86">
        <f>IF(B16=1,Fish_Inputs!$O$8,R15*(1+Fish_Inputs!$N$23))*F16</f>
        <v>7998.3009786869989</v>
      </c>
      <c r="S16" s="86">
        <f>IF(B16=1,Fish_Inputs!$O$9,S15*(1+Fish_Inputs!$N$23))*F16</f>
        <v>27954.366500637323</v>
      </c>
      <c r="T16" s="86">
        <f>IF(B16=1,Fish_Inputs!$O$10,T15*(1+Fish_Inputs!$N$23))*F16</f>
        <v>14549.754829115574</v>
      </c>
      <c r="U16" s="86">
        <f>IF(B16=1,Fish_Inputs!$O$11,U15*(1+Fish_Inputs!$N$23))*F16</f>
        <v>18320.227607550816</v>
      </c>
      <c r="V16" s="86">
        <f>IF(B16=1,Fish_Inputs!$O$12,V15*(1+Fish_Inputs!$N$23))*F16</f>
        <v>95.994111781142394</v>
      </c>
      <c r="W16" s="86">
        <f>IF(B16=1,Fish_Inputs!$O$13,W15*(1+Fish_Inputs!$N$23))*F16</f>
        <v>0</v>
      </c>
      <c r="X16" s="86">
        <f>IF(B16=1,Fish_Inputs!$O$14,X15*(1+Fish_Inputs!$N$23))*F16</f>
        <v>2969.5372768000079</v>
      </c>
      <c r="Y16" s="86">
        <f>IF(B16=1,Fish_Inputs!$O$15,Y15*(1+Fish_Inputs!$N$23))*F16</f>
        <v>2969.5372768000079</v>
      </c>
      <c r="Z16" s="86">
        <f>IF(B16=1,Fish_Inputs!$O$16,Z15*(1+Fish_Inputs!$N$23))*F16</f>
        <v>3727.6786570779395</v>
      </c>
      <c r="AA16" s="86">
        <f>IF(B16=1,Fish_Inputs!$O$17,AA15*(1+Fish_Inputs!$N$23))*F16</f>
        <v>3191.1856306666646</v>
      </c>
      <c r="AB16" s="102">
        <f>IF(B16=1,Fish_Inputs!$O$18,AB15*(1+Fish_Inputs!$N$23))*F16</f>
        <v>0</v>
      </c>
      <c r="AC16" s="684">
        <f>IF(B16=1,Fish_Inputs!$O$19,AC15*(1+Fish_Inputs!$N$23))*F16</f>
        <v>0</v>
      </c>
      <c r="AD16" s="86">
        <f>IF(B16=1,Fish_Inputs!$O$20,AD15*(1+Fish_Inputs!$N$23))*F16</f>
        <v>0</v>
      </c>
      <c r="AE16" s="86">
        <f>IF(B16=1,Fish_Inputs!$O$21,AE15*(1+Fish_Inputs!$N$23))*F16</f>
        <v>0</v>
      </c>
      <c r="AF16" s="200">
        <f>IF(B16=1,Fish_Inputs!$O$22,AF15*(1+Fish_Inputs!$N$23))*F16</f>
        <v>0</v>
      </c>
      <c r="AG16" s="200">
        <f t="shared" si="30"/>
        <v>550048.38736911654</v>
      </c>
      <c r="AH16" s="86">
        <f t="shared" si="13"/>
        <v>42671.253080165014</v>
      </c>
      <c r="AI16" s="225">
        <f t="shared" si="14"/>
        <v>7.1992304907966612E-2</v>
      </c>
      <c r="AJ16" s="457">
        <f>Deprec!C15</f>
        <v>10745.438699832541</v>
      </c>
      <c r="AK16" s="86">
        <f t="shared" si="15"/>
        <v>31925.814380332471</v>
      </c>
      <c r="AL16" s="455">
        <f t="shared" si="31"/>
        <v>24119.420099546966</v>
      </c>
      <c r="AM16" s="86">
        <f t="shared" si="32"/>
        <v>7806.3942807855055</v>
      </c>
      <c r="AN16" s="197">
        <f>IF(AM16&lt;0,0,(AM16*Fish_Inputs!$J$14))</f>
        <v>2341.9182842356518</v>
      </c>
      <c r="AO16" s="86">
        <f t="shared" si="33"/>
        <v>5464.4759965498542</v>
      </c>
      <c r="AP16" s="226">
        <f t="shared" si="16"/>
        <v>9.2193266826923106E-3</v>
      </c>
      <c r="AS16" s="196">
        <f t="shared" si="17"/>
        <v>592719.64044928155</v>
      </c>
      <c r="AT16" s="86">
        <f t="shared" si="18"/>
        <v>550048.38736911654</v>
      </c>
      <c r="AU16" s="197">
        <f t="shared" si="34"/>
        <v>42671.253080165014</v>
      </c>
      <c r="AV16" s="196">
        <f>IF(B16=0,Fish_Inputs!$C$29,0)</f>
        <v>0</v>
      </c>
      <c r="AW16" s="198">
        <f t="shared" si="5"/>
        <v>0</v>
      </c>
      <c r="AX16" s="197">
        <f t="shared" si="6"/>
        <v>42671.253080165014</v>
      </c>
      <c r="AY16" s="192">
        <f>IF(B16=0,Fish_Inputs!$G$15+Fish_Inputs!$G$16,0)</f>
        <v>0</v>
      </c>
      <c r="AZ16" s="193">
        <f>IF(B16=0,Fish_Inputs!$G$14,0)</f>
        <v>0</v>
      </c>
      <c r="BA16" s="200">
        <f t="shared" si="7"/>
        <v>0</v>
      </c>
      <c r="BB16" s="196">
        <f t="shared" si="8"/>
        <v>42671.253080165014</v>
      </c>
      <c r="BC16" s="196">
        <f>Fish_Inputs!$G$20*AVERAGE(BR16,BS16)</f>
        <v>0</v>
      </c>
      <c r="BD16" s="200">
        <f t="shared" si="9"/>
        <v>2341.9182842356518</v>
      </c>
      <c r="BE16" s="200">
        <f t="shared" si="19"/>
        <v>42671.253080165014</v>
      </c>
      <c r="BF16" s="86">
        <f t="shared" si="20"/>
        <v>40329.334795929361</v>
      </c>
      <c r="BG16" s="197">
        <f t="shared" si="21"/>
        <v>40329.334795929361</v>
      </c>
      <c r="BH16" s="86">
        <f t="shared" si="35"/>
        <v>144427.66526674828</v>
      </c>
      <c r="BI16" s="86">
        <f t="shared" si="36"/>
        <v>128621.52184368296</v>
      </c>
      <c r="BJ16" s="86">
        <f>-Debt_Calc!M14</f>
        <v>24119.420099546966</v>
      </c>
      <c r="BK16" s="86">
        <f>Debt_Calc!N14</f>
        <v>15806.143423065325</v>
      </c>
      <c r="BL16" s="86">
        <f t="shared" si="22"/>
        <v>39925.56352261229</v>
      </c>
      <c r="BM16" s="423">
        <f t="shared" si="37"/>
        <v>1.0101131014240636</v>
      </c>
      <c r="BN16" s="86">
        <f t="shared" si="38"/>
        <v>403.77127331707015</v>
      </c>
      <c r="BO16" s="86">
        <f t="shared" si="23"/>
        <v>2745.6895575527219</v>
      </c>
      <c r="BP16" s="86">
        <f t="shared" si="39"/>
        <v>403.77127331707015</v>
      </c>
      <c r="BQ16" s="86">
        <f t="shared" si="24"/>
        <v>0</v>
      </c>
      <c r="BR16" s="86">
        <f t="shared" si="25"/>
        <v>0</v>
      </c>
      <c r="BS16" s="86">
        <f t="shared" si="10"/>
        <v>0</v>
      </c>
      <c r="BT16" s="86">
        <f t="shared" si="26"/>
        <v>-73600.833990435203</v>
      </c>
      <c r="BU16" s="86">
        <f t="shared" si="40"/>
        <v>0</v>
      </c>
      <c r="BV16" s="214">
        <f t="shared" si="11"/>
        <v>233.78743566847629</v>
      </c>
    </row>
    <row r="17" spans="2:74" s="86" customFormat="1" x14ac:dyDescent="0.3">
      <c r="B17" s="192">
        <f t="shared" si="27"/>
        <v>6</v>
      </c>
      <c r="C17" s="350">
        <f t="shared" si="12"/>
        <v>2027</v>
      </c>
      <c r="D17" s="351">
        <f t="shared" si="28"/>
        <v>46388</v>
      </c>
      <c r="E17" s="441">
        <f t="shared" si="28"/>
        <v>46752</v>
      </c>
      <c r="F17" s="733">
        <f>IF(AND(B17&gt;0,B17&lt;=Fish_Inputs!$J$17),1,0)</f>
        <v>1</v>
      </c>
      <c r="G17" s="730">
        <f>IF(F17=1,Fish_Inputs!$G$31,0)</f>
        <v>65999.999999999956</v>
      </c>
      <c r="H17" s="446">
        <f>IF(AND(F16=0,F17=1),100%,IF(AND(F16=0,F17=0),100%,H16-Fish_Inputs!$G$41))*F17</f>
        <v>0.99750000000000028</v>
      </c>
      <c r="I17" s="224">
        <f t="shared" si="41"/>
        <v>65834.999999999971</v>
      </c>
      <c r="J17" s="225">
        <f>Fish_Inputs!$J$11</f>
        <v>0.01</v>
      </c>
      <c r="K17" s="444">
        <f>IF(B17=1,Fish_Inputs!$R$15,K16*(1+Fish_CashFlows!J17))*F17</f>
        <v>6.5677105597348522</v>
      </c>
      <c r="L17" s="338">
        <f>IF(B17=1,Fish_Inputs!$R$16,L16*(1+Fish_CashFlows!J17))*F17</f>
        <v>11.609457013404599</v>
      </c>
      <c r="M17" s="86">
        <f>K17*I17*Fish_Inputs!$J$9</f>
        <v>216192.6123500719</v>
      </c>
      <c r="N17" s="214">
        <f>L17*I17*Fish_Inputs!$J$10</f>
        <v>382154.30123874574</v>
      </c>
      <c r="O17" s="423">
        <f t="shared" si="29"/>
        <v>0</v>
      </c>
      <c r="P17" s="122">
        <f>SUM(M17:O17)+IF(B17=Fish_Inputs!$J$17,Fish_Inputs!$J$19,0)</f>
        <v>598346.9135888177</v>
      </c>
      <c r="Q17" s="196">
        <f>IF(B17=1,Fish_Inputs!$O$7,Q16*(1+Fish_Inputs!$N$23))*F17</f>
        <v>472954.52254500001</v>
      </c>
      <c r="R17" s="86">
        <f>IF(B17=1,Fish_Inputs!$O$8,R16*(1+Fish_Inputs!$N$23))*F17</f>
        <v>8078.2839884738687</v>
      </c>
      <c r="S17" s="86">
        <f>IF(B17=1,Fish_Inputs!$O$9,S16*(1+Fish_Inputs!$N$23))*F17</f>
        <v>28233.910165643698</v>
      </c>
      <c r="T17" s="86">
        <f>IF(B17=1,Fish_Inputs!$O$10,T16*(1+Fish_Inputs!$N$23))*F17</f>
        <v>14695.25237740673</v>
      </c>
      <c r="U17" s="86">
        <f>IF(B17=1,Fish_Inputs!$O$11,U16*(1+Fish_Inputs!$N$23))*F17</f>
        <v>18503.429883626326</v>
      </c>
      <c r="V17" s="86">
        <f>IF(B17=1,Fish_Inputs!$O$12,V16*(1+Fish_Inputs!$N$23))*F17</f>
        <v>96.954052898953819</v>
      </c>
      <c r="W17" s="86">
        <f>IF(B17=1,Fish_Inputs!$O$13,W16*(1+Fish_Inputs!$N$23))*F17</f>
        <v>0</v>
      </c>
      <c r="X17" s="86">
        <f>IF(B17=1,Fish_Inputs!$O$14,X16*(1+Fish_Inputs!$N$23))*F17</f>
        <v>2999.2326495680081</v>
      </c>
      <c r="Y17" s="86">
        <f>IF(B17=1,Fish_Inputs!$O$15,Y16*(1+Fish_Inputs!$N$23))*F17</f>
        <v>2999.2326495680081</v>
      </c>
      <c r="Z17" s="86">
        <f>IF(B17=1,Fish_Inputs!$O$16,Z16*(1+Fish_Inputs!$N$23))*F17</f>
        <v>3764.9554436487188</v>
      </c>
      <c r="AA17" s="86">
        <f>IF(B17=1,Fish_Inputs!$O$17,AA16*(1+Fish_Inputs!$N$23))*F17</f>
        <v>3223.0974869733313</v>
      </c>
      <c r="AB17" s="102">
        <f>IF(B17=1,Fish_Inputs!$O$18,AB16*(1+Fish_Inputs!$N$23))*F17</f>
        <v>0</v>
      </c>
      <c r="AC17" s="684">
        <f>IF(B17=1,Fish_Inputs!$O$19,AC16*(1+Fish_Inputs!$N$23))*F17</f>
        <v>0</v>
      </c>
      <c r="AD17" s="86">
        <f>IF(B17=1,Fish_Inputs!$O$20,AD16*(1+Fish_Inputs!$N$23))*F17</f>
        <v>0</v>
      </c>
      <c r="AE17" s="86">
        <f>IF(B17=1,Fish_Inputs!$O$21,AE16*(1+Fish_Inputs!$N$23))*F17</f>
        <v>0</v>
      </c>
      <c r="AF17" s="200">
        <f>IF(B17=1,Fish_Inputs!$O$22,AF16*(1+Fish_Inputs!$N$23))*F17</f>
        <v>0</v>
      </c>
      <c r="AG17" s="200">
        <f t="shared" si="30"/>
        <v>555548.8712428076</v>
      </c>
      <c r="AH17" s="86">
        <f t="shared" si="13"/>
        <v>42798.042346010101</v>
      </c>
      <c r="AI17" s="225">
        <f t="shared" si="14"/>
        <v>7.1527138143509833E-2</v>
      </c>
      <c r="AJ17" s="457">
        <f>Deprec!C16</f>
        <v>10745.438699832541</v>
      </c>
      <c r="AK17" s="86">
        <f t="shared" si="15"/>
        <v>32052.603646177558</v>
      </c>
      <c r="AL17" s="455">
        <f t="shared" si="31"/>
        <v>21479.794147895056</v>
      </c>
      <c r="AM17" s="86">
        <f t="shared" si="32"/>
        <v>10572.809498282502</v>
      </c>
      <c r="AN17" s="197">
        <f>IF(AM17&lt;0,0,(AM17*Fish_Inputs!$J$14))</f>
        <v>3171.8428494847508</v>
      </c>
      <c r="AO17" s="86">
        <f t="shared" si="33"/>
        <v>7400.966648797752</v>
      </c>
      <c r="AP17" s="226">
        <f t="shared" si="16"/>
        <v>1.2369022853995493E-2</v>
      </c>
      <c r="AS17" s="196">
        <f t="shared" si="17"/>
        <v>598346.9135888177</v>
      </c>
      <c r="AT17" s="86">
        <f t="shared" si="18"/>
        <v>555548.8712428076</v>
      </c>
      <c r="AU17" s="197">
        <f t="shared" si="34"/>
        <v>42798.042346010101</v>
      </c>
      <c r="AV17" s="196">
        <f>IF(B17=0,Fish_Inputs!$C$29,0)</f>
        <v>0</v>
      </c>
      <c r="AW17" s="198">
        <f t="shared" si="5"/>
        <v>0</v>
      </c>
      <c r="AX17" s="197">
        <f t="shared" si="6"/>
        <v>42798.042346010101</v>
      </c>
      <c r="AY17" s="192">
        <f>IF(B17=0,Fish_Inputs!$G$15+Fish_Inputs!$G$16,0)</f>
        <v>0</v>
      </c>
      <c r="AZ17" s="193">
        <f>IF(B17=0,Fish_Inputs!$G$14,0)</f>
        <v>0</v>
      </c>
      <c r="BA17" s="200">
        <f t="shared" si="7"/>
        <v>0</v>
      </c>
      <c r="BB17" s="196">
        <f t="shared" si="8"/>
        <v>42798.042346010101</v>
      </c>
      <c r="BC17" s="196">
        <f>Fish_Inputs!$G$20*AVERAGE(BR17,BS17)</f>
        <v>0</v>
      </c>
      <c r="BD17" s="200">
        <f t="shared" si="9"/>
        <v>3171.8428494847508</v>
      </c>
      <c r="BE17" s="200">
        <f t="shared" si="19"/>
        <v>42798.042346010101</v>
      </c>
      <c r="BF17" s="86">
        <f t="shared" si="20"/>
        <v>39626.199496525347</v>
      </c>
      <c r="BG17" s="197">
        <f t="shared" si="21"/>
        <v>39626.199496525347</v>
      </c>
      <c r="BH17" s="86">
        <f t="shared" si="35"/>
        <v>128621.52184368296</v>
      </c>
      <c r="BI17" s="86">
        <f t="shared" si="36"/>
        <v>110175.75246896573</v>
      </c>
      <c r="BJ17" s="86">
        <f>-Debt_Calc!M15</f>
        <v>21479.794147895056</v>
      </c>
      <c r="BK17" s="86">
        <f>Debt_Calc!N15</f>
        <v>18445.769374717234</v>
      </c>
      <c r="BL17" s="86">
        <f t="shared" si="22"/>
        <v>39925.56352261229</v>
      </c>
      <c r="BM17" s="423">
        <f t="shared" si="37"/>
        <v>0.99250194612989251</v>
      </c>
      <c r="BN17" s="86">
        <f t="shared" si="38"/>
        <v>-299.36402608694334</v>
      </c>
      <c r="BO17" s="86">
        <f t="shared" si="23"/>
        <v>2872.4788233978074</v>
      </c>
      <c r="BP17" s="86">
        <f t="shared" si="39"/>
        <v>-299.36402608694334</v>
      </c>
      <c r="BQ17" s="86">
        <f t="shared" si="24"/>
        <v>0</v>
      </c>
      <c r="BR17" s="86">
        <f t="shared" si="25"/>
        <v>0</v>
      </c>
      <c r="BS17" s="86">
        <f t="shared" si="10"/>
        <v>0</v>
      </c>
      <c r="BT17" s="86">
        <f t="shared" si="26"/>
        <v>-73900.198016522147</v>
      </c>
      <c r="BU17" s="86">
        <f t="shared" si="40"/>
        <v>0</v>
      </c>
      <c r="BV17" s="214">
        <f t="shared" si="11"/>
        <v>-155.38980112712716</v>
      </c>
    </row>
    <row r="18" spans="2:74" s="86" customFormat="1" x14ac:dyDescent="0.3">
      <c r="B18" s="192">
        <f t="shared" si="27"/>
        <v>7</v>
      </c>
      <c r="C18" s="350">
        <f t="shared" si="12"/>
        <v>2028</v>
      </c>
      <c r="D18" s="351">
        <f t="shared" si="28"/>
        <v>46753</v>
      </c>
      <c r="E18" s="441">
        <f t="shared" si="28"/>
        <v>47118</v>
      </c>
      <c r="F18" s="733">
        <f>IF(AND(B18&gt;0,B18&lt;=Fish_Inputs!$J$17),1,0)</f>
        <v>1</v>
      </c>
      <c r="G18" s="730">
        <f>IF(F18=1,Fish_Inputs!$G$31,0)</f>
        <v>65999.999999999956</v>
      </c>
      <c r="H18" s="446">
        <f>IF(AND(F17=0,F18=1),100%,IF(AND(F17=0,F18=0),100%,H17-Fish_Inputs!$G$41))*F18</f>
        <v>0.99700000000000033</v>
      </c>
      <c r="I18" s="224">
        <f t="shared" si="41"/>
        <v>65801.999999999985</v>
      </c>
      <c r="J18" s="225">
        <f>Fish_Inputs!$J$11</f>
        <v>0.01</v>
      </c>
      <c r="K18" s="444">
        <f>IF(B18=1,Fish_Inputs!$R$15,K17*(1+Fish_CashFlows!J18))*F18</f>
        <v>6.6333876653322008</v>
      </c>
      <c r="L18" s="338">
        <f>IF(B18=1,Fish_Inputs!$R$16,L17*(1+Fish_CashFlows!J18))*F18</f>
        <v>11.725551583538644</v>
      </c>
      <c r="M18" s="86">
        <f>K18*I18*Fish_Inputs!$J$9</f>
        <v>218245.0875770947</v>
      </c>
      <c r="N18" s="214">
        <f>L18*I18*Fish_Inputs!$J$10</f>
        <v>385782.37265000487</v>
      </c>
      <c r="O18" s="423">
        <f t="shared" si="29"/>
        <v>0</v>
      </c>
      <c r="P18" s="122">
        <f>SUM(M18:O18)+IF(B18=Fish_Inputs!$J$17,Fish_Inputs!$J$19,0)</f>
        <v>604027.4602270996</v>
      </c>
      <c r="Q18" s="196">
        <f>IF(B18=1,Fish_Inputs!$O$7,Q17*(1+Fish_Inputs!$N$23))*F18</f>
        <v>477684.06777045003</v>
      </c>
      <c r="R18" s="86">
        <f>IF(B18=1,Fish_Inputs!$O$8,R17*(1+Fish_Inputs!$N$23))*F18</f>
        <v>8159.0668283586074</v>
      </c>
      <c r="S18" s="86">
        <f>IF(B18=1,Fish_Inputs!$O$9,S17*(1+Fish_Inputs!$N$23))*F18</f>
        <v>28516.249267300136</v>
      </c>
      <c r="T18" s="86">
        <f>IF(B18=1,Fish_Inputs!$O$10,T17*(1+Fish_Inputs!$N$23))*F18</f>
        <v>14842.204901180798</v>
      </c>
      <c r="U18" s="86">
        <f>IF(B18=1,Fish_Inputs!$O$11,U17*(1+Fish_Inputs!$N$23))*F18</f>
        <v>18688.464182462591</v>
      </c>
      <c r="V18" s="86">
        <f>IF(B18=1,Fish_Inputs!$O$12,V17*(1+Fish_Inputs!$N$23))*F18</f>
        <v>97.923593427943359</v>
      </c>
      <c r="W18" s="86">
        <f>IF(B18=1,Fish_Inputs!$O$13,W17*(1+Fish_Inputs!$N$23))*F18</f>
        <v>0</v>
      </c>
      <c r="X18" s="86">
        <f>IF(B18=1,Fish_Inputs!$O$14,X17*(1+Fish_Inputs!$N$23))*F18</f>
        <v>3029.2249760636882</v>
      </c>
      <c r="Y18" s="86">
        <f>IF(B18=1,Fish_Inputs!$O$15,Y17*(1+Fish_Inputs!$N$23))*F18</f>
        <v>3029.2249760636882</v>
      </c>
      <c r="Z18" s="86">
        <f>IF(B18=1,Fish_Inputs!$O$16,Z17*(1+Fish_Inputs!$N$23))*F18</f>
        <v>3802.6049980852058</v>
      </c>
      <c r="AA18" s="86">
        <f>IF(B18=1,Fish_Inputs!$O$17,AA17*(1+Fish_Inputs!$N$23))*F18</f>
        <v>3255.3284618430648</v>
      </c>
      <c r="AB18" s="102">
        <f>IF(B18=1,Fish_Inputs!$O$18,AB17*(1+Fish_Inputs!$N$23))*F18</f>
        <v>0</v>
      </c>
      <c r="AC18" s="684">
        <f>IF(B18=1,Fish_Inputs!$O$19,AC17*(1+Fish_Inputs!$N$23))*F18</f>
        <v>0</v>
      </c>
      <c r="AD18" s="86">
        <f>IF(B18=1,Fish_Inputs!$O$20,AD17*(1+Fish_Inputs!$N$23))*F18</f>
        <v>0</v>
      </c>
      <c r="AE18" s="86">
        <f>IF(B18=1,Fish_Inputs!$O$21,AE17*(1+Fish_Inputs!$N$23))*F18</f>
        <v>0</v>
      </c>
      <c r="AF18" s="200">
        <f>IF(B18=1,Fish_Inputs!$O$22,AF17*(1+Fish_Inputs!$N$23))*F18</f>
        <v>0</v>
      </c>
      <c r="AG18" s="200">
        <f t="shared" si="30"/>
        <v>561104.35995523573</v>
      </c>
      <c r="AH18" s="86">
        <f t="shared" si="13"/>
        <v>42923.100271863863</v>
      </c>
      <c r="AI18" s="225">
        <f t="shared" si="14"/>
        <v>7.1061504812588855E-2</v>
      </c>
      <c r="AJ18" s="457">
        <f>Deprec!C17</f>
        <v>10745.438699832541</v>
      </c>
      <c r="AK18" s="86">
        <f t="shared" si="15"/>
        <v>32177.66157203132</v>
      </c>
      <c r="AL18" s="455">
        <f t="shared" si="31"/>
        <v>18399.350662317276</v>
      </c>
      <c r="AM18" s="86">
        <f t="shared" si="32"/>
        <v>13778.310909714044</v>
      </c>
      <c r="AN18" s="197">
        <f>IF(AM18&lt;0,0,(AM18*Fish_Inputs!$J$14))</f>
        <v>4133.4932729142129</v>
      </c>
      <c r="AO18" s="86">
        <f t="shared" si="33"/>
        <v>9644.8176367998312</v>
      </c>
      <c r="AP18" s="226">
        <f t="shared" si="16"/>
        <v>1.5967515174183662E-2</v>
      </c>
      <c r="AS18" s="196">
        <f t="shared" si="17"/>
        <v>604027.4602270996</v>
      </c>
      <c r="AT18" s="86">
        <f t="shared" si="18"/>
        <v>561104.35995523573</v>
      </c>
      <c r="AU18" s="197">
        <f t="shared" si="34"/>
        <v>42923.100271863863</v>
      </c>
      <c r="AV18" s="196">
        <f>IF(B18=0,Fish_Inputs!$C$29,0)</f>
        <v>0</v>
      </c>
      <c r="AW18" s="198">
        <f t="shared" si="5"/>
        <v>0</v>
      </c>
      <c r="AX18" s="197">
        <f t="shared" si="6"/>
        <v>42923.100271863863</v>
      </c>
      <c r="AY18" s="192">
        <f>IF(B18=0,Fish_Inputs!$G$15+Fish_Inputs!$G$16,0)</f>
        <v>0</v>
      </c>
      <c r="AZ18" s="193">
        <f>IF(B18=0,Fish_Inputs!$G$14,0)</f>
        <v>0</v>
      </c>
      <c r="BA18" s="200">
        <f t="shared" si="7"/>
        <v>0</v>
      </c>
      <c r="BB18" s="196">
        <f t="shared" si="8"/>
        <v>42923.100271863863</v>
      </c>
      <c r="BC18" s="196">
        <f>Fish_Inputs!$G$20*AVERAGE(BR18,BS18)</f>
        <v>0</v>
      </c>
      <c r="BD18" s="200">
        <f t="shared" si="9"/>
        <v>4133.4932729142129</v>
      </c>
      <c r="BE18" s="200">
        <f t="shared" si="19"/>
        <v>42923.100271863863</v>
      </c>
      <c r="BF18" s="86">
        <f t="shared" si="20"/>
        <v>38789.606998949646</v>
      </c>
      <c r="BG18" s="197">
        <f t="shared" si="21"/>
        <v>38789.606998949646</v>
      </c>
      <c r="BH18" s="86">
        <f t="shared" si="35"/>
        <v>110175.75246896573</v>
      </c>
      <c r="BI18" s="86">
        <f t="shared" si="36"/>
        <v>88649.539608670719</v>
      </c>
      <c r="BJ18" s="86">
        <f>-Debt_Calc!M16</f>
        <v>18399.350662317276</v>
      </c>
      <c r="BK18" s="86">
        <f>Debt_Calc!N16</f>
        <v>21526.212860295014</v>
      </c>
      <c r="BL18" s="86">
        <f t="shared" si="22"/>
        <v>39925.56352261229</v>
      </c>
      <c r="BM18" s="423">
        <f t="shared" si="37"/>
        <v>0.97154814050353278</v>
      </c>
      <c r="BN18" s="86">
        <f t="shared" si="38"/>
        <v>-1135.956523662644</v>
      </c>
      <c r="BO18" s="86">
        <f t="shared" si="23"/>
        <v>2997.5367492515688</v>
      </c>
      <c r="BP18" s="86">
        <f t="shared" si="39"/>
        <v>-1135.956523662644</v>
      </c>
      <c r="BQ18" s="86">
        <f t="shared" si="24"/>
        <v>0</v>
      </c>
      <c r="BR18" s="86">
        <f t="shared" si="25"/>
        <v>0</v>
      </c>
      <c r="BS18" s="86">
        <f t="shared" si="10"/>
        <v>0</v>
      </c>
      <c r="BT18" s="86">
        <f t="shared" si="26"/>
        <v>-75036.154540184798</v>
      </c>
      <c r="BU18" s="86">
        <f t="shared" si="40"/>
        <v>0</v>
      </c>
      <c r="BV18" s="214">
        <f t="shared" si="11"/>
        <v>-528.59342880151962</v>
      </c>
    </row>
    <row r="19" spans="2:74" s="86" customFormat="1" x14ac:dyDescent="0.3">
      <c r="B19" s="192">
        <f t="shared" si="27"/>
        <v>8</v>
      </c>
      <c r="C19" s="350">
        <f t="shared" si="12"/>
        <v>2029</v>
      </c>
      <c r="D19" s="351">
        <f t="shared" si="28"/>
        <v>47119</v>
      </c>
      <c r="E19" s="441">
        <f t="shared" si="28"/>
        <v>47483</v>
      </c>
      <c r="F19" s="733">
        <f>IF(AND(B19&gt;0,B19&lt;=Fish_Inputs!$J$17),1,0)</f>
        <v>1</v>
      </c>
      <c r="G19" s="730">
        <f>IF(F19=1,Fish_Inputs!$G$31,0)</f>
        <v>65999.999999999956</v>
      </c>
      <c r="H19" s="446">
        <f>IF(AND(F18=0,F19=1),100%,IF(AND(F18=0,F19=0),100%,H18-Fish_Inputs!$G$41))*F19</f>
        <v>0.99650000000000039</v>
      </c>
      <c r="I19" s="224">
        <f t="shared" si="41"/>
        <v>65768.999999999985</v>
      </c>
      <c r="J19" s="225">
        <f>Fish_Inputs!$J$11</f>
        <v>0.01</v>
      </c>
      <c r="K19" s="444">
        <f>IF(B19=1,Fish_Inputs!$R$15,K18*(1+Fish_CashFlows!J19))*F19</f>
        <v>6.6997215419855225</v>
      </c>
      <c r="L19" s="338">
        <f>IF(B19=1,Fish_Inputs!$R$16,L18*(1+Fish_CashFlows!J19))*F19</f>
        <v>11.842807099374031</v>
      </c>
      <c r="M19" s="86">
        <f>K19*I19*Fish_Inputs!$J$9</f>
        <v>220316.99304742287</v>
      </c>
      <c r="N19" s="214">
        <f>L19*I19*Fish_Inputs!$J$10</f>
        <v>389444.79005936527</v>
      </c>
      <c r="O19" s="423">
        <f t="shared" si="29"/>
        <v>0</v>
      </c>
      <c r="P19" s="122">
        <f>SUM(M19:O19)+IF(B19=Fish_Inputs!$J$17,Fish_Inputs!$J$19,0)</f>
        <v>609761.78310678818</v>
      </c>
      <c r="Q19" s="196">
        <f>IF(B19=1,Fish_Inputs!$O$7,Q18*(1+Fish_Inputs!$N$23))*F19</f>
        <v>482460.90844815451</v>
      </c>
      <c r="R19" s="86">
        <f>IF(B19=1,Fish_Inputs!$O$8,R18*(1+Fish_Inputs!$N$23))*F19</f>
        <v>8240.657496642194</v>
      </c>
      <c r="S19" s="86">
        <f>IF(B19=1,Fish_Inputs!$O$9,S18*(1+Fish_Inputs!$N$23))*F19</f>
        <v>28801.411759973136</v>
      </c>
      <c r="T19" s="86">
        <f>IF(B19=1,Fish_Inputs!$O$10,T18*(1+Fish_Inputs!$N$23))*F19</f>
        <v>14990.626950192605</v>
      </c>
      <c r="U19" s="86">
        <f>IF(B19=1,Fish_Inputs!$O$11,U18*(1+Fish_Inputs!$N$23))*F19</f>
        <v>18875.348824287215</v>
      </c>
      <c r="V19" s="86">
        <f>IF(B19=1,Fish_Inputs!$O$12,V18*(1+Fish_Inputs!$N$23))*F19</f>
        <v>98.902829362222789</v>
      </c>
      <c r="W19" s="86">
        <f>IF(B19=1,Fish_Inputs!$O$13,W18*(1+Fish_Inputs!$N$23))*F19</f>
        <v>0</v>
      </c>
      <c r="X19" s="86">
        <f>IF(B19=1,Fish_Inputs!$O$14,X18*(1+Fish_Inputs!$N$23))*F19</f>
        <v>3059.5172258243251</v>
      </c>
      <c r="Y19" s="86">
        <f>IF(B19=1,Fish_Inputs!$O$15,Y18*(1+Fish_Inputs!$N$23))*F19</f>
        <v>3059.5172258243251</v>
      </c>
      <c r="Z19" s="86">
        <f>IF(B19=1,Fish_Inputs!$O$16,Z18*(1+Fish_Inputs!$N$23))*F19</f>
        <v>3840.6310480660577</v>
      </c>
      <c r="AA19" s="86">
        <f>IF(B19=1,Fish_Inputs!$O$17,AA18*(1+Fish_Inputs!$N$23))*F19</f>
        <v>3287.8817464614954</v>
      </c>
      <c r="AB19" s="102">
        <f>IF(B19=1,Fish_Inputs!$O$18,AB18*(1+Fish_Inputs!$N$23))*F19</f>
        <v>0</v>
      </c>
      <c r="AC19" s="684">
        <f>IF(B19=1,Fish_Inputs!$O$19,AC18*(1+Fish_Inputs!$N$23))*F19</f>
        <v>0</v>
      </c>
      <c r="AD19" s="86">
        <f>IF(B19=1,Fish_Inputs!$O$20,AD18*(1+Fish_Inputs!$N$23))*F19</f>
        <v>0</v>
      </c>
      <c r="AE19" s="86">
        <f>IF(B19=1,Fish_Inputs!$O$21,AE18*(1+Fish_Inputs!$N$23))*F19</f>
        <v>0</v>
      </c>
      <c r="AF19" s="200">
        <f>IF(B19=1,Fish_Inputs!$O$22,AF18*(1+Fish_Inputs!$N$23))*F19</f>
        <v>0</v>
      </c>
      <c r="AG19" s="200">
        <f t="shared" si="30"/>
        <v>566715.40355478798</v>
      </c>
      <c r="AH19" s="86">
        <f t="shared" si="13"/>
        <v>43046.379552000202</v>
      </c>
      <c r="AI19" s="225">
        <f t="shared" si="14"/>
        <v>7.0595404212896451E-2</v>
      </c>
      <c r="AJ19" s="457">
        <f>Deprec!C18</f>
        <v>10745.438699832541</v>
      </c>
      <c r="AK19" s="86">
        <f t="shared" si="15"/>
        <v>32300.94085216766</v>
      </c>
      <c r="AL19" s="455">
        <f t="shared" si="31"/>
        <v>14804.473114648012</v>
      </c>
      <c r="AM19" s="86">
        <f t="shared" si="32"/>
        <v>17496.467737519648</v>
      </c>
      <c r="AN19" s="197">
        <f>IF(AM19&lt;0,0,(AM19*Fish_Inputs!$J$14))</f>
        <v>5248.9403212558946</v>
      </c>
      <c r="AO19" s="86">
        <f t="shared" si="33"/>
        <v>12247.527416263754</v>
      </c>
      <c r="AP19" s="226">
        <f t="shared" si="16"/>
        <v>2.0085757677140013E-2</v>
      </c>
      <c r="AS19" s="196">
        <f t="shared" si="17"/>
        <v>609761.78310678818</v>
      </c>
      <c r="AT19" s="86">
        <f t="shared" si="18"/>
        <v>566715.40355478798</v>
      </c>
      <c r="AU19" s="197">
        <f t="shared" si="34"/>
        <v>43046.379552000202</v>
      </c>
      <c r="AV19" s="196">
        <f>IF(B19=0,Fish_Inputs!$C$29,0)</f>
        <v>0</v>
      </c>
      <c r="AW19" s="198">
        <f t="shared" si="5"/>
        <v>0</v>
      </c>
      <c r="AX19" s="197">
        <f t="shared" si="6"/>
        <v>43046.379552000202</v>
      </c>
      <c r="AY19" s="192">
        <f>IF(B19=0,Fish_Inputs!$G$15+Fish_Inputs!$G$16,0)</f>
        <v>0</v>
      </c>
      <c r="AZ19" s="193">
        <f>IF(B19=0,Fish_Inputs!$G$14,0)</f>
        <v>0</v>
      </c>
      <c r="BA19" s="200">
        <f t="shared" si="7"/>
        <v>0</v>
      </c>
      <c r="BB19" s="196">
        <f t="shared" si="8"/>
        <v>43046.379552000202</v>
      </c>
      <c r="BC19" s="196">
        <f>Fish_Inputs!$G$20*AVERAGE(BR19,BS19)</f>
        <v>0</v>
      </c>
      <c r="BD19" s="200">
        <f t="shared" si="9"/>
        <v>5248.9403212558946</v>
      </c>
      <c r="BE19" s="200">
        <f t="shared" si="19"/>
        <v>43046.379552000202</v>
      </c>
      <c r="BF19" s="86">
        <f t="shared" si="20"/>
        <v>37797.439230744305</v>
      </c>
      <c r="BG19" s="197">
        <f t="shared" si="21"/>
        <v>37797.439230744305</v>
      </c>
      <c r="BH19" s="86">
        <f t="shared" si="35"/>
        <v>88649.539608670719</v>
      </c>
      <c r="BI19" s="86">
        <f t="shared" si="36"/>
        <v>63528.449200706433</v>
      </c>
      <c r="BJ19" s="86">
        <f>-Debt_Calc!M17</f>
        <v>14804.473114648012</v>
      </c>
      <c r="BK19" s="86">
        <f>Debt_Calc!N17</f>
        <v>25121.090407964286</v>
      </c>
      <c r="BL19" s="86">
        <f t="shared" si="22"/>
        <v>39925.563522612298</v>
      </c>
      <c r="BM19" s="423">
        <f t="shared" si="37"/>
        <v>0.9466977018204713</v>
      </c>
      <c r="BN19" s="86">
        <f t="shared" si="38"/>
        <v>-2128.1242918679927</v>
      </c>
      <c r="BO19" s="86">
        <f t="shared" si="23"/>
        <v>3120.8160293879018</v>
      </c>
      <c r="BP19" s="86">
        <f t="shared" si="39"/>
        <v>-2128.1242918679927</v>
      </c>
      <c r="BQ19" s="86">
        <f t="shared" si="24"/>
        <v>0</v>
      </c>
      <c r="BR19" s="86">
        <f t="shared" si="25"/>
        <v>0</v>
      </c>
      <c r="BS19" s="86">
        <f t="shared" si="10"/>
        <v>0</v>
      </c>
      <c r="BT19" s="86">
        <f t="shared" si="26"/>
        <v>-77164.278832052791</v>
      </c>
      <c r="BU19" s="86">
        <f t="shared" si="40"/>
        <v>0</v>
      </c>
      <c r="BV19" s="214">
        <f t="shared" si="11"/>
        <v>-887.75717082954407</v>
      </c>
    </row>
    <row r="20" spans="2:74" s="86" customFormat="1" x14ac:dyDescent="0.3">
      <c r="B20" s="192">
        <f t="shared" si="27"/>
        <v>9</v>
      </c>
      <c r="C20" s="350">
        <f t="shared" si="12"/>
        <v>2030</v>
      </c>
      <c r="D20" s="351">
        <f t="shared" si="28"/>
        <v>47484</v>
      </c>
      <c r="E20" s="441">
        <f t="shared" si="28"/>
        <v>47848</v>
      </c>
      <c r="F20" s="733">
        <f>IF(AND(B20&gt;0,B20&lt;=Fish_Inputs!$J$17),1,0)</f>
        <v>1</v>
      </c>
      <c r="G20" s="730">
        <f>IF(F20=1,Fish_Inputs!$G$31,0)</f>
        <v>65999.999999999956</v>
      </c>
      <c r="H20" s="446">
        <f>IF(AND(F19=0,F20=1),100%,IF(AND(F19=0,F20=0),100%,H19-Fish_Inputs!$G$41))*F20</f>
        <v>0.99600000000000044</v>
      </c>
      <c r="I20" s="224">
        <f t="shared" si="41"/>
        <v>65735.999999999985</v>
      </c>
      <c r="J20" s="225">
        <f>Fish_Inputs!$J$11</f>
        <v>0.01</v>
      </c>
      <c r="K20" s="444">
        <f>IF(B20=1,Fish_Inputs!$R$15,K19*(1+Fish_CashFlows!J20))*F20</f>
        <v>6.7667187574053775</v>
      </c>
      <c r="L20" s="338">
        <f>IF(B20=1,Fish_Inputs!$R$16,L19*(1+Fish_CashFlows!J20))*F20</f>
        <v>11.961235170367772</v>
      </c>
      <c r="M20" s="86">
        <f>K20*I20*Fish_Inputs!$J$9</f>
        <v>222408.5121183999</v>
      </c>
      <c r="N20" s="214">
        <f>L20*I20*Fish_Inputs!$J$10</f>
        <v>393141.87757964781</v>
      </c>
      <c r="O20" s="423">
        <f t="shared" si="29"/>
        <v>0</v>
      </c>
      <c r="P20" s="122">
        <f>SUM(M20:O20)+IF(B20=Fish_Inputs!$J$17,Fish_Inputs!$J$19,0)</f>
        <v>615550.38969804766</v>
      </c>
      <c r="Q20" s="196">
        <f>IF(B20=1,Fish_Inputs!$O$7,Q19*(1+Fish_Inputs!$N$23))*F20</f>
        <v>487285.51753263606</v>
      </c>
      <c r="R20" s="86">
        <f>IF(B20=1,Fish_Inputs!$O$8,R19*(1+Fish_Inputs!$N$23))*F20</f>
        <v>8323.0640716086164</v>
      </c>
      <c r="S20" s="86">
        <f>IF(B20=1,Fish_Inputs!$O$9,S19*(1+Fish_Inputs!$N$23))*F20</f>
        <v>29089.425877572867</v>
      </c>
      <c r="T20" s="86">
        <f>IF(B20=1,Fish_Inputs!$O$10,T19*(1+Fish_Inputs!$N$23))*F20</f>
        <v>15140.533219694531</v>
      </c>
      <c r="U20" s="86">
        <f>IF(B20=1,Fish_Inputs!$O$11,U19*(1+Fish_Inputs!$N$23))*F20</f>
        <v>19064.102312530089</v>
      </c>
      <c r="V20" s="86">
        <f>IF(B20=1,Fish_Inputs!$O$12,V19*(1+Fish_Inputs!$N$23))*F20</f>
        <v>99.891857655845016</v>
      </c>
      <c r="W20" s="86">
        <f>IF(B20=1,Fish_Inputs!$O$13,W19*(1+Fish_Inputs!$N$23))*F20</f>
        <v>0</v>
      </c>
      <c r="X20" s="86">
        <f>IF(B20=1,Fish_Inputs!$O$14,X19*(1+Fish_Inputs!$N$23))*F20</f>
        <v>3090.1123980825682</v>
      </c>
      <c r="Y20" s="86">
        <f>IF(B20=1,Fish_Inputs!$O$15,Y19*(1+Fish_Inputs!$N$23))*F20</f>
        <v>3090.1123980825682</v>
      </c>
      <c r="Z20" s="86">
        <f>IF(B20=1,Fish_Inputs!$O$16,Z19*(1+Fish_Inputs!$N$23))*F20</f>
        <v>3879.0373585467182</v>
      </c>
      <c r="AA20" s="86">
        <f>IF(B20=1,Fish_Inputs!$O$17,AA19*(1+Fish_Inputs!$N$23))*F20</f>
        <v>3320.7605639261105</v>
      </c>
      <c r="AB20" s="102">
        <f>IF(B20=1,Fish_Inputs!$O$18,AB19*(1+Fish_Inputs!$N$23))*F20</f>
        <v>0</v>
      </c>
      <c r="AC20" s="684">
        <f>IF(B20=1,Fish_Inputs!$O$19,AC19*(1+Fish_Inputs!$N$23))*F20</f>
        <v>0</v>
      </c>
      <c r="AD20" s="86">
        <f>IF(B20=1,Fish_Inputs!$O$20,AD19*(1+Fish_Inputs!$N$23))*F20</f>
        <v>0</v>
      </c>
      <c r="AE20" s="86">
        <f>IF(B20=1,Fish_Inputs!$O$21,AE19*(1+Fish_Inputs!$N$23))*F20</f>
        <v>0</v>
      </c>
      <c r="AF20" s="200">
        <f>IF(B20=1,Fish_Inputs!$O$22,AF19*(1+Fish_Inputs!$N$23))*F20</f>
        <v>0</v>
      </c>
      <c r="AG20" s="200">
        <f t="shared" si="30"/>
        <v>572382.55759033596</v>
      </c>
      <c r="AH20" s="86">
        <f t="shared" si="13"/>
        <v>43167.8321077117</v>
      </c>
      <c r="AI20" s="225">
        <f t="shared" si="14"/>
        <v>7.0128835640713774E-2</v>
      </c>
      <c r="AJ20" s="457">
        <f>Deprec!C19</f>
        <v>10745.438699832541</v>
      </c>
      <c r="AK20" s="86">
        <f t="shared" si="15"/>
        <v>32422.393407879157</v>
      </c>
      <c r="AL20" s="455">
        <f t="shared" si="31"/>
        <v>10609.251016517976</v>
      </c>
      <c r="AM20" s="86">
        <f t="shared" si="32"/>
        <v>21813.14239136118</v>
      </c>
      <c r="AN20" s="197">
        <f>IF(AM20&lt;0,0,(AM20*Fish_Inputs!$J$14))</f>
        <v>6543.9427174083539</v>
      </c>
      <c r="AO20" s="86">
        <f t="shared" si="33"/>
        <v>15269.199673952826</v>
      </c>
      <c r="AP20" s="226">
        <f t="shared" si="16"/>
        <v>2.4805767211751723E-2</v>
      </c>
      <c r="AS20" s="196">
        <f t="shared" si="17"/>
        <v>615550.38969804766</v>
      </c>
      <c r="AT20" s="86">
        <f t="shared" si="18"/>
        <v>572382.55759033596</v>
      </c>
      <c r="AU20" s="197">
        <f t="shared" si="34"/>
        <v>43167.8321077117</v>
      </c>
      <c r="AV20" s="196">
        <f>IF(B20=0,Fish_Inputs!$C$29,0)</f>
        <v>0</v>
      </c>
      <c r="AW20" s="198">
        <f t="shared" si="5"/>
        <v>0</v>
      </c>
      <c r="AX20" s="197">
        <f t="shared" si="6"/>
        <v>43167.8321077117</v>
      </c>
      <c r="AY20" s="192">
        <f>IF(B20=0,Fish_Inputs!$G$15+Fish_Inputs!$G$16,0)</f>
        <v>0</v>
      </c>
      <c r="AZ20" s="193">
        <f>IF(B20=0,Fish_Inputs!$G$14,0)</f>
        <v>0</v>
      </c>
      <c r="BA20" s="200">
        <f t="shared" si="7"/>
        <v>0</v>
      </c>
      <c r="BB20" s="196">
        <f t="shared" si="8"/>
        <v>43167.8321077117</v>
      </c>
      <c r="BC20" s="196">
        <f>Fish_Inputs!$G$20*AVERAGE(BR20,BS20)</f>
        <v>0</v>
      </c>
      <c r="BD20" s="200">
        <f t="shared" si="9"/>
        <v>6543.9427174083539</v>
      </c>
      <c r="BE20" s="200">
        <f t="shared" si="19"/>
        <v>43167.8321077117</v>
      </c>
      <c r="BF20" s="86">
        <f t="shared" si="20"/>
        <v>36623.889390303346</v>
      </c>
      <c r="BG20" s="197">
        <f t="shared" si="21"/>
        <v>36623.889390303346</v>
      </c>
      <c r="BH20" s="86">
        <f t="shared" si="35"/>
        <v>63528.449200706433</v>
      </c>
      <c r="BI20" s="86">
        <f t="shared" si="36"/>
        <v>34212.136694612112</v>
      </c>
      <c r="BJ20" s="86">
        <f>-Debt_Calc!M18</f>
        <v>10609.251016517976</v>
      </c>
      <c r="BK20" s="86">
        <f>Debt_Calc!N18</f>
        <v>29316.31250609432</v>
      </c>
      <c r="BL20" s="86">
        <f t="shared" si="22"/>
        <v>39925.563522612298</v>
      </c>
      <c r="BM20" s="423">
        <f t="shared" si="37"/>
        <v>0.91730425719754682</v>
      </c>
      <c r="BN20" s="86">
        <f t="shared" si="38"/>
        <v>-3301.6741323089518</v>
      </c>
      <c r="BO20" s="86">
        <f t="shared" si="23"/>
        <v>3242.2685850994021</v>
      </c>
      <c r="BP20" s="86">
        <f t="shared" si="39"/>
        <v>-3301.6741323089518</v>
      </c>
      <c r="BQ20" s="86">
        <f t="shared" si="24"/>
        <v>0</v>
      </c>
      <c r="BR20" s="86">
        <f t="shared" si="25"/>
        <v>0</v>
      </c>
      <c r="BS20" s="86">
        <f t="shared" si="10"/>
        <v>0</v>
      </c>
      <c r="BT20" s="86">
        <f t="shared" si="26"/>
        <v>-80465.952964361742</v>
      </c>
      <c r="BU20" s="86">
        <f t="shared" si="40"/>
        <v>0</v>
      </c>
      <c r="BV20" s="214">
        <f t="shared" si="11"/>
        <v>-1234.7202108320814</v>
      </c>
    </row>
    <row r="21" spans="2:74" s="86" customFormat="1" x14ac:dyDescent="0.3">
      <c r="B21" s="192">
        <f t="shared" si="27"/>
        <v>10</v>
      </c>
      <c r="C21" s="350">
        <f t="shared" si="12"/>
        <v>2031</v>
      </c>
      <c r="D21" s="351">
        <f t="shared" si="28"/>
        <v>47849</v>
      </c>
      <c r="E21" s="441">
        <f t="shared" si="28"/>
        <v>48213</v>
      </c>
      <c r="F21" s="733">
        <f>IF(AND(B21&gt;0,B21&lt;=Fish_Inputs!$J$17),1,0)</f>
        <v>1</v>
      </c>
      <c r="G21" s="730">
        <f>IF(F21=1,Fish_Inputs!$G$31,0)</f>
        <v>65999.999999999956</v>
      </c>
      <c r="H21" s="446">
        <f>IF(AND(F20=0,F21=1),100%,IF(AND(F20=0,F21=0),100%,H20-Fish_Inputs!$G$41))*F21</f>
        <v>0.9955000000000005</v>
      </c>
      <c r="I21" s="224">
        <f t="shared" si="41"/>
        <v>65702.999999999985</v>
      </c>
      <c r="J21" s="225">
        <f>Fish_Inputs!$J$11</f>
        <v>0.01</v>
      </c>
      <c r="K21" s="444">
        <f>IF(B21=1,Fish_Inputs!$R$15,K20*(1+Fish_CashFlows!J21))*F21</f>
        <v>6.8343859449794317</v>
      </c>
      <c r="L21" s="338">
        <f>IF(B21=1,Fish_Inputs!$R$16,L20*(1+Fish_CashFlows!J21))*F21</f>
        <v>12.08084752207145</v>
      </c>
      <c r="M21" s="86">
        <f>K21*I21*Fish_Inputs!$J$9</f>
        <v>224519.82987149176</v>
      </c>
      <c r="N21" s="214">
        <f>L21*I21*Fish_Inputs!$J$10</f>
        <v>396873.96237133013</v>
      </c>
      <c r="O21" s="423">
        <f t="shared" si="29"/>
        <v>0</v>
      </c>
      <c r="P21" s="122">
        <f>SUM(M21:O21)+IF(B21=Fish_Inputs!$J$17,Fish_Inputs!$J$19,0)</f>
        <v>621393.79224282189</v>
      </c>
      <c r="Q21" s="196">
        <f>IF(B21=1,Fish_Inputs!$O$7,Q20*(1+Fish_Inputs!$N$23))*F21</f>
        <v>492158.37270796241</v>
      </c>
      <c r="R21" s="86">
        <f>IF(B21=1,Fish_Inputs!$O$8,R20*(1+Fish_Inputs!$N$23))*F21</f>
        <v>8406.2947123247031</v>
      </c>
      <c r="S21" s="86">
        <f>IF(B21=1,Fish_Inputs!$O$9,S20*(1+Fish_Inputs!$N$23))*F21</f>
        <v>29380.320136348597</v>
      </c>
      <c r="T21" s="86">
        <f>IF(B21=1,Fish_Inputs!$O$10,T20*(1+Fish_Inputs!$N$23))*F21</f>
        <v>15291.938551891477</v>
      </c>
      <c r="U21" s="86">
        <f>IF(B21=1,Fish_Inputs!$O$11,U20*(1+Fish_Inputs!$N$23))*F21</f>
        <v>19254.743335655388</v>
      </c>
      <c r="V21" s="86">
        <f>IF(B21=1,Fish_Inputs!$O$12,V20*(1+Fish_Inputs!$N$23))*F21</f>
        <v>100.89077623240347</v>
      </c>
      <c r="W21" s="86">
        <f>IF(B21=1,Fish_Inputs!$O$13,W20*(1+Fish_Inputs!$N$23))*F21</f>
        <v>0</v>
      </c>
      <c r="X21" s="86">
        <f>IF(B21=1,Fish_Inputs!$O$14,X20*(1+Fish_Inputs!$N$23))*F21</f>
        <v>3121.0135220633938</v>
      </c>
      <c r="Y21" s="86">
        <f>IF(B21=1,Fish_Inputs!$O$15,Y20*(1+Fish_Inputs!$N$23))*F21</f>
        <v>3121.0135220633938</v>
      </c>
      <c r="Z21" s="86">
        <f>IF(B21=1,Fish_Inputs!$O$16,Z20*(1+Fish_Inputs!$N$23))*F21</f>
        <v>3917.8277321321852</v>
      </c>
      <c r="AA21" s="86">
        <f>IF(B21=1,Fish_Inputs!$O$17,AA20*(1+Fish_Inputs!$N$23))*F21</f>
        <v>3353.9681695653717</v>
      </c>
      <c r="AB21" s="102">
        <f>IF(B21=1,Fish_Inputs!$O$18,AB20*(1+Fish_Inputs!$N$23))*F21</f>
        <v>0</v>
      </c>
      <c r="AC21" s="684">
        <f>IF(B21=1,Fish_Inputs!$O$19,AC20*(1+Fish_Inputs!$N$23))*F21</f>
        <v>0</v>
      </c>
      <c r="AD21" s="86">
        <f>IF(B21=1,Fish_Inputs!$O$20,AD20*(1+Fish_Inputs!$N$23))*F21</f>
        <v>0</v>
      </c>
      <c r="AE21" s="86">
        <f>IF(B21=1,Fish_Inputs!$O$21,AE20*(1+Fish_Inputs!$N$23))*F21</f>
        <v>0</v>
      </c>
      <c r="AF21" s="200">
        <f>IF(B21=1,Fish_Inputs!$O$22,AF20*(1+Fish_Inputs!$N$23))*F21</f>
        <v>0</v>
      </c>
      <c r="AG21" s="200">
        <f t="shared" si="30"/>
        <v>578106.38316623925</v>
      </c>
      <c r="AH21" s="86">
        <f t="shared" si="13"/>
        <v>43287.40907658264</v>
      </c>
      <c r="AI21" s="225">
        <f t="shared" si="14"/>
        <v>6.9661798390910273E-2</v>
      </c>
      <c r="AJ21" s="457">
        <f>Deprec!C20</f>
        <v>10745.438699832541</v>
      </c>
      <c r="AK21" s="86">
        <f t="shared" si="15"/>
        <v>32541.970376750098</v>
      </c>
      <c r="AL21" s="455">
        <f t="shared" si="31"/>
        <v>5713.4268280002234</v>
      </c>
      <c r="AM21" s="86">
        <f t="shared" si="32"/>
        <v>26828.543548749876</v>
      </c>
      <c r="AN21" s="197">
        <f>IF(AM21&lt;0,0,(AM21*Fish_Inputs!$J$14))</f>
        <v>8048.5630646249629</v>
      </c>
      <c r="AO21" s="86">
        <f t="shared" si="33"/>
        <v>18779.980484124913</v>
      </c>
      <c r="AP21" s="226">
        <f t="shared" si="16"/>
        <v>3.0222349689625262E-2</v>
      </c>
      <c r="AS21" s="196">
        <f t="shared" si="17"/>
        <v>621393.79224282189</v>
      </c>
      <c r="AT21" s="86">
        <f t="shared" si="18"/>
        <v>578106.38316623925</v>
      </c>
      <c r="AU21" s="197">
        <f t="shared" si="34"/>
        <v>43287.40907658264</v>
      </c>
      <c r="AV21" s="196">
        <f>IF(B21=0,Fish_Inputs!$C$29,0)</f>
        <v>0</v>
      </c>
      <c r="AW21" s="198">
        <f t="shared" si="5"/>
        <v>0</v>
      </c>
      <c r="AX21" s="197">
        <f t="shared" si="6"/>
        <v>43287.40907658264</v>
      </c>
      <c r="AY21" s="192">
        <f>IF(B21=0,Fish_Inputs!$G$15+Fish_Inputs!$G$16,0)</f>
        <v>0</v>
      </c>
      <c r="AZ21" s="193">
        <f>IF(B21=0,Fish_Inputs!$G$14,0)</f>
        <v>0</v>
      </c>
      <c r="BA21" s="200">
        <f t="shared" si="7"/>
        <v>0</v>
      </c>
      <c r="BB21" s="196">
        <f t="shared" si="8"/>
        <v>43287.40907658264</v>
      </c>
      <c r="BC21" s="196">
        <f>Fish_Inputs!$G$20*AVERAGE(BR21,BS21)</f>
        <v>0</v>
      </c>
      <c r="BD21" s="200">
        <f t="shared" si="9"/>
        <v>8048.5630646249629</v>
      </c>
      <c r="BE21" s="200">
        <f t="shared" si="19"/>
        <v>43287.40907658264</v>
      </c>
      <c r="BF21" s="86">
        <f t="shared" si="20"/>
        <v>35238.846011957678</v>
      </c>
      <c r="BG21" s="197">
        <f t="shared" si="21"/>
        <v>35238.846011957678</v>
      </c>
      <c r="BH21" s="86">
        <f t="shared" si="35"/>
        <v>34212.136694612112</v>
      </c>
      <c r="BI21" s="86">
        <f t="shared" si="36"/>
        <v>0</v>
      </c>
      <c r="BJ21" s="86">
        <f>-Debt_Calc!M19</f>
        <v>5713.4268280002234</v>
      </c>
      <c r="BK21" s="86">
        <f>Debt_Calc!N19</f>
        <v>34212.136694612105</v>
      </c>
      <c r="BL21" s="86">
        <f t="shared" si="22"/>
        <v>39925.563522612327</v>
      </c>
      <c r="BM21" s="423">
        <f t="shared" si="37"/>
        <v>0.88261361651162995</v>
      </c>
      <c r="BN21" s="86">
        <f t="shared" si="38"/>
        <v>-4686.7175106546492</v>
      </c>
      <c r="BO21" s="86">
        <f t="shared" si="23"/>
        <v>3361.8455539703136</v>
      </c>
      <c r="BP21" s="86">
        <f t="shared" si="39"/>
        <v>-4686.7175106546492</v>
      </c>
      <c r="BQ21" s="86">
        <f t="shared" si="24"/>
        <v>0</v>
      </c>
      <c r="BR21" s="86">
        <f t="shared" si="25"/>
        <v>0</v>
      </c>
      <c r="BS21" s="86">
        <f t="shared" si="10"/>
        <v>0</v>
      </c>
      <c r="BT21" s="86">
        <f t="shared" si="26"/>
        <v>-85152.670475016392</v>
      </c>
      <c r="BU21" s="86">
        <f t="shared" si="40"/>
        <v>0</v>
      </c>
      <c r="BV21" s="214">
        <f t="shared" si="11"/>
        <v>-1571.2318620622236</v>
      </c>
    </row>
    <row r="22" spans="2:74" s="86" customFormat="1" x14ac:dyDescent="0.3">
      <c r="B22" s="192">
        <f t="shared" si="27"/>
        <v>11</v>
      </c>
      <c r="C22" s="350">
        <f t="shared" si="12"/>
        <v>2032</v>
      </c>
      <c r="D22" s="351">
        <f t="shared" si="28"/>
        <v>48214</v>
      </c>
      <c r="E22" s="441">
        <f t="shared" si="28"/>
        <v>48579</v>
      </c>
      <c r="F22" s="733">
        <f>IF(AND(B22&gt;0,B22&lt;=Fish_Inputs!$J$17),1,0)</f>
        <v>1</v>
      </c>
      <c r="G22" s="730">
        <f>IF(F22=1,Fish_Inputs!$G$31,0)</f>
        <v>65999.999999999956</v>
      </c>
      <c r="H22" s="446">
        <f>IF(AND(F21=0,F22=1),100%,IF(AND(F21=0,F22=0),100%,H21-Fish_Inputs!$G$41))*F22</f>
        <v>0.99500000000000055</v>
      </c>
      <c r="I22" s="224">
        <f t="shared" si="41"/>
        <v>65670</v>
      </c>
      <c r="J22" s="225">
        <f>Fish_Inputs!$J$11</f>
        <v>0.01</v>
      </c>
      <c r="K22" s="444">
        <f>IF(B22=1,Fish_Inputs!$R$15,K21*(1+Fish_CashFlows!J22))*F22</f>
        <v>6.9027298044292262</v>
      </c>
      <c r="L22" s="338">
        <f>IF(B22=1,Fish_Inputs!$R$16,L21*(1+Fish_CashFlows!J22))*F22</f>
        <v>12.201655997292164</v>
      </c>
      <c r="M22" s="86">
        <f>K22*I22*Fish_Inputs!$J$9</f>
        <v>226651.13312843363</v>
      </c>
      <c r="N22" s="214">
        <f>L22*I22*Fish_Inputs!$J$10</f>
        <v>400641.37467108818</v>
      </c>
      <c r="O22" s="423">
        <f t="shared" si="29"/>
        <v>0</v>
      </c>
      <c r="P22" s="122">
        <f>SUM(M22:O22)+IF(B22=Fish_Inputs!$J$17,Fish_Inputs!$J$19,0)</f>
        <v>627292.50779952179</v>
      </c>
      <c r="Q22" s="196">
        <f>IF(B22=1,Fish_Inputs!$O$7,Q21*(1+Fish_Inputs!$N$23))*F22</f>
        <v>497079.95643504203</v>
      </c>
      <c r="R22" s="86">
        <f>IF(B22=1,Fish_Inputs!$O$8,R21*(1+Fish_Inputs!$N$23))*F22</f>
        <v>8490.3576594479509</v>
      </c>
      <c r="S22" s="86">
        <f>IF(B22=1,Fish_Inputs!$O$9,S21*(1+Fish_Inputs!$N$23))*F22</f>
        <v>29674.123337712084</v>
      </c>
      <c r="T22" s="86">
        <f>IF(B22=1,Fish_Inputs!$O$10,T21*(1+Fish_Inputs!$N$23))*F22</f>
        <v>15444.857937410392</v>
      </c>
      <c r="U22" s="86">
        <f>IF(B22=1,Fish_Inputs!$O$11,U21*(1+Fish_Inputs!$N$23))*F22</f>
        <v>19447.290769011943</v>
      </c>
      <c r="V22" s="86">
        <f>IF(B22=1,Fish_Inputs!$O$12,V21*(1+Fish_Inputs!$N$23))*F22</f>
        <v>101.8996839947275</v>
      </c>
      <c r="W22" s="86">
        <f>IF(B22=1,Fish_Inputs!$O$13,W21*(1+Fish_Inputs!$N$23))*F22</f>
        <v>0</v>
      </c>
      <c r="X22" s="86">
        <f>IF(B22=1,Fish_Inputs!$O$14,X21*(1+Fish_Inputs!$N$23))*F22</f>
        <v>3152.2236572840279</v>
      </c>
      <c r="Y22" s="86">
        <f>IF(B22=1,Fish_Inputs!$O$15,Y21*(1+Fish_Inputs!$N$23))*F22</f>
        <v>3152.2236572840279</v>
      </c>
      <c r="Z22" s="86">
        <f>IF(B22=1,Fish_Inputs!$O$16,Z21*(1+Fish_Inputs!$N$23))*F22</f>
        <v>3957.006009453507</v>
      </c>
      <c r="AA22" s="86">
        <f>IF(B22=1,Fish_Inputs!$O$17,AA21*(1+Fish_Inputs!$N$23))*F22</f>
        <v>3387.5078512610253</v>
      </c>
      <c r="AB22" s="102">
        <f>IF(B22=1,Fish_Inputs!$O$18,AB21*(1+Fish_Inputs!$N$23))*F22</f>
        <v>0</v>
      </c>
      <c r="AC22" s="684">
        <f>IF(B22=1,Fish_Inputs!$O$19,AC21*(1+Fish_Inputs!$N$23))*F22</f>
        <v>0</v>
      </c>
      <c r="AD22" s="86">
        <f>IF(B22=1,Fish_Inputs!$O$20,AD21*(1+Fish_Inputs!$N$23))*F22</f>
        <v>0</v>
      </c>
      <c r="AE22" s="86">
        <f>IF(B22=1,Fish_Inputs!$O$21,AE21*(1+Fish_Inputs!$N$23))*F22</f>
        <v>0</v>
      </c>
      <c r="AF22" s="200">
        <f>IF(B22=1,Fish_Inputs!$O$22,AF21*(1+Fish_Inputs!$N$23))*F22</f>
        <v>0</v>
      </c>
      <c r="AG22" s="200">
        <f t="shared" si="30"/>
        <v>583887.44699790177</v>
      </c>
      <c r="AH22" s="86">
        <f t="shared" si="13"/>
        <v>43405.060801620013</v>
      </c>
      <c r="AI22" s="225">
        <f t="shared" si="14"/>
        <v>6.9194291756935769E-2</v>
      </c>
      <c r="AJ22" s="457">
        <f>Deprec!C21</f>
        <v>10745.438699832541</v>
      </c>
      <c r="AK22" s="86">
        <f t="shared" si="15"/>
        <v>32659.62210178747</v>
      </c>
      <c r="AL22" s="455">
        <f t="shared" si="31"/>
        <v>0</v>
      </c>
      <c r="AM22" s="86">
        <f t="shared" si="32"/>
        <v>32659.62210178747</v>
      </c>
      <c r="AN22" s="197">
        <f>IF(AM22&lt;0,0,(AM22*Fish_Inputs!$J$14))</f>
        <v>9797.8866305362408</v>
      </c>
      <c r="AO22" s="86">
        <f t="shared" si="33"/>
        <v>22861.735471251232</v>
      </c>
      <c r="AP22" s="226">
        <f t="shared" si="16"/>
        <v>3.6445095688210707E-2</v>
      </c>
      <c r="AS22" s="196">
        <f t="shared" si="17"/>
        <v>627292.50779952179</v>
      </c>
      <c r="AT22" s="86">
        <f t="shared" si="18"/>
        <v>583887.44699790177</v>
      </c>
      <c r="AU22" s="197">
        <f t="shared" si="34"/>
        <v>43405.060801620013</v>
      </c>
      <c r="AV22" s="196">
        <f>IF(B22=0,Fish_Inputs!$C$29,0)</f>
        <v>0</v>
      </c>
      <c r="AW22" s="198">
        <f t="shared" si="5"/>
        <v>0</v>
      </c>
      <c r="AX22" s="197">
        <f t="shared" si="6"/>
        <v>43405.060801620013</v>
      </c>
      <c r="AY22" s="192">
        <f>IF(B22=0,Fish_Inputs!$G$15+Fish_Inputs!$G$16,0)</f>
        <v>0</v>
      </c>
      <c r="AZ22" s="193">
        <f>IF(B22=0,Fish_Inputs!$G$14,0)</f>
        <v>0</v>
      </c>
      <c r="BA22" s="200">
        <f t="shared" si="7"/>
        <v>0</v>
      </c>
      <c r="BB22" s="196">
        <f t="shared" si="8"/>
        <v>43405.060801620013</v>
      </c>
      <c r="BC22" s="196">
        <f>Fish_Inputs!$G$20*AVERAGE(BR22,BS22)</f>
        <v>0</v>
      </c>
      <c r="BD22" s="200">
        <f t="shared" si="9"/>
        <v>9797.8866305362408</v>
      </c>
      <c r="BE22" s="200">
        <f t="shared" si="19"/>
        <v>43405.060801620013</v>
      </c>
      <c r="BF22" s="86">
        <f t="shared" si="20"/>
        <v>33607.174171083774</v>
      </c>
      <c r="BG22" s="197">
        <f t="shared" si="21"/>
        <v>33607.174171083774</v>
      </c>
      <c r="BH22" s="86">
        <f t="shared" si="35"/>
        <v>0</v>
      </c>
      <c r="BI22" s="86">
        <f t="shared" si="36"/>
        <v>0</v>
      </c>
      <c r="BJ22" s="86">
        <f>-Debt_Calc!M20</f>
        <v>0</v>
      </c>
      <c r="BK22" s="86">
        <f>Debt_Calc!N20</f>
        <v>0</v>
      </c>
      <c r="BL22" s="86">
        <f t="shared" si="22"/>
        <v>0</v>
      </c>
      <c r="BM22" s="423">
        <f t="shared" si="37"/>
        <v>0</v>
      </c>
      <c r="BN22" s="86">
        <f t="shared" si="38"/>
        <v>33607.174171083774</v>
      </c>
      <c r="BO22" s="86">
        <f t="shared" si="23"/>
        <v>43405.060801620013</v>
      </c>
      <c r="BP22" s="86">
        <f t="shared" si="39"/>
        <v>33607.174171083774</v>
      </c>
      <c r="BQ22" s="86">
        <f t="shared" si="24"/>
        <v>0</v>
      </c>
      <c r="BR22" s="86">
        <f t="shared" si="25"/>
        <v>0</v>
      </c>
      <c r="BS22" s="86">
        <f t="shared" si="10"/>
        <v>0</v>
      </c>
      <c r="BT22" s="86">
        <f t="shared" si="26"/>
        <v>-51545.496303932618</v>
      </c>
      <c r="BU22" s="86">
        <f t="shared" si="40"/>
        <v>0</v>
      </c>
      <c r="BV22" s="214">
        <f t="shared" si="11"/>
        <v>10100.448221049324</v>
      </c>
    </row>
    <row r="23" spans="2:74" s="86" customFormat="1" x14ac:dyDescent="0.3">
      <c r="B23" s="192">
        <f t="shared" si="27"/>
        <v>12</v>
      </c>
      <c r="C23" s="350">
        <f t="shared" si="12"/>
        <v>2033</v>
      </c>
      <c r="D23" s="351">
        <f t="shared" si="28"/>
        <v>48580</v>
      </c>
      <c r="E23" s="441">
        <f t="shared" si="28"/>
        <v>48944</v>
      </c>
      <c r="F23" s="733">
        <f>IF(AND(B23&gt;0,B23&lt;=Fish_Inputs!$J$17),1,0)</f>
        <v>1</v>
      </c>
      <c r="G23" s="730">
        <f>IF(F23=1,Fish_Inputs!$G$31,0)</f>
        <v>65999.999999999956</v>
      </c>
      <c r="H23" s="446">
        <f>IF(AND(F22=0,F23=1),100%,IF(AND(F22=0,F23=0),100%,H22-Fish_Inputs!$G$41))*F23</f>
        <v>0.99450000000000061</v>
      </c>
      <c r="I23" s="224">
        <f t="shared" si="41"/>
        <v>65637</v>
      </c>
      <c r="J23" s="225">
        <f>Fish_Inputs!$J$11</f>
        <v>0.01</v>
      </c>
      <c r="K23" s="444">
        <f>IF(B23=1,Fish_Inputs!$R$15,K22*(1+Fish_CashFlows!J23))*F23</f>
        <v>6.9717571024735188</v>
      </c>
      <c r="L23" s="338">
        <f>IF(B23=1,Fish_Inputs!$R$16,L22*(1+Fish_CashFlows!J23))*F23</f>
        <v>12.323672557265086</v>
      </c>
      <c r="M23" s="86">
        <f>K23*I23*Fish_Inputs!$J$9</f>
        <v>228802.61046752718</v>
      </c>
      <c r="N23" s="214">
        <f>L23*I23*Fish_Inputs!$J$10</f>
        <v>404444.4478206042</v>
      </c>
      <c r="O23" s="423">
        <f t="shared" si="29"/>
        <v>0</v>
      </c>
      <c r="P23" s="122">
        <f>SUM(M23:O23)+IF(B23=Fish_Inputs!$J$17,Fish_Inputs!$J$19,0)</f>
        <v>633247.05828813137</v>
      </c>
      <c r="Q23" s="196">
        <f>IF(B23=1,Fish_Inputs!$O$7,Q22*(1+Fish_Inputs!$N$23))*F23</f>
        <v>502050.75599939242</v>
      </c>
      <c r="R23" s="86">
        <f>IF(B23=1,Fish_Inputs!$O$8,R22*(1+Fish_Inputs!$N$23))*F23</f>
        <v>8575.26123604243</v>
      </c>
      <c r="S23" s="86">
        <f>IF(B23=1,Fish_Inputs!$O$9,S22*(1+Fish_Inputs!$N$23))*F23</f>
        <v>29970.864571089205</v>
      </c>
      <c r="T23" s="86">
        <f>IF(B23=1,Fish_Inputs!$O$10,T22*(1+Fish_Inputs!$N$23))*F23</f>
        <v>15599.306516784496</v>
      </c>
      <c r="U23" s="86">
        <f>IF(B23=1,Fish_Inputs!$O$11,U22*(1+Fish_Inputs!$N$23))*F23</f>
        <v>19641.763676702063</v>
      </c>
      <c r="V23" s="86">
        <f>IF(B23=1,Fish_Inputs!$O$12,V22*(1+Fish_Inputs!$N$23))*F23</f>
        <v>102.91868083467477</v>
      </c>
      <c r="W23" s="86">
        <f>IF(B23=1,Fish_Inputs!$O$13,W22*(1+Fish_Inputs!$N$23))*F23</f>
        <v>0</v>
      </c>
      <c r="X23" s="86">
        <f>IF(B23=1,Fish_Inputs!$O$14,X22*(1+Fish_Inputs!$N$23))*F23</f>
        <v>3183.7458938568684</v>
      </c>
      <c r="Y23" s="86">
        <f>IF(B23=1,Fish_Inputs!$O$15,Y22*(1+Fish_Inputs!$N$23))*F23</f>
        <v>3183.7458938568684</v>
      </c>
      <c r="Z23" s="86">
        <f>IF(B23=1,Fish_Inputs!$O$16,Z22*(1+Fish_Inputs!$N$23))*F23</f>
        <v>3996.5760695480421</v>
      </c>
      <c r="AA23" s="86">
        <f>IF(B23=1,Fish_Inputs!$O$17,AA22*(1+Fish_Inputs!$N$23))*F23</f>
        <v>3421.3829297736356</v>
      </c>
      <c r="AB23" s="102">
        <f>IF(B23=1,Fish_Inputs!$O$18,AB22*(1+Fish_Inputs!$N$23))*F23</f>
        <v>0</v>
      </c>
      <c r="AC23" s="684">
        <f>IF(B23=1,Fish_Inputs!$O$19,AC22*(1+Fish_Inputs!$N$23))*F23</f>
        <v>0</v>
      </c>
      <c r="AD23" s="86">
        <f>IF(B23=1,Fish_Inputs!$O$20,AD22*(1+Fish_Inputs!$N$23))*F23</f>
        <v>0</v>
      </c>
      <c r="AE23" s="86">
        <f>IF(B23=1,Fish_Inputs!$O$21,AE22*(1+Fish_Inputs!$N$23))*F23</f>
        <v>0</v>
      </c>
      <c r="AF23" s="200">
        <f>IF(B23=1,Fish_Inputs!$O$22,AF22*(1+Fish_Inputs!$N$23))*F23</f>
        <v>0</v>
      </c>
      <c r="AG23" s="200">
        <f t="shared" si="30"/>
        <v>589726.32146788063</v>
      </c>
      <c r="AH23" s="86">
        <f t="shared" si="13"/>
        <v>43520.73682025075</v>
      </c>
      <c r="AI23" s="225">
        <f t="shared" si="14"/>
        <v>6.8726315030820939E-2</v>
      </c>
      <c r="AJ23" s="457">
        <f>Deprec!C22</f>
        <v>10745.438699832541</v>
      </c>
      <c r="AK23" s="86">
        <f t="shared" si="15"/>
        <v>32775.298120418207</v>
      </c>
      <c r="AL23" s="455">
        <f t="shared" si="31"/>
        <v>0</v>
      </c>
      <c r="AM23" s="86">
        <f t="shared" si="32"/>
        <v>32775.298120418207</v>
      </c>
      <c r="AN23" s="197">
        <f>IF(AM23&lt;0,0,(AM23*Fish_Inputs!$J$14))</f>
        <v>9832.5894361254614</v>
      </c>
      <c r="AO23" s="86">
        <f t="shared" si="33"/>
        <v>22942.708684292746</v>
      </c>
      <c r="AP23" s="226">
        <f t="shared" si="16"/>
        <v>3.6230264924268576E-2</v>
      </c>
      <c r="AS23" s="196">
        <f t="shared" si="17"/>
        <v>633247.05828813137</v>
      </c>
      <c r="AT23" s="86">
        <f t="shared" si="18"/>
        <v>589726.32146788063</v>
      </c>
      <c r="AU23" s="197">
        <f t="shared" si="34"/>
        <v>43520.73682025075</v>
      </c>
      <c r="AV23" s="196">
        <f>IF(B23=0,Fish_Inputs!$C$29,0)</f>
        <v>0</v>
      </c>
      <c r="AW23" s="198">
        <f t="shared" si="5"/>
        <v>0</v>
      </c>
      <c r="AX23" s="197">
        <f t="shared" si="6"/>
        <v>43520.73682025075</v>
      </c>
      <c r="AY23" s="192">
        <f>IF(B23=0,Fish_Inputs!$G$15+Fish_Inputs!$G$16,0)</f>
        <v>0</v>
      </c>
      <c r="AZ23" s="193">
        <f>IF(B23=0,Fish_Inputs!$G$14,0)</f>
        <v>0</v>
      </c>
      <c r="BA23" s="200">
        <f t="shared" si="7"/>
        <v>0</v>
      </c>
      <c r="BB23" s="196">
        <f t="shared" si="8"/>
        <v>43520.73682025075</v>
      </c>
      <c r="BC23" s="196">
        <f>Fish_Inputs!$G$20*AVERAGE(BR23,BS23)</f>
        <v>0</v>
      </c>
      <c r="BD23" s="200">
        <f t="shared" si="9"/>
        <v>9832.5894361254614</v>
      </c>
      <c r="BE23" s="200">
        <f t="shared" si="19"/>
        <v>43520.73682025075</v>
      </c>
      <c r="BF23" s="86">
        <f t="shared" si="20"/>
        <v>33688.147384125288</v>
      </c>
      <c r="BG23" s="197">
        <f t="shared" si="21"/>
        <v>33688.147384125288</v>
      </c>
      <c r="BH23" s="86">
        <f t="shared" si="35"/>
        <v>0</v>
      </c>
      <c r="BI23" s="86">
        <f t="shared" si="36"/>
        <v>0</v>
      </c>
      <c r="BJ23" s="86">
        <f>-Debt_Calc!M21</f>
        <v>0</v>
      </c>
      <c r="BK23" s="86">
        <f>Debt_Calc!N21</f>
        <v>0</v>
      </c>
      <c r="BL23" s="86">
        <f t="shared" si="22"/>
        <v>0</v>
      </c>
      <c r="BM23" s="423">
        <f t="shared" si="37"/>
        <v>0</v>
      </c>
      <c r="BN23" s="86">
        <f t="shared" si="38"/>
        <v>33688.147384125288</v>
      </c>
      <c r="BO23" s="86">
        <f t="shared" si="23"/>
        <v>43520.73682025075</v>
      </c>
      <c r="BP23" s="86">
        <f t="shared" si="39"/>
        <v>33688.147384125288</v>
      </c>
      <c r="BQ23" s="86">
        <f t="shared" si="24"/>
        <v>0</v>
      </c>
      <c r="BR23" s="86">
        <f t="shared" si="25"/>
        <v>0</v>
      </c>
      <c r="BS23" s="86">
        <f t="shared" si="10"/>
        <v>0</v>
      </c>
      <c r="BT23" s="86">
        <f t="shared" si="26"/>
        <v>-17857.348919807329</v>
      </c>
      <c r="BU23" s="86">
        <f t="shared" si="40"/>
        <v>0</v>
      </c>
      <c r="BV23" s="214">
        <f t="shared" si="11"/>
        <v>9076.5943886264158</v>
      </c>
    </row>
    <row r="24" spans="2:74" s="86" customFormat="1" x14ac:dyDescent="0.3">
      <c r="B24" s="192">
        <f t="shared" si="27"/>
        <v>13</v>
      </c>
      <c r="C24" s="350">
        <f t="shared" si="12"/>
        <v>2034</v>
      </c>
      <c r="D24" s="351">
        <f t="shared" si="28"/>
        <v>48945</v>
      </c>
      <c r="E24" s="441">
        <f t="shared" si="28"/>
        <v>49309</v>
      </c>
      <c r="F24" s="733">
        <f>IF(AND(B24&gt;0,B24&lt;=Fish_Inputs!$J$17),1,0)</f>
        <v>1</v>
      </c>
      <c r="G24" s="730">
        <f>IF(F24=1,Fish_Inputs!$G$31,0)</f>
        <v>65999.999999999956</v>
      </c>
      <c r="H24" s="446">
        <f>IF(AND(F23=0,F24=1),100%,IF(AND(F23=0,F24=0),100%,H23-Fish_Inputs!$G$41))*F24</f>
        <v>0.99400000000000066</v>
      </c>
      <c r="I24" s="224">
        <f t="shared" si="41"/>
        <v>65604</v>
      </c>
      <c r="J24" s="225">
        <f>Fish_Inputs!$J$11</f>
        <v>0.01</v>
      </c>
      <c r="K24" s="444">
        <f>IF(B24=1,Fish_Inputs!$R$15,K23*(1+Fish_CashFlows!J24))*F24</f>
        <v>7.0414746734982536</v>
      </c>
      <c r="L24" s="338">
        <f>IF(B24=1,Fish_Inputs!$R$16,L23*(1+Fish_CashFlows!J24))*F24</f>
        <v>12.446909282837737</v>
      </c>
      <c r="M24" s="86">
        <f>K24*I24*Fish_Inputs!$J$9</f>
        <v>230974.45224008971</v>
      </c>
      <c r="N24" s="214">
        <f>L24*I24*Fish_Inputs!$J$10</f>
        <v>408283.51829564344</v>
      </c>
      <c r="O24" s="423">
        <f t="shared" si="29"/>
        <v>0</v>
      </c>
      <c r="P24" s="122">
        <f>SUM(M24:O24)+IF(B24=Fish_Inputs!$J$17,Fish_Inputs!$J$19,0)</f>
        <v>639257.97053573315</v>
      </c>
      <c r="Q24" s="196">
        <f>IF(B24=1,Fish_Inputs!$O$7,Q23*(1+Fish_Inputs!$N$23))*F24</f>
        <v>507071.26355938637</v>
      </c>
      <c r="R24" s="86">
        <f>IF(B24=1,Fish_Inputs!$O$8,R23*(1+Fish_Inputs!$N$23))*F24</f>
        <v>8661.0138484028539</v>
      </c>
      <c r="S24" s="86">
        <f>IF(B24=1,Fish_Inputs!$O$9,S23*(1+Fish_Inputs!$N$23))*F24</f>
        <v>30270.573216800098</v>
      </c>
      <c r="T24" s="86">
        <f>IF(B24=1,Fish_Inputs!$O$10,T23*(1+Fish_Inputs!$N$23))*F24</f>
        <v>15755.299581952342</v>
      </c>
      <c r="U24" s="86">
        <f>IF(B24=1,Fish_Inputs!$O$11,U23*(1+Fish_Inputs!$N$23))*F24</f>
        <v>19838.181313469086</v>
      </c>
      <c r="V24" s="86">
        <f>IF(B24=1,Fish_Inputs!$O$12,V23*(1+Fish_Inputs!$N$23))*F24</f>
        <v>103.94786764302152</v>
      </c>
      <c r="W24" s="86">
        <f>IF(B24=1,Fish_Inputs!$O$13,W23*(1+Fish_Inputs!$N$23))*F24</f>
        <v>0</v>
      </c>
      <c r="X24" s="86">
        <f>IF(B24=1,Fish_Inputs!$O$14,X23*(1+Fish_Inputs!$N$23))*F24</f>
        <v>3215.5833527954369</v>
      </c>
      <c r="Y24" s="86">
        <f>IF(B24=1,Fish_Inputs!$O$15,Y23*(1+Fish_Inputs!$N$23))*F24</f>
        <v>3215.5833527954369</v>
      </c>
      <c r="Z24" s="86">
        <f>IF(B24=1,Fish_Inputs!$O$16,Z23*(1+Fish_Inputs!$N$23))*F24</f>
        <v>4036.5418302435228</v>
      </c>
      <c r="AA24" s="86">
        <f>IF(B24=1,Fish_Inputs!$O$17,AA23*(1+Fish_Inputs!$N$23))*F24</f>
        <v>3455.5967590713722</v>
      </c>
      <c r="AB24" s="102">
        <f>IF(B24=1,Fish_Inputs!$O$18,AB23*(1+Fish_Inputs!$N$23))*F24</f>
        <v>0</v>
      </c>
      <c r="AC24" s="684">
        <f>IF(B24=1,Fish_Inputs!$O$19,AC23*(1+Fish_Inputs!$N$23))*F24</f>
        <v>0</v>
      </c>
      <c r="AD24" s="86">
        <f>IF(B24=1,Fish_Inputs!$O$20,AD23*(1+Fish_Inputs!$N$23))*F24</f>
        <v>0</v>
      </c>
      <c r="AE24" s="86">
        <f>IF(B24=1,Fish_Inputs!$O$21,AE23*(1+Fish_Inputs!$N$23))*F24</f>
        <v>0</v>
      </c>
      <c r="AF24" s="200">
        <f>IF(B24=1,Fish_Inputs!$O$22,AF23*(1+Fish_Inputs!$N$23))*F24</f>
        <v>0</v>
      </c>
      <c r="AG24" s="200">
        <f t="shared" si="30"/>
        <v>595623.58468255948</v>
      </c>
      <c r="AH24" s="86">
        <f t="shared" si="13"/>
        <v>43634.385853173677</v>
      </c>
      <c r="AI24" s="225">
        <f t="shared" si="14"/>
        <v>6.8257867503170394E-2</v>
      </c>
      <c r="AJ24" s="457">
        <f>Deprec!C23</f>
        <v>10745.438699832541</v>
      </c>
      <c r="AK24" s="86">
        <f t="shared" si="15"/>
        <v>32888.947153341134</v>
      </c>
      <c r="AL24" s="455">
        <f t="shared" si="31"/>
        <v>0</v>
      </c>
      <c r="AM24" s="86">
        <f t="shared" si="32"/>
        <v>32888.947153341134</v>
      </c>
      <c r="AN24" s="197">
        <f>IF(AM24&lt;0,0,(AM24*Fish_Inputs!$J$14))</f>
        <v>9866.6841460023406</v>
      </c>
      <c r="AO24" s="86">
        <f t="shared" si="33"/>
        <v>23022.263007338792</v>
      </c>
      <c r="AP24" s="226">
        <f t="shared" si="16"/>
        <v>3.6014041386210449E-2</v>
      </c>
      <c r="AS24" s="196">
        <f t="shared" si="17"/>
        <v>639257.97053573315</v>
      </c>
      <c r="AT24" s="86">
        <f t="shared" si="18"/>
        <v>595623.58468255948</v>
      </c>
      <c r="AU24" s="197">
        <f t="shared" si="34"/>
        <v>43634.385853173677</v>
      </c>
      <c r="AV24" s="196">
        <f>IF(B24=0,Fish_Inputs!$C$29,0)</f>
        <v>0</v>
      </c>
      <c r="AW24" s="198">
        <f t="shared" si="5"/>
        <v>0</v>
      </c>
      <c r="AX24" s="197">
        <f t="shared" si="6"/>
        <v>43634.385853173677</v>
      </c>
      <c r="AY24" s="192">
        <f>IF(B24=0,Fish_Inputs!$G$15+Fish_Inputs!$G$16,0)</f>
        <v>0</v>
      </c>
      <c r="AZ24" s="193">
        <f>IF(B24=0,Fish_Inputs!$G$14,0)</f>
        <v>0</v>
      </c>
      <c r="BA24" s="200">
        <f t="shared" si="7"/>
        <v>0</v>
      </c>
      <c r="BB24" s="196">
        <f t="shared" si="8"/>
        <v>43634.385853173677</v>
      </c>
      <c r="BC24" s="196">
        <f>Fish_Inputs!$G$20*AVERAGE(BR24,BS24)</f>
        <v>0</v>
      </c>
      <c r="BD24" s="200">
        <f t="shared" si="9"/>
        <v>9866.6841460023406</v>
      </c>
      <c r="BE24" s="200">
        <f t="shared" si="19"/>
        <v>43634.385853173677</v>
      </c>
      <c r="BF24" s="86">
        <f t="shared" si="20"/>
        <v>33767.701707171334</v>
      </c>
      <c r="BG24" s="197">
        <f t="shared" si="21"/>
        <v>33767.701707171334</v>
      </c>
      <c r="BH24" s="86">
        <f t="shared" si="35"/>
        <v>0</v>
      </c>
      <c r="BI24" s="86">
        <f t="shared" si="36"/>
        <v>0</v>
      </c>
      <c r="BJ24" s="86">
        <f>-Debt_Calc!M22</f>
        <v>0</v>
      </c>
      <c r="BK24" s="86">
        <f>Debt_Calc!N22</f>
        <v>0</v>
      </c>
      <c r="BL24" s="86">
        <f t="shared" si="22"/>
        <v>0</v>
      </c>
      <c r="BM24" s="423">
        <f t="shared" si="37"/>
        <v>0</v>
      </c>
      <c r="BN24" s="86">
        <f t="shared" si="38"/>
        <v>33767.701707171334</v>
      </c>
      <c r="BO24" s="86">
        <f t="shared" si="23"/>
        <v>43634.385853173677</v>
      </c>
      <c r="BP24" s="86">
        <f t="shared" si="39"/>
        <v>33767.701707171334</v>
      </c>
      <c r="BQ24" s="86">
        <f t="shared" si="24"/>
        <v>0</v>
      </c>
      <c r="BR24" s="86">
        <f t="shared" si="25"/>
        <v>0</v>
      </c>
      <c r="BS24" s="86">
        <f t="shared" si="10"/>
        <v>0</v>
      </c>
      <c r="BT24" s="86">
        <f t="shared" si="26"/>
        <v>15910.352787364005</v>
      </c>
      <c r="BU24" s="86">
        <f t="shared" si="40"/>
        <v>1</v>
      </c>
      <c r="BV24" s="214">
        <f t="shared" si="11"/>
        <v>8156.1358827661516</v>
      </c>
    </row>
    <row r="25" spans="2:74" s="86" customFormat="1" x14ac:dyDescent="0.3">
      <c r="B25" s="192">
        <f t="shared" si="27"/>
        <v>14</v>
      </c>
      <c r="C25" s="350">
        <f t="shared" si="12"/>
        <v>2035</v>
      </c>
      <c r="D25" s="351">
        <f t="shared" si="28"/>
        <v>49310</v>
      </c>
      <c r="E25" s="441">
        <f t="shared" si="28"/>
        <v>49674</v>
      </c>
      <c r="F25" s="733">
        <f>IF(AND(B25&gt;0,B25&lt;=Fish_Inputs!$J$17),1,0)</f>
        <v>1</v>
      </c>
      <c r="G25" s="730">
        <f>IF(F25=1,Fish_Inputs!$G$31,0)</f>
        <v>65999.999999999956</v>
      </c>
      <c r="H25" s="446">
        <f>IF(AND(F24=0,F25=1),100%,IF(AND(F24=0,F25=0),100%,H24-Fish_Inputs!$G$41))*F25</f>
        <v>0.99350000000000072</v>
      </c>
      <c r="I25" s="224">
        <f t="shared" si="41"/>
        <v>65571</v>
      </c>
      <c r="J25" s="225">
        <f>Fish_Inputs!$J$11</f>
        <v>0.01</v>
      </c>
      <c r="K25" s="444">
        <f>IF(B25=1,Fish_Inputs!$R$15,K24*(1+Fish_CashFlows!J25))*F25</f>
        <v>7.1118894202332363</v>
      </c>
      <c r="L25" s="338">
        <f>IF(B25=1,Fish_Inputs!$R$16,L24*(1+Fish_CashFlows!J25))*F25</f>
        <v>12.571378375666114</v>
      </c>
      <c r="M25" s="86">
        <f>K25*I25*Fish_Inputs!$J$9</f>
        <v>233166.85058705678</v>
      </c>
      <c r="N25" s="214">
        <f>L25*I25*Fish_Inputs!$J$10</f>
        <v>412158.9257354014</v>
      </c>
      <c r="O25" s="423">
        <f t="shared" si="29"/>
        <v>0</v>
      </c>
      <c r="P25" s="122">
        <f>SUM(M25:O25)+IF(B25=Fish_Inputs!$J$17,Fish_Inputs!$J$19,0)</f>
        <v>645325.77632245817</v>
      </c>
      <c r="Q25" s="196">
        <f>IF(B25=1,Fish_Inputs!$O$7,Q24*(1+Fish_Inputs!$N$23))*F25</f>
        <v>512141.97619498026</v>
      </c>
      <c r="R25" s="86">
        <f>IF(B25=1,Fish_Inputs!$O$8,R24*(1+Fish_Inputs!$N$23))*F25</f>
        <v>8747.6239868868834</v>
      </c>
      <c r="S25" s="86">
        <f>IF(B25=1,Fish_Inputs!$O$9,S24*(1+Fish_Inputs!$N$23))*F25</f>
        <v>30573.278948968098</v>
      </c>
      <c r="T25" s="86">
        <f>IF(B25=1,Fish_Inputs!$O$10,T24*(1+Fish_Inputs!$N$23))*F25</f>
        <v>15912.852577771866</v>
      </c>
      <c r="U25" s="86">
        <f>IF(B25=1,Fish_Inputs!$O$11,U24*(1+Fish_Inputs!$N$23))*F25</f>
        <v>20036.563126603778</v>
      </c>
      <c r="V25" s="86">
        <f>IF(B25=1,Fish_Inputs!$O$12,V24*(1+Fish_Inputs!$N$23))*F25</f>
        <v>104.98734631945175</v>
      </c>
      <c r="W25" s="86">
        <f>IF(B25=1,Fish_Inputs!$O$13,W24*(1+Fish_Inputs!$N$23))*F25</f>
        <v>0</v>
      </c>
      <c r="X25" s="86">
        <f>IF(B25=1,Fish_Inputs!$O$14,X24*(1+Fish_Inputs!$N$23))*F25</f>
        <v>3247.7391863233911</v>
      </c>
      <c r="Y25" s="86">
        <f>IF(B25=1,Fish_Inputs!$O$15,Y24*(1+Fish_Inputs!$N$23))*F25</f>
        <v>3247.7391863233911</v>
      </c>
      <c r="Z25" s="86">
        <f>IF(B25=1,Fish_Inputs!$O$16,Z24*(1+Fish_Inputs!$N$23))*F25</f>
        <v>4076.9072485459578</v>
      </c>
      <c r="AA25" s="86">
        <f>IF(B25=1,Fish_Inputs!$O$17,AA24*(1+Fish_Inputs!$N$23))*F25</f>
        <v>3490.152726662086</v>
      </c>
      <c r="AB25" s="102">
        <f>IF(B25=1,Fish_Inputs!$O$18,AB24*(1+Fish_Inputs!$N$23))*F25</f>
        <v>0</v>
      </c>
      <c r="AC25" s="684">
        <f>IF(B25=1,Fish_Inputs!$O$19,AC24*(1+Fish_Inputs!$N$23))*F25</f>
        <v>0</v>
      </c>
      <c r="AD25" s="86">
        <f>IF(B25=1,Fish_Inputs!$O$20,AD24*(1+Fish_Inputs!$N$23))*F25</f>
        <v>0</v>
      </c>
      <c r="AE25" s="86">
        <f>IF(B25=1,Fish_Inputs!$O$21,AE24*(1+Fish_Inputs!$N$23))*F25</f>
        <v>0</v>
      </c>
      <c r="AF25" s="200">
        <f>IF(B25=1,Fish_Inputs!$O$22,AF24*(1+Fish_Inputs!$N$23))*F25</f>
        <v>0</v>
      </c>
      <c r="AG25" s="200">
        <f t="shared" si="30"/>
        <v>601579.820529385</v>
      </c>
      <c r="AH25" s="86">
        <f t="shared" si="13"/>
        <v>43745.955793073168</v>
      </c>
      <c r="AI25" s="225">
        <f t="shared" si="14"/>
        <v>6.7788948463162066E-2</v>
      </c>
      <c r="AJ25" s="457">
        <f>Deprec!C24</f>
        <v>10745.438699832541</v>
      </c>
      <c r="AK25" s="86">
        <f t="shared" si="15"/>
        <v>33000.517093240625</v>
      </c>
      <c r="AL25" s="455">
        <f t="shared" si="31"/>
        <v>0</v>
      </c>
      <c r="AM25" s="86">
        <f t="shared" si="32"/>
        <v>33000.517093240625</v>
      </c>
      <c r="AN25" s="197">
        <f>IF(AM25&lt;0,0,(AM25*Fish_Inputs!$J$14))</f>
        <v>9900.155127972188</v>
      </c>
      <c r="AO25" s="86">
        <f t="shared" si="33"/>
        <v>23100.361965268436</v>
      </c>
      <c r="AP25" s="226">
        <f t="shared" si="16"/>
        <v>3.5796434627036473E-2</v>
      </c>
      <c r="AS25" s="196">
        <f t="shared" si="17"/>
        <v>645325.77632245817</v>
      </c>
      <c r="AT25" s="86">
        <f t="shared" si="18"/>
        <v>601579.820529385</v>
      </c>
      <c r="AU25" s="197">
        <f t="shared" si="34"/>
        <v>43745.955793073168</v>
      </c>
      <c r="AV25" s="196">
        <f>IF(B25=0,Fish_Inputs!$C$29,0)</f>
        <v>0</v>
      </c>
      <c r="AW25" s="198">
        <f t="shared" si="5"/>
        <v>0</v>
      </c>
      <c r="AX25" s="197">
        <f t="shared" si="6"/>
        <v>43745.955793073168</v>
      </c>
      <c r="AY25" s="192">
        <f>IF(B25=0,Fish_Inputs!$G$15+Fish_Inputs!$G$16,0)</f>
        <v>0</v>
      </c>
      <c r="AZ25" s="193">
        <f>IF(B25=0,Fish_Inputs!$G$14,0)</f>
        <v>0</v>
      </c>
      <c r="BA25" s="200">
        <f t="shared" si="7"/>
        <v>0</v>
      </c>
      <c r="BB25" s="196">
        <f t="shared" si="8"/>
        <v>43745.955793073168</v>
      </c>
      <c r="BC25" s="196">
        <f>Fish_Inputs!$G$20*AVERAGE(BR25,BS25)</f>
        <v>0</v>
      </c>
      <c r="BD25" s="200">
        <f t="shared" si="9"/>
        <v>9900.155127972188</v>
      </c>
      <c r="BE25" s="200">
        <f t="shared" si="19"/>
        <v>43745.955793073168</v>
      </c>
      <c r="BF25" s="86">
        <f t="shared" si="20"/>
        <v>33845.800665100978</v>
      </c>
      <c r="BG25" s="197">
        <f t="shared" si="21"/>
        <v>33845.800665100978</v>
      </c>
      <c r="BH25" s="86">
        <f t="shared" si="35"/>
        <v>0</v>
      </c>
      <c r="BI25" s="86">
        <f t="shared" si="36"/>
        <v>0</v>
      </c>
      <c r="BJ25" s="86">
        <f>-Debt_Calc!M23</f>
        <v>0</v>
      </c>
      <c r="BK25" s="86">
        <f>Debt_Calc!N23</f>
        <v>0</v>
      </c>
      <c r="BL25" s="86">
        <f t="shared" si="22"/>
        <v>0</v>
      </c>
      <c r="BM25" s="423">
        <f t="shared" si="37"/>
        <v>0</v>
      </c>
      <c r="BN25" s="86">
        <f t="shared" si="38"/>
        <v>33845.800665100978</v>
      </c>
      <c r="BO25" s="86">
        <f t="shared" si="23"/>
        <v>43745.955793073168</v>
      </c>
      <c r="BP25" s="86">
        <f t="shared" si="39"/>
        <v>33845.800665100978</v>
      </c>
      <c r="BQ25" s="86">
        <f t="shared" si="24"/>
        <v>0</v>
      </c>
      <c r="BR25" s="86">
        <f t="shared" si="25"/>
        <v>0</v>
      </c>
      <c r="BS25" s="86">
        <f t="shared" si="10"/>
        <v>0</v>
      </c>
      <c r="BT25" s="86">
        <f t="shared" si="26"/>
        <v>49756.153452464983</v>
      </c>
      <c r="BU25" s="86">
        <f t="shared" si="40"/>
        <v>2</v>
      </c>
      <c r="BV25" s="214">
        <f t="shared" si="11"/>
        <v>7328.6653716806768</v>
      </c>
    </row>
    <row r="26" spans="2:74" s="86" customFormat="1" x14ac:dyDescent="0.3">
      <c r="B26" s="192">
        <f t="shared" si="27"/>
        <v>15</v>
      </c>
      <c r="C26" s="350">
        <f t="shared" si="12"/>
        <v>2036</v>
      </c>
      <c r="D26" s="351">
        <f t="shared" si="28"/>
        <v>49675</v>
      </c>
      <c r="E26" s="441">
        <f t="shared" si="28"/>
        <v>50040</v>
      </c>
      <c r="F26" s="733">
        <f>IF(AND(B26&gt;0,B26&lt;=Fish_Inputs!$J$17),1,0)</f>
        <v>1</v>
      </c>
      <c r="G26" s="730">
        <f>IF(F26=1,Fish_Inputs!$G$31,0)</f>
        <v>65999.999999999956</v>
      </c>
      <c r="H26" s="446">
        <f>IF(AND(F25=0,F26=1),100%,IF(AND(F25=0,F26=0),100%,H25-Fish_Inputs!$G$41))*F26</f>
        <v>0.99300000000000077</v>
      </c>
      <c r="I26" s="224">
        <f t="shared" si="41"/>
        <v>65538.000000000015</v>
      </c>
      <c r="J26" s="225">
        <f>Fish_Inputs!$J$11</f>
        <v>0.01</v>
      </c>
      <c r="K26" s="444">
        <f>IF(B26=1,Fish_Inputs!$R$15,K25*(1+Fish_CashFlows!J26))*F26</f>
        <v>7.1830083144355692</v>
      </c>
      <c r="L26" s="338">
        <f>IF(B26=1,Fish_Inputs!$R$16,L25*(1+Fish_CashFlows!J26))*F26</f>
        <v>12.697092159422775</v>
      </c>
      <c r="M26" s="86">
        <f>K26*I26*Fish_Inputs!$J$9</f>
        <v>235379.99945573922</v>
      </c>
      <c r="N26" s="214">
        <f>L26*I26*Fish_Inputs!$J$10</f>
        <v>416071.01297212503</v>
      </c>
      <c r="O26" s="423">
        <f t="shared" si="29"/>
        <v>0</v>
      </c>
      <c r="P26" s="122">
        <f>SUM(M26:O26)+IF(B26=Fish_Inputs!$J$17,Fish_Inputs!$J$19,0)</f>
        <v>651451.01242786425</v>
      </c>
      <c r="Q26" s="196">
        <f>IF(B26=1,Fish_Inputs!$O$7,Q25*(1+Fish_Inputs!$N$23))*F26</f>
        <v>517263.39595693006</v>
      </c>
      <c r="R26" s="86">
        <f>IF(B26=1,Fish_Inputs!$O$8,R25*(1+Fish_Inputs!$N$23))*F26</f>
        <v>8835.1002267557524</v>
      </c>
      <c r="S26" s="86">
        <f>IF(B26=1,Fish_Inputs!$O$9,S25*(1+Fish_Inputs!$N$23))*F26</f>
        <v>30879.011738457779</v>
      </c>
      <c r="T26" s="86">
        <f>IF(B26=1,Fish_Inputs!$O$10,T25*(1+Fish_Inputs!$N$23))*F26</f>
        <v>16071.981103549584</v>
      </c>
      <c r="U26" s="86">
        <f>IF(B26=1,Fish_Inputs!$O$11,U25*(1+Fish_Inputs!$N$23))*F26</f>
        <v>20236.928757869817</v>
      </c>
      <c r="V26" s="86">
        <f>IF(B26=1,Fish_Inputs!$O$12,V25*(1+Fish_Inputs!$N$23))*F26</f>
        <v>106.03721978264626</v>
      </c>
      <c r="W26" s="86">
        <f>IF(B26=1,Fish_Inputs!$O$13,W25*(1+Fish_Inputs!$N$23))*F26</f>
        <v>0</v>
      </c>
      <c r="X26" s="86">
        <f>IF(B26=1,Fish_Inputs!$O$14,X25*(1+Fish_Inputs!$N$23))*F26</f>
        <v>3280.2165781866252</v>
      </c>
      <c r="Y26" s="86">
        <f>IF(B26=1,Fish_Inputs!$O$15,Y25*(1+Fish_Inputs!$N$23))*F26</f>
        <v>3280.2165781866252</v>
      </c>
      <c r="Z26" s="86">
        <f>IF(B26=1,Fish_Inputs!$O$16,Z25*(1+Fish_Inputs!$N$23))*F26</f>
        <v>4117.6763210314175</v>
      </c>
      <c r="AA26" s="86">
        <f>IF(B26=1,Fish_Inputs!$O$17,AA25*(1+Fish_Inputs!$N$23))*F26</f>
        <v>3525.0542539287071</v>
      </c>
      <c r="AB26" s="102">
        <f>IF(B26=1,Fish_Inputs!$O$18,AB25*(1+Fish_Inputs!$N$23))*F26</f>
        <v>0</v>
      </c>
      <c r="AC26" s="684">
        <f>IF(B26=1,Fish_Inputs!$O$19,AC25*(1+Fish_Inputs!$N$23))*F26</f>
        <v>0</v>
      </c>
      <c r="AD26" s="86">
        <f>IF(B26=1,Fish_Inputs!$O$20,AD25*(1+Fish_Inputs!$N$23))*F26</f>
        <v>0</v>
      </c>
      <c r="AE26" s="86">
        <f>IF(B26=1,Fish_Inputs!$O$21,AE25*(1+Fish_Inputs!$N$23))*F26</f>
        <v>0</v>
      </c>
      <c r="AF26" s="200">
        <f>IF(B26=1,Fish_Inputs!$O$22,AF25*(1+Fish_Inputs!$N$23))*F26</f>
        <v>0</v>
      </c>
      <c r="AG26" s="200">
        <f t="shared" si="30"/>
        <v>607595.61873467907</v>
      </c>
      <c r="AH26" s="86">
        <f t="shared" si="13"/>
        <v>43855.393693185179</v>
      </c>
      <c r="AI26" s="225">
        <f t="shared" si="14"/>
        <v>6.7319557198541199E-2</v>
      </c>
      <c r="AJ26" s="457">
        <f>Deprec!C25</f>
        <v>10745.438699832541</v>
      </c>
      <c r="AK26" s="86">
        <f t="shared" si="15"/>
        <v>33109.954993352636</v>
      </c>
      <c r="AL26" s="455">
        <f t="shared" si="31"/>
        <v>0</v>
      </c>
      <c r="AM26" s="86">
        <f t="shared" si="32"/>
        <v>33109.954993352636</v>
      </c>
      <c r="AN26" s="197">
        <f>IF(AM26&lt;0,0,(AM26*Fish_Inputs!$J$14))</f>
        <v>9932.9864980057901</v>
      </c>
      <c r="AO26" s="86">
        <f t="shared" si="33"/>
        <v>23176.968495346846</v>
      </c>
      <c r="AP26" s="226">
        <f t="shared" si="16"/>
        <v>3.5577454103524406E-2</v>
      </c>
      <c r="AS26" s="196">
        <f t="shared" si="17"/>
        <v>651451.01242786425</v>
      </c>
      <c r="AT26" s="86">
        <f t="shared" si="18"/>
        <v>607595.61873467907</v>
      </c>
      <c r="AU26" s="197">
        <f t="shared" si="34"/>
        <v>43855.393693185179</v>
      </c>
      <c r="AV26" s="196">
        <f>IF(B26=0,Fish_Inputs!$C$29,0)</f>
        <v>0</v>
      </c>
      <c r="AW26" s="198">
        <f t="shared" si="5"/>
        <v>0</v>
      </c>
      <c r="AX26" s="197">
        <f t="shared" si="6"/>
        <v>43855.393693185179</v>
      </c>
      <c r="AY26" s="192">
        <f>IF(B26=0,Fish_Inputs!$G$15+Fish_Inputs!$G$16,0)</f>
        <v>0</v>
      </c>
      <c r="AZ26" s="193">
        <f>IF(B26=0,Fish_Inputs!$G$14,0)</f>
        <v>0</v>
      </c>
      <c r="BA26" s="200">
        <f t="shared" si="7"/>
        <v>0</v>
      </c>
      <c r="BB26" s="196">
        <f t="shared" si="8"/>
        <v>43855.393693185179</v>
      </c>
      <c r="BC26" s="196">
        <f>Fish_Inputs!$G$20*AVERAGE(BR26,BS26)</f>
        <v>0</v>
      </c>
      <c r="BD26" s="200">
        <f t="shared" si="9"/>
        <v>9932.9864980057901</v>
      </c>
      <c r="BE26" s="200">
        <f t="shared" si="19"/>
        <v>43855.393693185179</v>
      </c>
      <c r="BF26" s="86">
        <f t="shared" si="20"/>
        <v>33922.407195179389</v>
      </c>
      <c r="BG26" s="197">
        <f t="shared" si="21"/>
        <v>33922.407195179389</v>
      </c>
      <c r="BH26" s="86">
        <f t="shared" si="35"/>
        <v>0</v>
      </c>
      <c r="BI26" s="86">
        <f t="shared" si="36"/>
        <v>0</v>
      </c>
      <c r="BJ26" s="86">
        <f>-Debt_Calc!M24</f>
        <v>0</v>
      </c>
      <c r="BK26" s="86">
        <f>Debt_Calc!N24</f>
        <v>0</v>
      </c>
      <c r="BL26" s="86">
        <f t="shared" si="22"/>
        <v>0</v>
      </c>
      <c r="BM26" s="423">
        <f t="shared" si="37"/>
        <v>0</v>
      </c>
      <c r="BN26" s="86">
        <f t="shared" si="38"/>
        <v>33922.407195179389</v>
      </c>
      <c r="BO26" s="86">
        <f t="shared" si="23"/>
        <v>43855.393693185179</v>
      </c>
      <c r="BP26" s="86">
        <f t="shared" si="39"/>
        <v>33922.407195179389</v>
      </c>
      <c r="BQ26" s="86">
        <f t="shared" si="24"/>
        <v>0</v>
      </c>
      <c r="BR26" s="86">
        <f t="shared" si="25"/>
        <v>0</v>
      </c>
      <c r="BS26" s="86">
        <f t="shared" si="10"/>
        <v>0</v>
      </c>
      <c r="BT26" s="86">
        <f t="shared" si="26"/>
        <v>83678.560647644365</v>
      </c>
      <c r="BU26" s="86">
        <f t="shared" si="40"/>
        <v>2</v>
      </c>
      <c r="BV26" s="214">
        <f t="shared" si="11"/>
        <v>6584.8200767284834</v>
      </c>
    </row>
    <row r="27" spans="2:74" s="86" customFormat="1" x14ac:dyDescent="0.3">
      <c r="B27" s="192">
        <f t="shared" si="27"/>
        <v>16</v>
      </c>
      <c r="C27" s="350">
        <f t="shared" si="12"/>
        <v>2037</v>
      </c>
      <c r="D27" s="351">
        <f t="shared" si="28"/>
        <v>50041</v>
      </c>
      <c r="E27" s="441">
        <f t="shared" si="28"/>
        <v>50405</v>
      </c>
      <c r="F27" s="733">
        <f>IF(AND(B27&gt;0,B27&lt;=Fish_Inputs!$J$17),1,0)</f>
        <v>1</v>
      </c>
      <c r="G27" s="730">
        <f>IF(F27=1,Fish_Inputs!$G$31,0)</f>
        <v>65999.999999999956</v>
      </c>
      <c r="H27" s="446">
        <f>IF(AND(F26=0,F27=1),100%,IF(AND(F26=0,F27=0),100%,H26-Fish_Inputs!$G$41))*F27</f>
        <v>0.99250000000000083</v>
      </c>
      <c r="I27" s="224">
        <f t="shared" si="41"/>
        <v>65505.000000000015</v>
      </c>
      <c r="J27" s="225">
        <f>Fish_Inputs!$J$11</f>
        <v>0.01</v>
      </c>
      <c r="K27" s="444">
        <f>IF(B27=1,Fish_Inputs!$R$15,K26*(1+Fish_CashFlows!J27))*F27</f>
        <v>7.2548383975799249</v>
      </c>
      <c r="L27" s="338">
        <f>IF(B27=1,Fish_Inputs!$R$16,L26*(1+Fish_CashFlows!J27))*F27</f>
        <v>12.824063081017004</v>
      </c>
      <c r="M27" s="86">
        <f>K27*I27*Fish_Inputs!$J$9</f>
        <v>237614.09461673655</v>
      </c>
      <c r="N27" s="214">
        <f>L27*I27*Fish_Inputs!$J$10</f>
        <v>420020.12606100948</v>
      </c>
      <c r="O27" s="423">
        <f t="shared" si="29"/>
        <v>0</v>
      </c>
      <c r="P27" s="122">
        <f>SUM(M27:O27)+IF(B27=Fish_Inputs!$J$17,Fish_Inputs!$J$19,0)</f>
        <v>657634.22067774599</v>
      </c>
      <c r="Q27" s="196">
        <f>IF(B27=1,Fish_Inputs!$O$7,Q26*(1+Fish_Inputs!$N$23))*F27</f>
        <v>522436.02991649939</v>
      </c>
      <c r="R27" s="86">
        <f>IF(B27=1,Fish_Inputs!$O$8,R26*(1+Fish_Inputs!$N$23))*F27</f>
        <v>8923.4512290233106</v>
      </c>
      <c r="S27" s="86">
        <f>IF(B27=1,Fish_Inputs!$O$9,S26*(1+Fish_Inputs!$N$23))*F27</f>
        <v>31187.801855842357</v>
      </c>
      <c r="T27" s="86">
        <f>IF(B27=1,Fish_Inputs!$O$10,T26*(1+Fish_Inputs!$N$23))*F27</f>
        <v>16232.700914585081</v>
      </c>
      <c r="U27" s="86">
        <f>IF(B27=1,Fish_Inputs!$O$11,U26*(1+Fish_Inputs!$N$23))*F27</f>
        <v>20439.298045448515</v>
      </c>
      <c r="V27" s="86">
        <f>IF(B27=1,Fish_Inputs!$O$12,V26*(1+Fish_Inputs!$N$23))*F27</f>
        <v>107.09759198047273</v>
      </c>
      <c r="W27" s="86">
        <f>IF(B27=1,Fish_Inputs!$O$13,W26*(1+Fish_Inputs!$N$23))*F27</f>
        <v>0</v>
      </c>
      <c r="X27" s="86">
        <f>IF(B27=1,Fish_Inputs!$O$14,X26*(1+Fish_Inputs!$N$23))*F27</f>
        <v>3313.0187439684914</v>
      </c>
      <c r="Y27" s="86">
        <f>IF(B27=1,Fish_Inputs!$O$15,Y26*(1+Fish_Inputs!$N$23))*F27</f>
        <v>3313.0187439684914</v>
      </c>
      <c r="Z27" s="86">
        <f>IF(B27=1,Fish_Inputs!$O$16,Z26*(1+Fish_Inputs!$N$23))*F27</f>
        <v>4158.8530842417313</v>
      </c>
      <c r="AA27" s="86">
        <f>IF(B27=1,Fish_Inputs!$O$17,AA26*(1+Fish_Inputs!$N$23))*F27</f>
        <v>3560.304796467994</v>
      </c>
      <c r="AB27" s="102">
        <f>IF(B27=1,Fish_Inputs!$O$18,AB26*(1+Fish_Inputs!$N$23))*F27</f>
        <v>0</v>
      </c>
      <c r="AC27" s="684">
        <f>IF(B27=1,Fish_Inputs!$O$19,AC26*(1+Fish_Inputs!$N$23))*F27</f>
        <v>0</v>
      </c>
      <c r="AD27" s="86">
        <f>IF(B27=1,Fish_Inputs!$O$20,AD26*(1+Fish_Inputs!$N$23))*F27</f>
        <v>0</v>
      </c>
      <c r="AE27" s="86">
        <f>IF(B27=1,Fish_Inputs!$O$21,AE26*(1+Fish_Inputs!$N$23))*F27</f>
        <v>0</v>
      </c>
      <c r="AF27" s="200">
        <f>IF(B27=1,Fish_Inputs!$O$22,AF26*(1+Fish_Inputs!$N$23))*F27</f>
        <v>0</v>
      </c>
      <c r="AG27" s="200">
        <f t="shared" si="30"/>
        <v>613671.57492202567</v>
      </c>
      <c r="AH27" s="86">
        <f t="shared" si="13"/>
        <v>43962.645755720325</v>
      </c>
      <c r="AI27" s="225">
        <f t="shared" si="14"/>
        <v>6.684969299561877E-2</v>
      </c>
      <c r="AJ27" s="457">
        <f>Deprec!C26</f>
        <v>10745.438699832541</v>
      </c>
      <c r="AK27" s="86">
        <f t="shared" si="15"/>
        <v>33217.207055887782</v>
      </c>
      <c r="AL27" s="455">
        <f t="shared" si="31"/>
        <v>0</v>
      </c>
      <c r="AM27" s="86">
        <f t="shared" si="32"/>
        <v>33217.207055887782</v>
      </c>
      <c r="AN27" s="197">
        <f>IF(AM27&lt;0,0,(AM27*Fish_Inputs!$J$14))</f>
        <v>9965.1621167663343</v>
      </c>
      <c r="AO27" s="86">
        <f t="shared" si="33"/>
        <v>23252.04493912145</v>
      </c>
      <c r="AP27" s="226">
        <f t="shared" si="16"/>
        <v>3.5357109177132404E-2</v>
      </c>
      <c r="AS27" s="196">
        <f t="shared" si="17"/>
        <v>657634.22067774599</v>
      </c>
      <c r="AT27" s="86">
        <f t="shared" si="18"/>
        <v>613671.57492202567</v>
      </c>
      <c r="AU27" s="197">
        <f t="shared" si="34"/>
        <v>43962.645755720325</v>
      </c>
      <c r="AV27" s="196">
        <f>IF(B27=0,Fish_Inputs!$C$29,0)</f>
        <v>0</v>
      </c>
      <c r="AW27" s="198">
        <f t="shared" si="5"/>
        <v>0</v>
      </c>
      <c r="AX27" s="197">
        <f t="shared" si="6"/>
        <v>43962.645755720325</v>
      </c>
      <c r="AY27" s="192">
        <f>IF(B27=0,Fish_Inputs!$G$15+Fish_Inputs!$G$16,0)</f>
        <v>0</v>
      </c>
      <c r="AZ27" s="193">
        <f>IF(B27=0,Fish_Inputs!$G$14,0)</f>
        <v>0</v>
      </c>
      <c r="BA27" s="200">
        <f t="shared" si="7"/>
        <v>0</v>
      </c>
      <c r="BB27" s="196">
        <f t="shared" si="8"/>
        <v>43962.645755720325</v>
      </c>
      <c r="BC27" s="196">
        <f>Fish_Inputs!$G$20*AVERAGE(BR27,BS27)</f>
        <v>0</v>
      </c>
      <c r="BD27" s="200">
        <f t="shared" si="9"/>
        <v>9965.1621167663343</v>
      </c>
      <c r="BE27" s="200">
        <f t="shared" si="19"/>
        <v>43962.645755720325</v>
      </c>
      <c r="BF27" s="86">
        <f t="shared" si="20"/>
        <v>33997.483638953992</v>
      </c>
      <c r="BG27" s="197">
        <f t="shared" si="21"/>
        <v>33997.483638953992</v>
      </c>
      <c r="BH27" s="86">
        <f t="shared" si="35"/>
        <v>0</v>
      </c>
      <c r="BI27" s="86">
        <f t="shared" si="36"/>
        <v>0</v>
      </c>
      <c r="BJ27" s="86">
        <f>-Debt_Calc!M25</f>
        <v>0</v>
      </c>
      <c r="BK27" s="86">
        <f>Debt_Calc!N25</f>
        <v>0</v>
      </c>
      <c r="BL27" s="86">
        <f t="shared" si="22"/>
        <v>0</v>
      </c>
      <c r="BM27" s="423">
        <f t="shared" si="37"/>
        <v>0</v>
      </c>
      <c r="BN27" s="86">
        <f t="shared" si="38"/>
        <v>33997.483638953992</v>
      </c>
      <c r="BO27" s="86">
        <f t="shared" si="23"/>
        <v>43962.645755720325</v>
      </c>
      <c r="BP27" s="86">
        <f t="shared" si="39"/>
        <v>33997.483638953992</v>
      </c>
      <c r="BQ27" s="86">
        <f t="shared" si="24"/>
        <v>0</v>
      </c>
      <c r="BR27" s="86">
        <f t="shared" si="25"/>
        <v>0</v>
      </c>
      <c r="BS27" s="86">
        <f t="shared" si="10"/>
        <v>0</v>
      </c>
      <c r="BT27" s="86">
        <f t="shared" si="26"/>
        <v>117676.04428659836</v>
      </c>
      <c r="BU27" s="86">
        <f t="shared" si="40"/>
        <v>2</v>
      </c>
      <c r="BV27" s="214">
        <f t="shared" si="11"/>
        <v>5916.1771979689802</v>
      </c>
    </row>
    <row r="28" spans="2:74" s="86" customFormat="1" x14ac:dyDescent="0.3">
      <c r="B28" s="192">
        <f t="shared" si="27"/>
        <v>17</v>
      </c>
      <c r="C28" s="350">
        <f t="shared" si="12"/>
        <v>2038</v>
      </c>
      <c r="D28" s="351">
        <f t="shared" si="28"/>
        <v>50406</v>
      </c>
      <c r="E28" s="441">
        <f t="shared" si="28"/>
        <v>50770</v>
      </c>
      <c r="F28" s="733">
        <f>IF(AND(B28&gt;0,B28&lt;=Fish_Inputs!$J$17),1,0)</f>
        <v>1</v>
      </c>
      <c r="G28" s="730">
        <f>IF(F28=1,Fish_Inputs!$G$31,0)</f>
        <v>65999.999999999956</v>
      </c>
      <c r="H28" s="446">
        <f>IF(AND(F27=0,F28=1),100%,IF(AND(F27=0,F28=0),100%,H27-Fish_Inputs!$G$41))*F28</f>
        <v>0.99200000000000088</v>
      </c>
      <c r="I28" s="224">
        <f t="shared" si="41"/>
        <v>65472.000000000015</v>
      </c>
      <c r="J28" s="225">
        <f>Fish_Inputs!$J$11</f>
        <v>0.01</v>
      </c>
      <c r="K28" s="444">
        <f>IF(B28=1,Fish_Inputs!$R$15,K27*(1+Fish_CashFlows!J28))*F28</f>
        <v>7.3273867815557239</v>
      </c>
      <c r="L28" s="338">
        <f>IF(B28=1,Fish_Inputs!$R$16,L27*(1+Fish_CashFlows!J28))*F28</f>
        <v>12.952303711827174</v>
      </c>
      <c r="M28" s="86">
        <f>K28*I28*Fish_Inputs!$J$9</f>
        <v>239869.33368100823</v>
      </c>
      <c r="N28" s="214">
        <f>L28*I28*Fish_Inputs!$J$10</f>
        <v>424006.61431037448</v>
      </c>
      <c r="O28" s="423">
        <f t="shared" si="29"/>
        <v>0</v>
      </c>
      <c r="P28" s="122">
        <f>SUM(M28:O28)+IF(B28=Fish_Inputs!$J$17,Fish_Inputs!$J$19,0)</f>
        <v>663875.94799138268</v>
      </c>
      <c r="Q28" s="196">
        <f>IF(B28=1,Fish_Inputs!$O$7,Q27*(1+Fish_Inputs!$N$23))*F28</f>
        <v>527660.3902156644</v>
      </c>
      <c r="R28" s="86">
        <f>IF(B28=1,Fish_Inputs!$O$8,R27*(1+Fish_Inputs!$N$23))*F28</f>
        <v>9012.685741313544</v>
      </c>
      <c r="S28" s="86">
        <f>IF(B28=1,Fish_Inputs!$O$9,S27*(1+Fish_Inputs!$N$23))*F28</f>
        <v>31499.679874400783</v>
      </c>
      <c r="T28" s="86">
        <f>IF(B28=1,Fish_Inputs!$O$10,T27*(1+Fish_Inputs!$N$23))*F28</f>
        <v>16395.027923730933</v>
      </c>
      <c r="U28" s="86">
        <f>IF(B28=1,Fish_Inputs!$O$11,U27*(1+Fish_Inputs!$N$23))*F28</f>
        <v>20643.691025903001</v>
      </c>
      <c r="V28" s="86">
        <f>IF(B28=1,Fish_Inputs!$O$12,V27*(1+Fish_Inputs!$N$23))*F28</f>
        <v>108.16856790027745</v>
      </c>
      <c r="W28" s="86">
        <f>IF(B28=1,Fish_Inputs!$O$13,W27*(1+Fish_Inputs!$N$23))*F28</f>
        <v>0</v>
      </c>
      <c r="X28" s="86">
        <f>IF(B28=1,Fish_Inputs!$O$14,X27*(1+Fish_Inputs!$N$23))*F28</f>
        <v>3346.1489314081764</v>
      </c>
      <c r="Y28" s="86">
        <f>IF(B28=1,Fish_Inputs!$O$15,Y27*(1+Fish_Inputs!$N$23))*F28</f>
        <v>3346.1489314081764</v>
      </c>
      <c r="Z28" s="86">
        <f>IF(B28=1,Fish_Inputs!$O$16,Z27*(1+Fish_Inputs!$N$23))*F28</f>
        <v>4200.4416150841489</v>
      </c>
      <c r="AA28" s="86">
        <f>IF(B28=1,Fish_Inputs!$O$17,AA27*(1+Fish_Inputs!$N$23))*F28</f>
        <v>3595.9078444326742</v>
      </c>
      <c r="AB28" s="102">
        <f>IF(B28=1,Fish_Inputs!$O$18,AB27*(1+Fish_Inputs!$N$23))*F28</f>
        <v>0</v>
      </c>
      <c r="AC28" s="684">
        <f>IF(B28=1,Fish_Inputs!$O$19,AC27*(1+Fish_Inputs!$N$23))*F28</f>
        <v>0</v>
      </c>
      <c r="AD28" s="86">
        <f>IF(B28=1,Fish_Inputs!$O$20,AD27*(1+Fish_Inputs!$N$23))*F28</f>
        <v>0</v>
      </c>
      <c r="AE28" s="86">
        <f>IF(B28=1,Fish_Inputs!$O$21,AE27*(1+Fish_Inputs!$N$23))*F28</f>
        <v>0</v>
      </c>
      <c r="AF28" s="200">
        <f>IF(B28=1,Fish_Inputs!$O$22,AF27*(1+Fish_Inputs!$N$23))*F28</f>
        <v>0</v>
      </c>
      <c r="AG28" s="200">
        <f t="shared" si="30"/>
        <v>619808.29067124613</v>
      </c>
      <c r="AH28" s="86">
        <f t="shared" si="13"/>
        <v>44067.657320136554</v>
      </c>
      <c r="AI28" s="225">
        <f t="shared" si="14"/>
        <v>6.6379355139265517E-2</v>
      </c>
      <c r="AJ28" s="457">
        <f>Deprec!C27</f>
        <v>10745.438699832541</v>
      </c>
      <c r="AK28" s="86">
        <f t="shared" si="15"/>
        <v>33322.218620304011</v>
      </c>
      <c r="AL28" s="455">
        <f t="shared" si="31"/>
        <v>0</v>
      </c>
      <c r="AM28" s="86">
        <f t="shared" si="32"/>
        <v>33322.218620304011</v>
      </c>
      <c r="AN28" s="197">
        <f>IF(AM28&lt;0,0,(AM28*Fish_Inputs!$J$14))</f>
        <v>9996.6655860912033</v>
      </c>
      <c r="AO28" s="86">
        <f t="shared" si="33"/>
        <v>23325.553034212808</v>
      </c>
      <c r="AP28" s="226">
        <f t="shared" si="16"/>
        <v>3.5135409114890215E-2</v>
      </c>
      <c r="AS28" s="196">
        <f t="shared" si="17"/>
        <v>663875.94799138268</v>
      </c>
      <c r="AT28" s="86">
        <f t="shared" si="18"/>
        <v>619808.29067124613</v>
      </c>
      <c r="AU28" s="197">
        <f t="shared" si="34"/>
        <v>44067.657320136554</v>
      </c>
      <c r="AV28" s="196">
        <f>IF(B28=0,Fish_Inputs!$C$29,0)</f>
        <v>0</v>
      </c>
      <c r="AW28" s="198">
        <f t="shared" si="5"/>
        <v>0</v>
      </c>
      <c r="AX28" s="197">
        <f t="shared" si="6"/>
        <v>44067.657320136554</v>
      </c>
      <c r="AY28" s="192">
        <f>IF(B28=0,Fish_Inputs!$G$15+Fish_Inputs!$G$16,0)</f>
        <v>0</v>
      </c>
      <c r="AZ28" s="193">
        <f>IF(B28=0,Fish_Inputs!$G$14,0)</f>
        <v>0</v>
      </c>
      <c r="BA28" s="200">
        <f t="shared" si="7"/>
        <v>0</v>
      </c>
      <c r="BB28" s="196">
        <f t="shared" si="8"/>
        <v>44067.657320136554</v>
      </c>
      <c r="BC28" s="196">
        <f>Fish_Inputs!$G$20*AVERAGE(BR28,BS28)</f>
        <v>0</v>
      </c>
      <c r="BD28" s="200">
        <f t="shared" si="9"/>
        <v>9996.6655860912033</v>
      </c>
      <c r="BE28" s="200">
        <f t="shared" si="19"/>
        <v>44067.657320136554</v>
      </c>
      <c r="BF28" s="86">
        <f t="shared" si="20"/>
        <v>34070.991734045354</v>
      </c>
      <c r="BG28" s="197">
        <f t="shared" si="21"/>
        <v>34070.991734045354</v>
      </c>
      <c r="BH28" s="86">
        <f t="shared" si="35"/>
        <v>0</v>
      </c>
      <c r="BI28" s="86">
        <f t="shared" si="36"/>
        <v>0</v>
      </c>
      <c r="BJ28" s="86">
        <f>-Debt_Calc!M26</f>
        <v>0</v>
      </c>
      <c r="BK28" s="86">
        <f>Debt_Calc!N26</f>
        <v>0</v>
      </c>
      <c r="BL28" s="86">
        <f t="shared" si="22"/>
        <v>0</v>
      </c>
      <c r="BM28" s="423">
        <f t="shared" si="37"/>
        <v>0</v>
      </c>
      <c r="BN28" s="86">
        <f t="shared" si="38"/>
        <v>34070.991734045354</v>
      </c>
      <c r="BO28" s="86">
        <f t="shared" si="23"/>
        <v>44067.657320136554</v>
      </c>
      <c r="BP28" s="86">
        <f t="shared" si="39"/>
        <v>34070.991734045354</v>
      </c>
      <c r="BQ28" s="86">
        <f t="shared" si="24"/>
        <v>0</v>
      </c>
      <c r="BR28" s="86">
        <f t="shared" si="25"/>
        <v>0</v>
      </c>
      <c r="BS28" s="86">
        <f t="shared" si="10"/>
        <v>0</v>
      </c>
      <c r="BT28" s="86">
        <f t="shared" si="26"/>
        <v>151747.03602064372</v>
      </c>
      <c r="BU28" s="86">
        <f t="shared" si="40"/>
        <v>2</v>
      </c>
      <c r="BV28" s="214">
        <f t="shared" si="11"/>
        <v>5315.1597858382011</v>
      </c>
    </row>
    <row r="29" spans="2:74" s="86" customFormat="1" x14ac:dyDescent="0.3">
      <c r="B29" s="192">
        <f t="shared" si="27"/>
        <v>18</v>
      </c>
      <c r="C29" s="350">
        <f t="shared" si="12"/>
        <v>2039</v>
      </c>
      <c r="D29" s="351">
        <f t="shared" ref="D29:E44" si="42">EDATE(D28,12)</f>
        <v>50771</v>
      </c>
      <c r="E29" s="441">
        <f t="shared" si="42"/>
        <v>51135</v>
      </c>
      <c r="F29" s="733">
        <f>IF(AND(B29&gt;0,B29&lt;=Fish_Inputs!$J$17),1,0)</f>
        <v>1</v>
      </c>
      <c r="G29" s="730">
        <f>IF(F29=1,Fish_Inputs!$G$31,0)</f>
        <v>65999.999999999956</v>
      </c>
      <c r="H29" s="446">
        <f>IF(AND(F28=0,F29=1),100%,IF(AND(F28=0,F29=0),100%,H28-Fish_Inputs!$G$41))*F29</f>
        <v>0.99150000000000094</v>
      </c>
      <c r="I29" s="224">
        <f t="shared" si="41"/>
        <v>65439.000000000022</v>
      </c>
      <c r="J29" s="225">
        <f>Fish_Inputs!$J$11</f>
        <v>0.01</v>
      </c>
      <c r="K29" s="444">
        <f>IF(B29=1,Fish_Inputs!$R$15,K28*(1+Fish_CashFlows!J29))*F29</f>
        <v>7.4006606493712814</v>
      </c>
      <c r="L29" s="338">
        <f>IF(B29=1,Fish_Inputs!$R$16,L28*(1+Fish_CashFlows!J29))*F29</f>
        <v>13.081826748945446</v>
      </c>
      <c r="M29" s="86">
        <f>K29*I29*Fish_Inputs!$J$9</f>
        <v>242145.91611710371</v>
      </c>
      <c r="N29" s="214">
        <f>L29*I29*Fish_Inputs!$J$10</f>
        <v>428030.83031212067</v>
      </c>
      <c r="O29" s="423">
        <f t="shared" si="29"/>
        <v>0</v>
      </c>
      <c r="P29" s="122">
        <f>SUM(M29:O29)+IF(B29=Fish_Inputs!$J$17,Fish_Inputs!$J$19,0)</f>
        <v>670176.74642922438</v>
      </c>
      <c r="Q29" s="196">
        <f>IF(B29=1,Fish_Inputs!$O$7,Q28*(1+Fish_Inputs!$N$23))*F29</f>
        <v>532936.9941178211</v>
      </c>
      <c r="R29" s="86">
        <f>IF(B29=1,Fish_Inputs!$O$8,R28*(1+Fish_Inputs!$N$23))*F29</f>
        <v>9102.8125987266794</v>
      </c>
      <c r="S29" s="86">
        <f>IF(B29=1,Fish_Inputs!$O$9,S28*(1+Fish_Inputs!$N$23))*F29</f>
        <v>31814.67667314479</v>
      </c>
      <c r="T29" s="86">
        <f>IF(B29=1,Fish_Inputs!$O$10,T28*(1+Fish_Inputs!$N$23))*F29</f>
        <v>16558.978202968243</v>
      </c>
      <c r="U29" s="86">
        <f>IF(B29=1,Fish_Inputs!$O$11,U28*(1+Fish_Inputs!$N$23))*F29</f>
        <v>20850.127936162033</v>
      </c>
      <c r="V29" s="86">
        <f>IF(B29=1,Fish_Inputs!$O$12,V28*(1+Fish_Inputs!$N$23))*F29</f>
        <v>109.25025357928023</v>
      </c>
      <c r="W29" s="86">
        <f>IF(B29=1,Fish_Inputs!$O$13,W28*(1+Fish_Inputs!$N$23))*F29</f>
        <v>0</v>
      </c>
      <c r="X29" s="86">
        <f>IF(B29=1,Fish_Inputs!$O$14,X28*(1+Fish_Inputs!$N$23))*F29</f>
        <v>3379.6104207222584</v>
      </c>
      <c r="Y29" s="86">
        <f>IF(B29=1,Fish_Inputs!$O$15,Y28*(1+Fish_Inputs!$N$23))*F29</f>
        <v>3379.6104207222584</v>
      </c>
      <c r="Z29" s="86">
        <f>IF(B29=1,Fish_Inputs!$O$16,Z28*(1+Fish_Inputs!$N$23))*F29</f>
        <v>4242.4460312349902</v>
      </c>
      <c r="AA29" s="86">
        <f>IF(B29=1,Fish_Inputs!$O$17,AA28*(1+Fish_Inputs!$N$23))*F29</f>
        <v>3631.8669228770009</v>
      </c>
      <c r="AB29" s="102">
        <f>IF(B29=1,Fish_Inputs!$O$18,AB28*(1+Fish_Inputs!$N$23))*F29</f>
        <v>0</v>
      </c>
      <c r="AC29" s="684">
        <f>IF(B29=1,Fish_Inputs!$O$19,AC28*(1+Fish_Inputs!$N$23))*F29</f>
        <v>0</v>
      </c>
      <c r="AD29" s="86">
        <f>IF(B29=1,Fish_Inputs!$O$20,AD28*(1+Fish_Inputs!$N$23))*F29</f>
        <v>0</v>
      </c>
      <c r="AE29" s="86">
        <f>IF(B29=1,Fish_Inputs!$O$21,AE28*(1+Fish_Inputs!$N$23))*F29</f>
        <v>0</v>
      </c>
      <c r="AF29" s="200">
        <f>IF(B29=1,Fish_Inputs!$O$22,AF28*(1+Fish_Inputs!$N$23))*F29</f>
        <v>0</v>
      </c>
      <c r="AG29" s="200">
        <f t="shared" si="30"/>
        <v>626006.37357795879</v>
      </c>
      <c r="AH29" s="86">
        <f t="shared" si="13"/>
        <v>44170.372851265594</v>
      </c>
      <c r="AI29" s="225">
        <f t="shared" si="14"/>
        <v>6.5908542912910983E-2</v>
      </c>
      <c r="AJ29" s="457">
        <f>Deprec!C28</f>
        <v>10745.438699832541</v>
      </c>
      <c r="AK29" s="86">
        <f t="shared" si="15"/>
        <v>33424.934151433052</v>
      </c>
      <c r="AL29" s="455">
        <f t="shared" si="31"/>
        <v>0</v>
      </c>
      <c r="AM29" s="86">
        <f t="shared" si="32"/>
        <v>33424.934151433052</v>
      </c>
      <c r="AN29" s="197">
        <f>IF(AM29&lt;0,0,(AM29*Fish_Inputs!$J$14))</f>
        <v>10027.480245429915</v>
      </c>
      <c r="AO29" s="86">
        <f t="shared" si="33"/>
        <v>23397.453906003138</v>
      </c>
      <c r="AP29" s="226">
        <f t="shared" si="16"/>
        <v>3.4912363090285295E-2</v>
      </c>
      <c r="AS29" s="196">
        <f t="shared" si="17"/>
        <v>670176.74642922438</v>
      </c>
      <c r="AT29" s="86">
        <f t="shared" si="18"/>
        <v>626006.37357795879</v>
      </c>
      <c r="AU29" s="197">
        <f t="shared" si="34"/>
        <v>44170.372851265594</v>
      </c>
      <c r="AV29" s="196">
        <f>IF(B29=0,Fish_Inputs!$C$29,0)</f>
        <v>0</v>
      </c>
      <c r="AW29" s="198">
        <f t="shared" si="5"/>
        <v>0</v>
      </c>
      <c r="AX29" s="197">
        <f t="shared" si="6"/>
        <v>44170.372851265594</v>
      </c>
      <c r="AY29" s="192">
        <f>IF(B29=0,Fish_Inputs!$G$15+Fish_Inputs!$G$16,0)</f>
        <v>0</v>
      </c>
      <c r="AZ29" s="193">
        <f>IF(B29=0,Fish_Inputs!$G$14,0)</f>
        <v>0</v>
      </c>
      <c r="BA29" s="200">
        <f t="shared" si="7"/>
        <v>0</v>
      </c>
      <c r="BB29" s="196">
        <f t="shared" si="8"/>
        <v>44170.372851265594</v>
      </c>
      <c r="BC29" s="196">
        <f>Fish_Inputs!$G$20*AVERAGE(BR29,BS29)</f>
        <v>0</v>
      </c>
      <c r="BD29" s="200">
        <f t="shared" si="9"/>
        <v>10027.480245429915</v>
      </c>
      <c r="BE29" s="200">
        <f t="shared" si="19"/>
        <v>44170.372851265594</v>
      </c>
      <c r="BF29" s="86">
        <f t="shared" si="20"/>
        <v>34142.892605835681</v>
      </c>
      <c r="BG29" s="197">
        <f t="shared" si="21"/>
        <v>34142.892605835681</v>
      </c>
      <c r="BH29" s="86">
        <f t="shared" si="35"/>
        <v>0</v>
      </c>
      <c r="BI29" s="86">
        <f t="shared" si="36"/>
        <v>0</v>
      </c>
      <c r="BJ29" s="86">
        <f>-Debt_Calc!M27</f>
        <v>0</v>
      </c>
      <c r="BK29" s="86">
        <f>Debt_Calc!N27</f>
        <v>0</v>
      </c>
      <c r="BL29" s="86">
        <f t="shared" si="22"/>
        <v>0</v>
      </c>
      <c r="BM29" s="423">
        <f t="shared" si="37"/>
        <v>0</v>
      </c>
      <c r="BN29" s="86">
        <f t="shared" si="38"/>
        <v>34142.892605835681</v>
      </c>
      <c r="BO29" s="86">
        <f t="shared" si="23"/>
        <v>44170.372851265594</v>
      </c>
      <c r="BP29" s="86">
        <f t="shared" si="39"/>
        <v>34142.892605835681</v>
      </c>
      <c r="BQ29" s="86">
        <f t="shared" si="24"/>
        <v>0</v>
      </c>
      <c r="BR29" s="86">
        <f t="shared" si="25"/>
        <v>0</v>
      </c>
      <c r="BS29" s="86">
        <f t="shared" si="10"/>
        <v>0</v>
      </c>
      <c r="BT29" s="86">
        <f t="shared" si="26"/>
        <v>185889.92862647941</v>
      </c>
      <c r="BU29" s="86">
        <f t="shared" si="40"/>
        <v>2</v>
      </c>
      <c r="BV29" s="214">
        <f t="shared" si="11"/>
        <v>4774.9520175095795</v>
      </c>
    </row>
    <row r="30" spans="2:74" s="86" customFormat="1" x14ac:dyDescent="0.3">
      <c r="B30" s="192">
        <f t="shared" si="27"/>
        <v>19</v>
      </c>
      <c r="C30" s="350">
        <f t="shared" si="12"/>
        <v>2040</v>
      </c>
      <c r="D30" s="351">
        <f t="shared" si="42"/>
        <v>51136</v>
      </c>
      <c r="E30" s="441">
        <f t="shared" si="42"/>
        <v>51501</v>
      </c>
      <c r="F30" s="733">
        <f>IF(AND(B30&gt;0,B30&lt;=Fish_Inputs!$J$17),1,0)</f>
        <v>1</v>
      </c>
      <c r="G30" s="730">
        <f>IF(F30=1,Fish_Inputs!$G$31,0)</f>
        <v>65999.999999999956</v>
      </c>
      <c r="H30" s="446">
        <f>IF(AND(F29=0,F30=1),100%,IF(AND(F29=0,F30=0),100%,H29-Fish_Inputs!$G$41))*F30</f>
        <v>0.99100000000000099</v>
      </c>
      <c r="I30" s="224">
        <f t="shared" si="41"/>
        <v>65406.000000000022</v>
      </c>
      <c r="J30" s="225">
        <f>Fish_Inputs!$J$11</f>
        <v>0.01</v>
      </c>
      <c r="K30" s="444">
        <f>IF(B30=1,Fish_Inputs!$R$15,K29*(1+Fish_CashFlows!J30))*F30</f>
        <v>7.4746672558649943</v>
      </c>
      <c r="L30" s="338">
        <f>IF(B30=1,Fish_Inputs!$R$16,L29*(1+Fish_CashFlows!J30))*F30</f>
        <v>13.2126450164349</v>
      </c>
      <c r="M30" s="86">
        <f>K30*I30*Fish_Inputs!$J$9</f>
        <v>244444.04326855298</v>
      </c>
      <c r="N30" s="214">
        <f>L30*I30*Fish_Inputs!$J$10</f>
        <v>432093.12997247069</v>
      </c>
      <c r="O30" s="423">
        <f t="shared" si="29"/>
        <v>0</v>
      </c>
      <c r="P30" s="122">
        <f>SUM(M30:O30)+IF(B30=Fish_Inputs!$J$17,Fish_Inputs!$J$19,0)</f>
        <v>676537.17324102367</v>
      </c>
      <c r="Q30" s="196">
        <f>IF(B30=1,Fish_Inputs!$O$7,Q29*(1+Fish_Inputs!$N$23))*F30</f>
        <v>538266.36405899934</v>
      </c>
      <c r="R30" s="86">
        <f>IF(B30=1,Fish_Inputs!$O$8,R29*(1+Fish_Inputs!$N$23))*F30</f>
        <v>9193.8407247139457</v>
      </c>
      <c r="S30" s="86">
        <f>IF(B30=1,Fish_Inputs!$O$9,S29*(1+Fish_Inputs!$N$23))*F30</f>
        <v>32132.823439876236</v>
      </c>
      <c r="T30" s="86">
        <f>IF(B30=1,Fish_Inputs!$O$10,T29*(1+Fish_Inputs!$N$23))*F30</f>
        <v>16724.567984997924</v>
      </c>
      <c r="U30" s="86">
        <f>IF(B30=1,Fish_Inputs!$O$11,U29*(1+Fish_Inputs!$N$23))*F30</f>
        <v>21058.629215523652</v>
      </c>
      <c r="V30" s="86">
        <f>IF(B30=1,Fish_Inputs!$O$12,V29*(1+Fish_Inputs!$N$23))*F30</f>
        <v>110.34275611507303</v>
      </c>
      <c r="W30" s="86">
        <f>IF(B30=1,Fish_Inputs!$O$13,W29*(1+Fish_Inputs!$N$23))*F30</f>
        <v>0</v>
      </c>
      <c r="X30" s="86">
        <f>IF(B30=1,Fish_Inputs!$O$14,X29*(1+Fish_Inputs!$N$23))*F30</f>
        <v>3413.4065249294808</v>
      </c>
      <c r="Y30" s="86">
        <f>IF(B30=1,Fish_Inputs!$O$15,Y29*(1+Fish_Inputs!$N$23))*F30</f>
        <v>3413.4065249294808</v>
      </c>
      <c r="Z30" s="86">
        <f>IF(B30=1,Fish_Inputs!$O$16,Z29*(1+Fish_Inputs!$N$23))*F30</f>
        <v>4284.87049154734</v>
      </c>
      <c r="AA30" s="86">
        <f>IF(B30=1,Fish_Inputs!$O$17,AA29*(1+Fish_Inputs!$N$23))*F30</f>
        <v>3668.1855921057709</v>
      </c>
      <c r="AB30" s="102">
        <f>IF(B30=1,Fish_Inputs!$O$18,AB29*(1+Fish_Inputs!$N$23))*F30</f>
        <v>0</v>
      </c>
      <c r="AC30" s="684">
        <f>IF(B30=1,Fish_Inputs!$O$19,AC29*(1+Fish_Inputs!$N$23))*F30</f>
        <v>0</v>
      </c>
      <c r="AD30" s="86">
        <f>IF(B30=1,Fish_Inputs!$O$20,AD29*(1+Fish_Inputs!$N$23))*F30</f>
        <v>0</v>
      </c>
      <c r="AE30" s="86">
        <f>IF(B30=1,Fish_Inputs!$O$21,AE29*(1+Fish_Inputs!$N$23))*F30</f>
        <v>0</v>
      </c>
      <c r="AF30" s="200">
        <f>IF(B30=1,Fish_Inputs!$O$22,AF29*(1+Fish_Inputs!$N$23))*F30</f>
        <v>0</v>
      </c>
      <c r="AG30" s="200">
        <f t="shared" si="30"/>
        <v>632266.43731373805</v>
      </c>
      <c r="AH30" s="86">
        <f t="shared" si="13"/>
        <v>44270.735927285627</v>
      </c>
      <c r="AI30" s="225">
        <f t="shared" si="14"/>
        <v>6.5437255598538552E-2</v>
      </c>
      <c r="AJ30" s="457">
        <f>Deprec!C29</f>
        <v>10745.438699832541</v>
      </c>
      <c r="AK30" s="86">
        <f t="shared" si="15"/>
        <v>33525.297227453084</v>
      </c>
      <c r="AL30" s="455">
        <f t="shared" si="31"/>
        <v>0</v>
      </c>
      <c r="AM30" s="86">
        <f t="shared" si="32"/>
        <v>33525.297227453084</v>
      </c>
      <c r="AN30" s="197">
        <f>IF(AM30&lt;0,0,(AM30*Fish_Inputs!$J$14))</f>
        <v>10057.589168235925</v>
      </c>
      <c r="AO30" s="86">
        <f t="shared" si="33"/>
        <v>23467.708059217159</v>
      </c>
      <c r="AP30" s="226">
        <f t="shared" si="16"/>
        <v>3.4687980184137691E-2</v>
      </c>
      <c r="AS30" s="196">
        <f t="shared" si="17"/>
        <v>676537.17324102367</v>
      </c>
      <c r="AT30" s="86">
        <f t="shared" si="18"/>
        <v>632266.43731373805</v>
      </c>
      <c r="AU30" s="197">
        <f t="shared" si="34"/>
        <v>44270.735927285627</v>
      </c>
      <c r="AV30" s="196">
        <f>IF(B30=0,Fish_Inputs!$C$29,0)</f>
        <v>0</v>
      </c>
      <c r="AW30" s="198">
        <f t="shared" si="5"/>
        <v>0</v>
      </c>
      <c r="AX30" s="197">
        <f t="shared" si="6"/>
        <v>44270.735927285627</v>
      </c>
      <c r="AY30" s="192">
        <f>IF(B30=0,Fish_Inputs!$G$15+Fish_Inputs!$G$16,0)</f>
        <v>0</v>
      </c>
      <c r="AZ30" s="193">
        <f>IF(B30=0,Fish_Inputs!$G$14,0)</f>
        <v>0</v>
      </c>
      <c r="BA30" s="200">
        <f t="shared" si="7"/>
        <v>0</v>
      </c>
      <c r="BB30" s="196">
        <f t="shared" si="8"/>
        <v>44270.735927285627</v>
      </c>
      <c r="BC30" s="196">
        <f>Fish_Inputs!$G$20*AVERAGE(BR30,BS30)</f>
        <v>0</v>
      </c>
      <c r="BD30" s="200">
        <f t="shared" si="9"/>
        <v>10057.589168235925</v>
      </c>
      <c r="BE30" s="200">
        <f t="shared" si="19"/>
        <v>44270.735927285627</v>
      </c>
      <c r="BF30" s="86">
        <f t="shared" si="20"/>
        <v>34213.146759049705</v>
      </c>
      <c r="BG30" s="197">
        <f t="shared" si="21"/>
        <v>34213.146759049705</v>
      </c>
      <c r="BH30" s="86">
        <f t="shared" si="35"/>
        <v>0</v>
      </c>
      <c r="BI30" s="86">
        <f t="shared" si="36"/>
        <v>0</v>
      </c>
      <c r="BJ30" s="86">
        <f>-Debt_Calc!M28</f>
        <v>0</v>
      </c>
      <c r="BK30" s="86">
        <f>Debt_Calc!N28</f>
        <v>0</v>
      </c>
      <c r="BL30" s="86">
        <f t="shared" si="22"/>
        <v>0</v>
      </c>
      <c r="BM30" s="423">
        <f t="shared" si="37"/>
        <v>0</v>
      </c>
      <c r="BN30" s="86">
        <f t="shared" si="38"/>
        <v>34213.146759049705</v>
      </c>
      <c r="BO30" s="86">
        <f t="shared" si="23"/>
        <v>44270.735927285627</v>
      </c>
      <c r="BP30" s="86">
        <f t="shared" si="39"/>
        <v>34213.146759049705</v>
      </c>
      <c r="BQ30" s="86">
        <f t="shared" si="24"/>
        <v>0</v>
      </c>
      <c r="BR30" s="86">
        <f t="shared" si="25"/>
        <v>0</v>
      </c>
      <c r="BS30" s="86">
        <f t="shared" si="10"/>
        <v>0</v>
      </c>
      <c r="BT30" s="86">
        <f t="shared" si="26"/>
        <v>220103.07538552911</v>
      </c>
      <c r="BU30" s="86">
        <f t="shared" si="40"/>
        <v>2</v>
      </c>
      <c r="BV30" s="214">
        <f t="shared" si="11"/>
        <v>4289.4229401497078</v>
      </c>
    </row>
    <row r="31" spans="2:74" s="86" customFormat="1" x14ac:dyDescent="0.3">
      <c r="B31" s="192">
        <f t="shared" si="27"/>
        <v>20</v>
      </c>
      <c r="C31" s="350">
        <f t="shared" si="12"/>
        <v>2041</v>
      </c>
      <c r="D31" s="351">
        <f t="shared" si="42"/>
        <v>51502</v>
      </c>
      <c r="E31" s="441">
        <f t="shared" si="42"/>
        <v>51866</v>
      </c>
      <c r="F31" s="733">
        <f>IF(AND(B31&gt;0,B31&lt;=Fish_Inputs!$J$17),1,0)</f>
        <v>1</v>
      </c>
      <c r="G31" s="730">
        <f>IF(F31=1,Fish_Inputs!$G$31,0)</f>
        <v>65999.999999999956</v>
      </c>
      <c r="H31" s="446">
        <f>IF(AND(F30=0,F31=1),100%,IF(AND(F30=0,F31=0),100%,H30-Fish_Inputs!$G$41))*F31</f>
        <v>0.99050000000000105</v>
      </c>
      <c r="I31" s="224">
        <f t="shared" si="41"/>
        <v>65373.000000000029</v>
      </c>
      <c r="J31" s="225">
        <f>Fish_Inputs!$J$11</f>
        <v>0.01</v>
      </c>
      <c r="K31" s="444">
        <f>IF(B31=1,Fish_Inputs!$R$15,K30*(1+Fish_CashFlows!J31))*F31</f>
        <v>7.5494139284236441</v>
      </c>
      <c r="L31" s="338">
        <f>IF(B31=1,Fish_Inputs!$R$16,L30*(1+Fish_CashFlows!J31))*F31</f>
        <v>13.34477146659925</v>
      </c>
      <c r="M31" s="86">
        <f>K31*I31*Fish_Inputs!$J$9</f>
        <v>246763.91837141954</v>
      </c>
      <c r="N31" s="214">
        <f>L31*I31*Fish_Inputs!$J$10</f>
        <v>436193.87254299654</v>
      </c>
      <c r="O31" s="423">
        <f t="shared" si="29"/>
        <v>0</v>
      </c>
      <c r="P31" s="122">
        <f>SUM(M31:O31)+IF(B31=Fish_Inputs!$J$17,Fish_Inputs!$J$19,0)</f>
        <v>682957.79091441608</v>
      </c>
      <c r="Q31" s="196">
        <f>IF(B31=1,Fish_Inputs!$O$7,Q30*(1+Fish_Inputs!$N$23))*F31</f>
        <v>543649.02769958938</v>
      </c>
      <c r="R31" s="86">
        <f>IF(B31=1,Fish_Inputs!$O$8,R30*(1+Fish_Inputs!$N$23))*F31</f>
        <v>9285.779131961086</v>
      </c>
      <c r="S31" s="86">
        <f>IF(B31=1,Fish_Inputs!$O$9,S30*(1+Fish_Inputs!$N$23))*F31</f>
        <v>32454.151674274999</v>
      </c>
      <c r="T31" s="86">
        <f>IF(B31=1,Fish_Inputs!$O$10,T30*(1+Fish_Inputs!$N$23))*F31</f>
        <v>16891.813664847905</v>
      </c>
      <c r="U31" s="86">
        <f>IF(B31=1,Fish_Inputs!$O$11,U30*(1+Fish_Inputs!$N$23))*F31</f>
        <v>21269.215507678888</v>
      </c>
      <c r="V31" s="86">
        <f>IF(B31=1,Fish_Inputs!$O$12,V30*(1+Fish_Inputs!$N$23))*F31</f>
        <v>111.44618367622377</v>
      </c>
      <c r="W31" s="86">
        <f>IF(B31=1,Fish_Inputs!$O$13,W30*(1+Fish_Inputs!$N$23))*F31</f>
        <v>0</v>
      </c>
      <c r="X31" s="86">
        <f>IF(B31=1,Fish_Inputs!$O$14,X30*(1+Fish_Inputs!$N$23))*F31</f>
        <v>3447.5405901787758</v>
      </c>
      <c r="Y31" s="86">
        <f>IF(B31=1,Fish_Inputs!$O$15,Y30*(1+Fish_Inputs!$N$23))*F31</f>
        <v>3447.5405901787758</v>
      </c>
      <c r="Z31" s="86">
        <f>IF(B31=1,Fish_Inputs!$O$16,Z30*(1+Fish_Inputs!$N$23))*F31</f>
        <v>4327.7191964628137</v>
      </c>
      <c r="AA31" s="86">
        <f>IF(B31=1,Fish_Inputs!$O$17,AA30*(1+Fish_Inputs!$N$23))*F31</f>
        <v>3704.8674480268287</v>
      </c>
      <c r="AB31" s="102">
        <f>IF(B31=1,Fish_Inputs!$O$18,AB30*(1+Fish_Inputs!$N$23))*F31</f>
        <v>0</v>
      </c>
      <c r="AC31" s="684">
        <f>IF(B31=1,Fish_Inputs!$O$19,AC30*(1+Fish_Inputs!$N$23))*F31</f>
        <v>0</v>
      </c>
      <c r="AD31" s="86">
        <f>IF(B31=1,Fish_Inputs!$O$20,AD30*(1+Fish_Inputs!$N$23))*F31</f>
        <v>0</v>
      </c>
      <c r="AE31" s="86">
        <f>IF(B31=1,Fish_Inputs!$O$21,AE30*(1+Fish_Inputs!$N$23))*F31</f>
        <v>0</v>
      </c>
      <c r="AF31" s="200">
        <f>IF(B31=1,Fish_Inputs!$O$22,AF30*(1+Fish_Inputs!$N$23))*F31</f>
        <v>0</v>
      </c>
      <c r="AG31" s="200">
        <f t="shared" si="30"/>
        <v>638589.10168687569</v>
      </c>
      <c r="AH31" s="86">
        <f t="shared" si="13"/>
        <v>44368.689227540395</v>
      </c>
      <c r="AI31" s="225">
        <f t="shared" si="14"/>
        <v>6.4965492476679862E-2</v>
      </c>
      <c r="AJ31" s="457">
        <f>Deprec!C30</f>
        <v>10745.438699832541</v>
      </c>
      <c r="AK31" s="86">
        <f t="shared" si="15"/>
        <v>33623.250527707853</v>
      </c>
      <c r="AL31" s="455">
        <f t="shared" si="31"/>
        <v>0</v>
      </c>
      <c r="AM31" s="86">
        <f t="shared" si="32"/>
        <v>33623.250527707853</v>
      </c>
      <c r="AN31" s="197">
        <f>IF(AM31&lt;0,0,(AM31*Fish_Inputs!$J$14))</f>
        <v>10086.975158312356</v>
      </c>
      <c r="AO31" s="86">
        <f t="shared" si="33"/>
        <v>23536.275369395495</v>
      </c>
      <c r="AP31" s="226">
        <f t="shared" si="16"/>
        <v>3.4462269385466184E-2</v>
      </c>
      <c r="AS31" s="196">
        <f t="shared" si="17"/>
        <v>682957.79091441608</v>
      </c>
      <c r="AT31" s="86">
        <f t="shared" si="18"/>
        <v>638589.10168687569</v>
      </c>
      <c r="AU31" s="197">
        <f t="shared" si="34"/>
        <v>44368.689227540395</v>
      </c>
      <c r="AV31" s="196">
        <f>IF(B31=0,Fish_Inputs!$C$29,0)</f>
        <v>0</v>
      </c>
      <c r="AW31" s="198">
        <f t="shared" si="5"/>
        <v>0</v>
      </c>
      <c r="AX31" s="197">
        <f t="shared" si="6"/>
        <v>44368.689227540395</v>
      </c>
      <c r="AY31" s="192">
        <f>IF(B31=0,Fish_Inputs!$G$15+Fish_Inputs!$G$16,0)</f>
        <v>0</v>
      </c>
      <c r="AZ31" s="193">
        <f>IF(B31=0,Fish_Inputs!$G$14,0)</f>
        <v>0</v>
      </c>
      <c r="BA31" s="200">
        <f t="shared" si="7"/>
        <v>0</v>
      </c>
      <c r="BB31" s="196">
        <f t="shared" si="8"/>
        <v>44368.689227540395</v>
      </c>
      <c r="BC31" s="196">
        <f>Fish_Inputs!$G$20*AVERAGE(BR31,BS31)</f>
        <v>0</v>
      </c>
      <c r="BD31" s="200">
        <f t="shared" si="9"/>
        <v>10086.975158312356</v>
      </c>
      <c r="BE31" s="200">
        <f t="shared" si="19"/>
        <v>44368.689227540395</v>
      </c>
      <c r="BF31" s="86">
        <f t="shared" si="20"/>
        <v>34281.714069228037</v>
      </c>
      <c r="BG31" s="197">
        <f t="shared" si="21"/>
        <v>34281.714069228037</v>
      </c>
      <c r="BH31" s="86">
        <f t="shared" si="35"/>
        <v>0</v>
      </c>
      <c r="BI31" s="86">
        <f t="shared" si="36"/>
        <v>0</v>
      </c>
      <c r="BJ31" s="86">
        <f>-Debt_Calc!M29</f>
        <v>0</v>
      </c>
      <c r="BK31" s="86">
        <f>Debt_Calc!N29</f>
        <v>0</v>
      </c>
      <c r="BL31" s="86">
        <f t="shared" si="22"/>
        <v>0</v>
      </c>
      <c r="BM31" s="423">
        <f t="shared" si="37"/>
        <v>0</v>
      </c>
      <c r="BN31" s="86">
        <f t="shared" si="38"/>
        <v>34281.714069228037</v>
      </c>
      <c r="BO31" s="86">
        <f t="shared" si="23"/>
        <v>44368.689227540395</v>
      </c>
      <c r="BP31" s="86">
        <f t="shared" si="39"/>
        <v>34281.714069228037</v>
      </c>
      <c r="BQ31" s="86">
        <f t="shared" si="24"/>
        <v>0</v>
      </c>
      <c r="BR31" s="86">
        <f t="shared" si="25"/>
        <v>0</v>
      </c>
      <c r="BS31" s="86">
        <f t="shared" si="10"/>
        <v>0</v>
      </c>
      <c r="BT31" s="86">
        <f t="shared" si="26"/>
        <v>254384.78945475715</v>
      </c>
      <c r="BU31" s="86">
        <f t="shared" si="40"/>
        <v>2</v>
      </c>
      <c r="BV31" s="214">
        <f t="shared" si="11"/>
        <v>3853.0578366282134</v>
      </c>
    </row>
    <row r="32" spans="2:74" s="86" customFormat="1" x14ac:dyDescent="0.3">
      <c r="B32" s="192">
        <f t="shared" si="27"/>
        <v>21</v>
      </c>
      <c r="C32" s="350">
        <f t="shared" si="12"/>
        <v>2042</v>
      </c>
      <c r="D32" s="351">
        <f t="shared" si="42"/>
        <v>51867</v>
      </c>
      <c r="E32" s="441">
        <f t="shared" si="42"/>
        <v>52231</v>
      </c>
      <c r="F32" s="733">
        <f>IF(AND(B32&gt;0,B32&lt;=Fish_Inputs!$J$17),1,0)</f>
        <v>1</v>
      </c>
      <c r="G32" s="730">
        <f>IF(F32=1,Fish_Inputs!$G$31,0)</f>
        <v>65999.999999999956</v>
      </c>
      <c r="H32" s="446">
        <f>IF(AND(F31=0,F32=1),100%,IF(AND(F31=0,F32=0),100%,H31-Fish_Inputs!$G$41))*F32</f>
        <v>0.9900000000000011</v>
      </c>
      <c r="I32" s="224">
        <f t="shared" si="41"/>
        <v>65340.000000000029</v>
      </c>
      <c r="J32" s="225">
        <f>Fish_Inputs!$J$11</f>
        <v>0.01</v>
      </c>
      <c r="K32" s="444">
        <f>IF(B32=1,Fish_Inputs!$R$15,K31*(1+Fish_CashFlows!J32))*F32</f>
        <v>7.6249080677078807</v>
      </c>
      <c r="L32" s="338">
        <f>IF(B32=1,Fish_Inputs!$R$16,L31*(1+Fish_CashFlows!J32))*F32</f>
        <v>13.478219181265242</v>
      </c>
      <c r="M32" s="86">
        <f>K32*I32*Fish_Inputs!$J$9</f>
        <v>249105.74657201656</v>
      </c>
      <c r="N32" s="214">
        <f>L32*I32*Fish_Inputs!$J$10</f>
        <v>440333.42065193568</v>
      </c>
      <c r="O32" s="423">
        <f t="shared" si="29"/>
        <v>0</v>
      </c>
      <c r="P32" s="122">
        <f>SUM(M32:O32)+IF(B32=Fish_Inputs!$J$17,Fish_Inputs!$J$19,0)</f>
        <v>689439.16722395224</v>
      </c>
      <c r="Q32" s="196">
        <f>IF(B32=1,Fish_Inputs!$O$7,Q31*(1+Fish_Inputs!$N$23))*F32</f>
        <v>549085.51797658531</v>
      </c>
      <c r="R32" s="86">
        <f>IF(B32=1,Fish_Inputs!$O$8,R31*(1+Fish_Inputs!$N$23))*F32</f>
        <v>9378.6369232806974</v>
      </c>
      <c r="S32" s="86">
        <f>IF(B32=1,Fish_Inputs!$O$9,S31*(1+Fish_Inputs!$N$23))*F32</f>
        <v>32778.693191017752</v>
      </c>
      <c r="T32" s="86">
        <f>IF(B32=1,Fish_Inputs!$O$10,T31*(1+Fish_Inputs!$N$23))*F32</f>
        <v>17060.731801496386</v>
      </c>
      <c r="U32" s="86">
        <f>IF(B32=1,Fish_Inputs!$O$11,U31*(1+Fish_Inputs!$N$23))*F32</f>
        <v>21481.907662755675</v>
      </c>
      <c r="V32" s="86">
        <f>IF(B32=1,Fish_Inputs!$O$12,V31*(1+Fish_Inputs!$N$23))*F32</f>
        <v>112.56064551298601</v>
      </c>
      <c r="W32" s="86">
        <f>IF(B32=1,Fish_Inputs!$O$13,W31*(1+Fish_Inputs!$N$23))*F32</f>
        <v>0</v>
      </c>
      <c r="X32" s="86">
        <f>IF(B32=1,Fish_Inputs!$O$14,X31*(1+Fish_Inputs!$N$23))*F32</f>
        <v>3482.0159960805636</v>
      </c>
      <c r="Y32" s="86">
        <f>IF(B32=1,Fish_Inputs!$O$15,Y31*(1+Fish_Inputs!$N$23))*F32</f>
        <v>3482.0159960805636</v>
      </c>
      <c r="Z32" s="86">
        <f>IF(B32=1,Fish_Inputs!$O$16,Z31*(1+Fish_Inputs!$N$23))*F32</f>
        <v>4370.9963884274421</v>
      </c>
      <c r="AA32" s="86">
        <f>IF(B32=1,Fish_Inputs!$O$17,AA31*(1+Fish_Inputs!$N$23))*F32</f>
        <v>3741.916122507097</v>
      </c>
      <c r="AB32" s="102">
        <f>IF(B32=1,Fish_Inputs!$O$18,AB31*(1+Fish_Inputs!$N$23))*F32</f>
        <v>0</v>
      </c>
      <c r="AC32" s="684">
        <f>IF(B32=1,Fish_Inputs!$O$19,AC31*(1+Fish_Inputs!$N$23))*F32</f>
        <v>0</v>
      </c>
      <c r="AD32" s="86">
        <f>IF(B32=1,Fish_Inputs!$O$20,AD31*(1+Fish_Inputs!$N$23))*F32</f>
        <v>0</v>
      </c>
      <c r="AE32" s="86">
        <f>IF(B32=1,Fish_Inputs!$O$21,AE31*(1+Fish_Inputs!$N$23))*F32</f>
        <v>0</v>
      </c>
      <c r="AF32" s="200">
        <f>IF(B32=1,Fish_Inputs!$O$22,AF31*(1+Fish_Inputs!$N$23))*F32</f>
        <v>0</v>
      </c>
      <c r="AG32" s="200">
        <f t="shared" si="30"/>
        <v>644974.99270374444</v>
      </c>
      <c r="AH32" s="86">
        <f t="shared" si="13"/>
        <v>44464.174520207802</v>
      </c>
      <c r="AI32" s="225">
        <f t="shared" si="14"/>
        <v>6.4493252826415631E-2</v>
      </c>
      <c r="AJ32" s="457">
        <f>Deprec!C31</f>
        <v>10745.438699832541</v>
      </c>
      <c r="AK32" s="86">
        <f t="shared" si="15"/>
        <v>33718.735820375259</v>
      </c>
      <c r="AL32" s="455">
        <f t="shared" si="31"/>
        <v>0</v>
      </c>
      <c r="AM32" s="86">
        <f t="shared" si="32"/>
        <v>33718.735820375259</v>
      </c>
      <c r="AN32" s="197">
        <f>IF(AM32&lt;0,0,(AM32*Fish_Inputs!$J$14))</f>
        <v>10115.620746112578</v>
      </c>
      <c r="AO32" s="86">
        <f t="shared" si="33"/>
        <v>23603.115074262681</v>
      </c>
      <c r="AP32" s="226">
        <f t="shared" si="16"/>
        <v>3.4235239592350607E-2</v>
      </c>
      <c r="AS32" s="196">
        <f t="shared" si="17"/>
        <v>689439.16722395224</v>
      </c>
      <c r="AT32" s="86">
        <f t="shared" si="18"/>
        <v>644974.99270374444</v>
      </c>
      <c r="AU32" s="197">
        <f t="shared" si="34"/>
        <v>44464.174520207802</v>
      </c>
      <c r="AV32" s="196">
        <f>IF(B32=0,Fish_Inputs!$C$29,0)</f>
        <v>0</v>
      </c>
      <c r="AW32" s="198">
        <f t="shared" si="5"/>
        <v>0</v>
      </c>
      <c r="AX32" s="197">
        <f t="shared" si="6"/>
        <v>44464.174520207802</v>
      </c>
      <c r="AY32" s="192">
        <f>IF(B32=0,Fish_Inputs!$G$15+Fish_Inputs!$G$16,0)</f>
        <v>0</v>
      </c>
      <c r="AZ32" s="193">
        <f>IF(B32=0,Fish_Inputs!$G$14,0)</f>
        <v>0</v>
      </c>
      <c r="BA32" s="200">
        <f t="shared" si="7"/>
        <v>0</v>
      </c>
      <c r="BB32" s="196">
        <f t="shared" si="8"/>
        <v>44464.174520207802</v>
      </c>
      <c r="BC32" s="196">
        <f>Fish_Inputs!$G$20*AVERAGE(BR32,BS32)</f>
        <v>0</v>
      </c>
      <c r="BD32" s="200">
        <f t="shared" si="9"/>
        <v>10115.620746112578</v>
      </c>
      <c r="BE32" s="200">
        <f t="shared" si="19"/>
        <v>44464.174520207802</v>
      </c>
      <c r="BF32" s="86">
        <f t="shared" si="20"/>
        <v>34348.553774095228</v>
      </c>
      <c r="BG32" s="197">
        <f t="shared" si="21"/>
        <v>34348.553774095228</v>
      </c>
      <c r="BH32" s="86">
        <f t="shared" si="35"/>
        <v>0</v>
      </c>
      <c r="BI32" s="86">
        <f t="shared" si="36"/>
        <v>0</v>
      </c>
      <c r="BJ32" s="86">
        <f>-Debt_Calc!M30</f>
        <v>0</v>
      </c>
      <c r="BK32" s="86">
        <f>Debt_Calc!N30</f>
        <v>0</v>
      </c>
      <c r="BL32" s="86">
        <f t="shared" si="22"/>
        <v>0</v>
      </c>
      <c r="BM32" s="423">
        <f t="shared" si="37"/>
        <v>0</v>
      </c>
      <c r="BN32" s="86">
        <f t="shared" si="38"/>
        <v>34348.553774095228</v>
      </c>
      <c r="BO32" s="86">
        <f t="shared" si="23"/>
        <v>44464.174520207802</v>
      </c>
      <c r="BP32" s="86">
        <f t="shared" si="39"/>
        <v>34348.553774095228</v>
      </c>
      <c r="BQ32" s="86">
        <f t="shared" si="24"/>
        <v>0</v>
      </c>
      <c r="BR32" s="86">
        <f t="shared" si="25"/>
        <v>0</v>
      </c>
      <c r="BS32" s="86">
        <f t="shared" si="10"/>
        <v>0</v>
      </c>
      <c r="BT32" s="86">
        <f t="shared" si="26"/>
        <v>288733.34322885238</v>
      </c>
      <c r="BU32" s="86">
        <f t="shared" si="40"/>
        <v>2</v>
      </c>
      <c r="BV32" s="214">
        <f t="shared" si="11"/>
        <v>3460.8964533112935</v>
      </c>
    </row>
    <row r="33" spans="2:93" s="86" customFormat="1" x14ac:dyDescent="0.3">
      <c r="B33" s="192">
        <f t="shared" si="27"/>
        <v>22</v>
      </c>
      <c r="C33" s="350">
        <f t="shared" si="12"/>
        <v>2043</v>
      </c>
      <c r="D33" s="351">
        <f t="shared" si="42"/>
        <v>52232</v>
      </c>
      <c r="E33" s="441">
        <f t="shared" si="42"/>
        <v>52596</v>
      </c>
      <c r="F33" s="733">
        <f>IF(AND(B33&gt;0,B33&lt;=Fish_Inputs!$J$17),1,0)</f>
        <v>1</v>
      </c>
      <c r="G33" s="730">
        <f>IF(F33=1,Fish_Inputs!$G$31,0)</f>
        <v>65999.999999999956</v>
      </c>
      <c r="H33" s="446">
        <f>IF(AND(F32=0,F33=1),100%,IF(AND(F32=0,F33=0),100%,H32-Fish_Inputs!$G$41))*F33</f>
        <v>0.98950000000000116</v>
      </c>
      <c r="I33" s="224">
        <f t="shared" si="41"/>
        <v>65307.000000000036</v>
      </c>
      <c r="J33" s="225">
        <f>Fish_Inputs!$J$11</f>
        <v>0.01</v>
      </c>
      <c r="K33" s="444">
        <f>IF(B33=1,Fish_Inputs!$R$15,K32*(1+Fish_CashFlows!J33))*F33</f>
        <v>7.7011571483849597</v>
      </c>
      <c r="L33" s="338">
        <f>IF(B33=1,Fish_Inputs!$R$16,L32*(1+Fish_CashFlows!J33))*F33</f>
        <v>13.613001373077894</v>
      </c>
      <c r="M33" s="86">
        <f>K33*I33*Fish_Inputs!$J$9</f>
        <v>251469.73494478842</v>
      </c>
      <c r="N33" s="214">
        <f>L33*I33*Fish_Inputs!$J$10</f>
        <v>444512.14033579925</v>
      </c>
      <c r="O33" s="423">
        <f t="shared" si="29"/>
        <v>0</v>
      </c>
      <c r="P33" s="122">
        <f>SUM(M33:O33)+IF(B33=Fish_Inputs!$J$17,Fish_Inputs!$J$19,0)</f>
        <v>695981.8752805877</v>
      </c>
      <c r="Q33" s="196">
        <f>IF(B33=1,Fish_Inputs!$O$7,Q32*(1+Fish_Inputs!$N$23))*F33</f>
        <v>554576.37315635115</v>
      </c>
      <c r="R33" s="86">
        <f>IF(B33=1,Fish_Inputs!$O$8,R32*(1+Fish_Inputs!$N$23))*F33</f>
        <v>9472.4232925135038</v>
      </c>
      <c r="S33" s="86">
        <f>IF(B33=1,Fish_Inputs!$O$9,S32*(1+Fish_Inputs!$N$23))*F33</f>
        <v>33106.480122927933</v>
      </c>
      <c r="T33" s="86">
        <f>IF(B33=1,Fish_Inputs!$O$10,T32*(1+Fish_Inputs!$N$23))*F33</f>
        <v>17231.339119511351</v>
      </c>
      <c r="U33" s="86">
        <f>IF(B33=1,Fish_Inputs!$O$11,U32*(1+Fish_Inputs!$N$23))*F33</f>
        <v>21696.726739383234</v>
      </c>
      <c r="V33" s="86">
        <f>IF(B33=1,Fish_Inputs!$O$12,V32*(1+Fish_Inputs!$N$23))*F33</f>
        <v>113.68625196811587</v>
      </c>
      <c r="W33" s="86">
        <f>IF(B33=1,Fish_Inputs!$O$13,W32*(1+Fish_Inputs!$N$23))*F33</f>
        <v>0</v>
      </c>
      <c r="X33" s="86">
        <f>IF(B33=1,Fish_Inputs!$O$14,X32*(1+Fish_Inputs!$N$23))*F33</f>
        <v>3516.8361560413691</v>
      </c>
      <c r="Y33" s="86">
        <f>IF(B33=1,Fish_Inputs!$O$15,Y32*(1+Fish_Inputs!$N$23))*F33</f>
        <v>3516.8361560413691</v>
      </c>
      <c r="Z33" s="86">
        <f>IF(B33=1,Fish_Inputs!$O$16,Z32*(1+Fish_Inputs!$N$23))*F33</f>
        <v>4414.7063523117167</v>
      </c>
      <c r="AA33" s="86">
        <f>IF(B33=1,Fish_Inputs!$O$17,AA32*(1+Fish_Inputs!$N$23))*F33</f>
        <v>3779.3352837321681</v>
      </c>
      <c r="AB33" s="102">
        <f>IF(B33=1,Fish_Inputs!$O$18,AB32*(1+Fish_Inputs!$N$23))*F33</f>
        <v>0</v>
      </c>
      <c r="AC33" s="684">
        <f>IF(B33=1,Fish_Inputs!$O$19,AC32*(1+Fish_Inputs!$N$23))*F33</f>
        <v>0</v>
      </c>
      <c r="AD33" s="86">
        <f>IF(B33=1,Fish_Inputs!$O$20,AD32*(1+Fish_Inputs!$N$23))*F33</f>
        <v>0</v>
      </c>
      <c r="AE33" s="86">
        <f>IF(B33=1,Fish_Inputs!$O$21,AE32*(1+Fish_Inputs!$N$23))*F33</f>
        <v>0</v>
      </c>
      <c r="AF33" s="200">
        <f>IF(B33=1,Fish_Inputs!$O$22,AF32*(1+Fish_Inputs!$N$23))*F33</f>
        <v>0</v>
      </c>
      <c r="AG33" s="200">
        <f t="shared" si="30"/>
        <v>651424.74263078184</v>
      </c>
      <c r="AH33" s="86">
        <f t="shared" si="13"/>
        <v>44557.132649805862</v>
      </c>
      <c r="AI33" s="225">
        <f t="shared" si="14"/>
        <v>6.4020535925368008E-2</v>
      </c>
      <c r="AJ33" s="457">
        <f>Deprec!C32</f>
        <v>10745.438699832541</v>
      </c>
      <c r="AK33" s="86">
        <f t="shared" si="15"/>
        <v>33811.69394997332</v>
      </c>
      <c r="AL33" s="455">
        <f t="shared" si="31"/>
        <v>0</v>
      </c>
      <c r="AM33" s="86">
        <f t="shared" si="32"/>
        <v>33811.69394997332</v>
      </c>
      <c r="AN33" s="197">
        <f>IF(AM33&lt;0,0,(AM33*Fish_Inputs!$J$14))</f>
        <v>10143.508184991995</v>
      </c>
      <c r="AO33" s="86">
        <f t="shared" si="33"/>
        <v>23668.185764981325</v>
      </c>
      <c r="AP33" s="226">
        <f t="shared" si="16"/>
        <v>3.4006899612780014E-2</v>
      </c>
      <c r="AS33" s="196">
        <f t="shared" si="17"/>
        <v>695981.8752805877</v>
      </c>
      <c r="AT33" s="86">
        <f t="shared" si="18"/>
        <v>651424.74263078184</v>
      </c>
      <c r="AU33" s="197">
        <f t="shared" si="34"/>
        <v>44557.132649805862</v>
      </c>
      <c r="AV33" s="196">
        <f>IF(B33=0,Fish_Inputs!$C$29,0)</f>
        <v>0</v>
      </c>
      <c r="AW33" s="198">
        <f t="shared" si="5"/>
        <v>0</v>
      </c>
      <c r="AX33" s="197">
        <f t="shared" si="6"/>
        <v>44557.132649805862</v>
      </c>
      <c r="AY33" s="192">
        <f>IF(B33=0,Fish_Inputs!$G$15+Fish_Inputs!$G$16,0)</f>
        <v>0</v>
      </c>
      <c r="AZ33" s="193">
        <f>IF(B33=0,Fish_Inputs!$G$14,0)</f>
        <v>0</v>
      </c>
      <c r="BA33" s="200">
        <f t="shared" si="7"/>
        <v>0</v>
      </c>
      <c r="BB33" s="196">
        <f t="shared" si="8"/>
        <v>44557.132649805862</v>
      </c>
      <c r="BC33" s="196">
        <f>Fish_Inputs!$G$20*AVERAGE(BR33,BS33)</f>
        <v>0</v>
      </c>
      <c r="BD33" s="200">
        <f t="shared" si="9"/>
        <v>10143.508184991995</v>
      </c>
      <c r="BE33" s="200">
        <f t="shared" si="19"/>
        <v>44557.132649805862</v>
      </c>
      <c r="BF33" s="86">
        <f t="shared" si="20"/>
        <v>34413.624464813867</v>
      </c>
      <c r="BG33" s="197">
        <f t="shared" si="21"/>
        <v>34413.624464813867</v>
      </c>
      <c r="BH33" s="86">
        <f t="shared" si="35"/>
        <v>0</v>
      </c>
      <c r="BI33" s="86">
        <f t="shared" si="36"/>
        <v>0</v>
      </c>
      <c r="BJ33" s="86">
        <f>-Debt_Calc!M31</f>
        <v>0</v>
      </c>
      <c r="BK33" s="86">
        <f>Debt_Calc!N31</f>
        <v>0</v>
      </c>
      <c r="BL33" s="86">
        <f t="shared" si="22"/>
        <v>0</v>
      </c>
      <c r="BM33" s="423">
        <f t="shared" si="37"/>
        <v>0</v>
      </c>
      <c r="BN33" s="86">
        <f t="shared" si="38"/>
        <v>34413.624464813867</v>
      </c>
      <c r="BO33" s="86">
        <f t="shared" si="23"/>
        <v>44557.132649805862</v>
      </c>
      <c r="BP33" s="86">
        <f t="shared" si="39"/>
        <v>34413.624464813867</v>
      </c>
      <c r="BQ33" s="86">
        <f t="shared" si="24"/>
        <v>0</v>
      </c>
      <c r="BR33" s="86">
        <f t="shared" si="25"/>
        <v>0</v>
      </c>
      <c r="BS33" s="86">
        <f t="shared" si="10"/>
        <v>0</v>
      </c>
      <c r="BT33" s="86">
        <f t="shared" si="26"/>
        <v>323146.96769366623</v>
      </c>
      <c r="BU33" s="86">
        <f t="shared" si="40"/>
        <v>2</v>
      </c>
      <c r="BV33" s="214">
        <f t="shared" si="11"/>
        <v>3108.4774052808875</v>
      </c>
    </row>
    <row r="34" spans="2:93" s="86" customFormat="1" x14ac:dyDescent="0.3">
      <c r="B34" s="192">
        <f t="shared" si="27"/>
        <v>23</v>
      </c>
      <c r="C34" s="350">
        <f t="shared" si="12"/>
        <v>2044</v>
      </c>
      <c r="D34" s="351">
        <f t="shared" si="42"/>
        <v>52597</v>
      </c>
      <c r="E34" s="441">
        <f t="shared" si="42"/>
        <v>52962</v>
      </c>
      <c r="F34" s="733">
        <f>IF(AND(B34&gt;0,B34&lt;=Fish_Inputs!$J$17),1,0)</f>
        <v>1</v>
      </c>
      <c r="G34" s="730">
        <f>IF(F34=1,Fish_Inputs!$G$31,0)</f>
        <v>65999.999999999956</v>
      </c>
      <c r="H34" s="446">
        <f>IF(AND(F33=0,F34=1),100%,IF(AND(F33=0,F34=0),100%,H33-Fish_Inputs!$G$41))*F34</f>
        <v>0.98900000000000121</v>
      </c>
      <c r="I34" s="224">
        <f t="shared" si="41"/>
        <v>65274.000000000036</v>
      </c>
      <c r="J34" s="225">
        <f>Fish_Inputs!$J$11</f>
        <v>0.01</v>
      </c>
      <c r="K34" s="444">
        <f>IF(B34=1,Fish_Inputs!$R$15,K33*(1+Fish_CashFlows!J34))*F34</f>
        <v>7.778168719868809</v>
      </c>
      <c r="L34" s="338">
        <f>IF(B34=1,Fish_Inputs!$R$16,L33*(1+Fish_CashFlows!J34))*F34</f>
        <v>13.749131386808674</v>
      </c>
      <c r="M34" s="86">
        <f>K34*I34*Fish_Inputs!$J$9</f>
        <v>253856.09251035846</v>
      </c>
      <c r="N34" s="214">
        <f>L34*I34*Fish_Inputs!$J$10</f>
        <v>448730.40107127494</v>
      </c>
      <c r="O34" s="423">
        <f t="shared" si="29"/>
        <v>0</v>
      </c>
      <c r="P34" s="122">
        <f>SUM(M34:O34)+IF(B34=Fish_Inputs!$J$17,Fish_Inputs!$J$19,0)</f>
        <v>702586.49358163343</v>
      </c>
      <c r="Q34" s="196">
        <f>IF(B34=1,Fish_Inputs!$O$7,Q33*(1+Fish_Inputs!$N$23))*F34</f>
        <v>560122.13688791462</v>
      </c>
      <c r="R34" s="86">
        <f>IF(B34=1,Fish_Inputs!$O$8,R33*(1+Fish_Inputs!$N$23))*F34</f>
        <v>9567.1475254386387</v>
      </c>
      <c r="S34" s="86">
        <f>IF(B34=1,Fish_Inputs!$O$9,S33*(1+Fish_Inputs!$N$23))*F34</f>
        <v>33437.544924157213</v>
      </c>
      <c r="T34" s="86">
        <f>IF(B34=1,Fish_Inputs!$O$10,T33*(1+Fish_Inputs!$N$23))*F34</f>
        <v>17403.652510706466</v>
      </c>
      <c r="U34" s="86">
        <f>IF(B34=1,Fish_Inputs!$O$11,U33*(1+Fish_Inputs!$N$23))*F34</f>
        <v>21913.694006777067</v>
      </c>
      <c r="V34" s="86">
        <f>IF(B34=1,Fish_Inputs!$O$12,V33*(1+Fish_Inputs!$N$23))*F34</f>
        <v>114.82311448779703</v>
      </c>
      <c r="W34" s="86">
        <f>IF(B34=1,Fish_Inputs!$O$13,W33*(1+Fish_Inputs!$N$23))*F34</f>
        <v>0</v>
      </c>
      <c r="X34" s="86">
        <f>IF(B34=1,Fish_Inputs!$O$14,X33*(1+Fish_Inputs!$N$23))*F34</f>
        <v>3552.0045176017829</v>
      </c>
      <c r="Y34" s="86">
        <f>IF(B34=1,Fish_Inputs!$O$15,Y33*(1+Fish_Inputs!$N$23))*F34</f>
        <v>3552.0045176017829</v>
      </c>
      <c r="Z34" s="86">
        <f>IF(B34=1,Fish_Inputs!$O$16,Z33*(1+Fish_Inputs!$N$23))*F34</f>
        <v>4458.8534158348339</v>
      </c>
      <c r="AA34" s="86">
        <f>IF(B34=1,Fish_Inputs!$O$17,AA33*(1+Fish_Inputs!$N$23))*F34</f>
        <v>3817.12863656949</v>
      </c>
      <c r="AB34" s="102">
        <f>IF(B34=1,Fish_Inputs!$O$18,AB33*(1+Fish_Inputs!$N$23))*F34</f>
        <v>0</v>
      </c>
      <c r="AC34" s="684">
        <f>IF(B34=1,Fish_Inputs!$O$19,AC33*(1+Fish_Inputs!$N$23))*F34</f>
        <v>0</v>
      </c>
      <c r="AD34" s="86">
        <f>IF(B34=1,Fish_Inputs!$O$20,AD33*(1+Fish_Inputs!$N$23))*F34</f>
        <v>0</v>
      </c>
      <c r="AE34" s="86">
        <f>IF(B34=1,Fish_Inputs!$O$21,AE33*(1+Fish_Inputs!$N$23))*F34</f>
        <v>0</v>
      </c>
      <c r="AF34" s="200">
        <f>IF(B34=1,Fish_Inputs!$O$22,AF33*(1+Fish_Inputs!$N$23))*F34</f>
        <v>0</v>
      </c>
      <c r="AG34" s="200">
        <f t="shared" si="30"/>
        <v>657938.99005708972</v>
      </c>
      <c r="AH34" s="86">
        <f t="shared" si="13"/>
        <v>44647.503524543718</v>
      </c>
      <c r="AI34" s="225">
        <f t="shared" si="14"/>
        <v>6.3547341049698294E-2</v>
      </c>
      <c r="AJ34" s="457">
        <f>Deprec!C33</f>
        <v>10745.438699832541</v>
      </c>
      <c r="AK34" s="86">
        <f t="shared" si="15"/>
        <v>33902.064824711175</v>
      </c>
      <c r="AL34" s="455">
        <f t="shared" si="31"/>
        <v>0</v>
      </c>
      <c r="AM34" s="86">
        <f t="shared" si="32"/>
        <v>33902.064824711175</v>
      </c>
      <c r="AN34" s="197">
        <f>IF(AM34&lt;0,0,(AM34*Fish_Inputs!$J$14))</f>
        <v>10170.619447413352</v>
      </c>
      <c r="AO34" s="86">
        <f t="shared" si="33"/>
        <v>23731.445377297823</v>
      </c>
      <c r="AP34" s="226">
        <f t="shared" si="16"/>
        <v>3.3777258165496558E-2</v>
      </c>
      <c r="AS34" s="196">
        <f t="shared" si="17"/>
        <v>702586.49358163343</v>
      </c>
      <c r="AT34" s="86">
        <f t="shared" si="18"/>
        <v>657938.99005708972</v>
      </c>
      <c r="AU34" s="197">
        <f t="shared" si="34"/>
        <v>44647.503524543718</v>
      </c>
      <c r="AV34" s="196">
        <f>IF(B34=0,Fish_Inputs!$C$29,0)</f>
        <v>0</v>
      </c>
      <c r="AW34" s="198">
        <f t="shared" si="5"/>
        <v>0</v>
      </c>
      <c r="AX34" s="197">
        <f t="shared" si="6"/>
        <v>44647.503524543718</v>
      </c>
      <c r="AY34" s="192">
        <f>IF(B34=0,Fish_Inputs!$G$15+Fish_Inputs!$G$16,0)</f>
        <v>0</v>
      </c>
      <c r="AZ34" s="193">
        <f>IF(B34=0,Fish_Inputs!$G$14,0)</f>
        <v>0</v>
      </c>
      <c r="BA34" s="200">
        <f t="shared" si="7"/>
        <v>0</v>
      </c>
      <c r="BB34" s="196">
        <f t="shared" si="8"/>
        <v>44647.503524543718</v>
      </c>
      <c r="BC34" s="196">
        <f>Fish_Inputs!$G$20*AVERAGE(BR34,BS34)</f>
        <v>0</v>
      </c>
      <c r="BD34" s="200">
        <f t="shared" si="9"/>
        <v>10170.619447413352</v>
      </c>
      <c r="BE34" s="200">
        <f t="shared" si="19"/>
        <v>44647.503524543718</v>
      </c>
      <c r="BF34" s="86">
        <f t="shared" si="20"/>
        <v>34476.884077130366</v>
      </c>
      <c r="BG34" s="197">
        <f t="shared" si="21"/>
        <v>34476.884077130366</v>
      </c>
      <c r="BH34" s="86">
        <f t="shared" si="35"/>
        <v>0</v>
      </c>
      <c r="BI34" s="86">
        <f t="shared" si="36"/>
        <v>0</v>
      </c>
      <c r="BJ34" s="86">
        <f>-Debt_Calc!M32</f>
        <v>0</v>
      </c>
      <c r="BK34" s="86">
        <f>Debt_Calc!N32</f>
        <v>0</v>
      </c>
      <c r="BL34" s="86">
        <f t="shared" si="22"/>
        <v>0</v>
      </c>
      <c r="BM34" s="423">
        <f t="shared" si="37"/>
        <v>0</v>
      </c>
      <c r="BN34" s="86">
        <f t="shared" si="38"/>
        <v>34476.884077130366</v>
      </c>
      <c r="BO34" s="86">
        <f t="shared" si="23"/>
        <v>44647.503524543718</v>
      </c>
      <c r="BP34" s="86">
        <f t="shared" si="39"/>
        <v>34476.884077130366</v>
      </c>
      <c r="BQ34" s="86">
        <f t="shared" si="24"/>
        <v>0</v>
      </c>
      <c r="BR34" s="86">
        <f t="shared" si="25"/>
        <v>0</v>
      </c>
      <c r="BS34" s="86">
        <f t="shared" si="10"/>
        <v>0</v>
      </c>
      <c r="BT34" s="86">
        <f t="shared" si="26"/>
        <v>357623.85177079658</v>
      </c>
      <c r="BU34" s="86">
        <f t="shared" si="40"/>
        <v>2</v>
      </c>
      <c r="BV34" s="214">
        <f t="shared" si="11"/>
        <v>2791.7881425097316</v>
      </c>
    </row>
    <row r="35" spans="2:93" s="86" customFormat="1" x14ac:dyDescent="0.3">
      <c r="B35" s="192">
        <f t="shared" si="27"/>
        <v>24</v>
      </c>
      <c r="C35" s="350">
        <f t="shared" si="12"/>
        <v>2045</v>
      </c>
      <c r="D35" s="351">
        <f t="shared" si="42"/>
        <v>52963</v>
      </c>
      <c r="E35" s="441">
        <f t="shared" si="42"/>
        <v>53327</v>
      </c>
      <c r="F35" s="733">
        <f>IF(AND(B35&gt;0,B35&lt;=Fish_Inputs!$J$17),1,0)</f>
        <v>1</v>
      </c>
      <c r="G35" s="730">
        <f>IF(F35=1,Fish_Inputs!$G$31,0)</f>
        <v>65999.999999999956</v>
      </c>
      <c r="H35" s="446">
        <f>IF(AND(F34=0,F35=1),100%,IF(AND(F34=0,F35=0),100%,H34-Fish_Inputs!$G$41))*F35</f>
        <v>0.98850000000000127</v>
      </c>
      <c r="I35" s="224">
        <f t="shared" si="41"/>
        <v>65241.000000000044</v>
      </c>
      <c r="J35" s="225">
        <f>Fish_Inputs!$J$11</f>
        <v>0.01</v>
      </c>
      <c r="K35" s="444">
        <f>IF(B35=1,Fish_Inputs!$R$15,K34*(1+Fish_CashFlows!J35))*F35</f>
        <v>7.855950407067497</v>
      </c>
      <c r="L35" s="338">
        <f>IF(B35=1,Fish_Inputs!$R$16,L34*(1+Fish_CashFlows!J35))*F35</f>
        <v>13.88662270067676</v>
      </c>
      <c r="M35" s="86">
        <f>K35*I35*Fish_Inputs!$J$9</f>
        <v>256265.03025374547</v>
      </c>
      <c r="N35" s="214">
        <f>L35*I35*Fish_Inputs!$J$10</f>
        <v>452988.57580742653</v>
      </c>
      <c r="O35" s="423">
        <f t="shared" si="29"/>
        <v>0</v>
      </c>
      <c r="P35" s="122">
        <f>SUM(M35:O35)+IF(B35=Fish_Inputs!$J$17,Fish_Inputs!$J$19,0)</f>
        <v>709253.60606117197</v>
      </c>
      <c r="Q35" s="196">
        <f>IF(B35=1,Fish_Inputs!$O$7,Q34*(1+Fish_Inputs!$N$23))*F35</f>
        <v>565723.35825679381</v>
      </c>
      <c r="R35" s="86">
        <f>IF(B35=1,Fish_Inputs!$O$8,R34*(1+Fish_Inputs!$N$23))*F35</f>
        <v>9662.8190006930254</v>
      </c>
      <c r="S35" s="86">
        <f>IF(B35=1,Fish_Inputs!$O$9,S34*(1+Fish_Inputs!$N$23))*F35</f>
        <v>33771.920373398789</v>
      </c>
      <c r="T35" s="86">
        <f>IF(B35=1,Fish_Inputs!$O$10,T34*(1+Fish_Inputs!$N$23))*F35</f>
        <v>17577.689035813532</v>
      </c>
      <c r="U35" s="86">
        <f>IF(B35=1,Fish_Inputs!$O$11,U34*(1+Fish_Inputs!$N$23))*F35</f>
        <v>22132.830946844839</v>
      </c>
      <c r="V35" s="86">
        <f>IF(B35=1,Fish_Inputs!$O$12,V34*(1+Fish_Inputs!$N$23))*F35</f>
        <v>115.971345632675</v>
      </c>
      <c r="W35" s="86">
        <f>IF(B35=1,Fish_Inputs!$O$13,W34*(1+Fish_Inputs!$N$23))*F35</f>
        <v>0</v>
      </c>
      <c r="X35" s="86">
        <f>IF(B35=1,Fish_Inputs!$O$14,X34*(1+Fish_Inputs!$N$23))*F35</f>
        <v>3587.5245627778008</v>
      </c>
      <c r="Y35" s="86">
        <f>IF(B35=1,Fish_Inputs!$O$15,Y34*(1+Fish_Inputs!$N$23))*F35</f>
        <v>3587.5245627778008</v>
      </c>
      <c r="Z35" s="86">
        <f>IF(B35=1,Fish_Inputs!$O$16,Z34*(1+Fish_Inputs!$N$23))*F35</f>
        <v>4503.4419499931819</v>
      </c>
      <c r="AA35" s="86">
        <f>IF(B35=1,Fish_Inputs!$O$17,AA34*(1+Fish_Inputs!$N$23))*F35</f>
        <v>3855.2999229351849</v>
      </c>
      <c r="AB35" s="102">
        <f>IF(B35=1,Fish_Inputs!$O$18,AB34*(1+Fish_Inputs!$N$23))*F35</f>
        <v>0</v>
      </c>
      <c r="AC35" s="684">
        <f>IF(B35=1,Fish_Inputs!$O$19,AC34*(1+Fish_Inputs!$N$23))*F35</f>
        <v>0</v>
      </c>
      <c r="AD35" s="86">
        <f>IF(B35=1,Fish_Inputs!$O$20,AD34*(1+Fish_Inputs!$N$23))*F35</f>
        <v>0</v>
      </c>
      <c r="AE35" s="86">
        <f>IF(B35=1,Fish_Inputs!$O$21,AE34*(1+Fish_Inputs!$N$23))*F35</f>
        <v>0</v>
      </c>
      <c r="AF35" s="200">
        <f>IF(B35=1,Fish_Inputs!$O$22,AF34*(1+Fish_Inputs!$N$23))*F35</f>
        <v>0</v>
      </c>
      <c r="AG35" s="200">
        <f t="shared" si="30"/>
        <v>664518.3799576608</v>
      </c>
      <c r="AH35" s="86">
        <f t="shared" si="13"/>
        <v>44735.226103511173</v>
      </c>
      <c r="AI35" s="225">
        <f t="shared" si="14"/>
        <v>6.307366747410352E-2</v>
      </c>
      <c r="AJ35" s="457">
        <f>Deprec!C34</f>
        <v>10745.438699832541</v>
      </c>
      <c r="AK35" s="86">
        <f t="shared" si="15"/>
        <v>33989.787403678631</v>
      </c>
      <c r="AL35" s="455">
        <f t="shared" si="31"/>
        <v>0</v>
      </c>
      <c r="AM35" s="86">
        <f t="shared" si="32"/>
        <v>33989.787403678631</v>
      </c>
      <c r="AN35" s="197">
        <f>IF(AM35&lt;0,0,(AM35*Fish_Inputs!$J$14))</f>
        <v>10196.93622110359</v>
      </c>
      <c r="AO35" s="86">
        <f t="shared" si="33"/>
        <v>23792.851182575039</v>
      </c>
      <c r="AP35" s="226">
        <f t="shared" si="16"/>
        <v>3.3546323880830495E-2</v>
      </c>
      <c r="AS35" s="196">
        <f t="shared" si="17"/>
        <v>709253.60606117197</v>
      </c>
      <c r="AT35" s="86">
        <f t="shared" si="18"/>
        <v>664518.3799576608</v>
      </c>
      <c r="AU35" s="197">
        <f t="shared" si="34"/>
        <v>44735.226103511173</v>
      </c>
      <c r="AV35" s="196">
        <f>IF(B35=0,Fish_Inputs!$C$29,0)</f>
        <v>0</v>
      </c>
      <c r="AW35" s="198">
        <f t="shared" si="5"/>
        <v>0</v>
      </c>
      <c r="AX35" s="197">
        <f t="shared" si="6"/>
        <v>44735.226103511173</v>
      </c>
      <c r="AY35" s="192">
        <f>IF(B35=0,Fish_Inputs!$G$15+Fish_Inputs!$G$16,0)</f>
        <v>0</v>
      </c>
      <c r="AZ35" s="193">
        <f>IF(B35=0,Fish_Inputs!$G$14,0)</f>
        <v>0</v>
      </c>
      <c r="BA35" s="200">
        <f t="shared" si="7"/>
        <v>0</v>
      </c>
      <c r="BB35" s="196">
        <f t="shared" si="8"/>
        <v>44735.226103511173</v>
      </c>
      <c r="BC35" s="196">
        <f>Fish_Inputs!$G$20*AVERAGE(BR35,BS35)</f>
        <v>0</v>
      </c>
      <c r="BD35" s="200">
        <f t="shared" si="9"/>
        <v>10196.93622110359</v>
      </c>
      <c r="BE35" s="200">
        <f t="shared" si="19"/>
        <v>44735.226103511173</v>
      </c>
      <c r="BF35" s="86">
        <f t="shared" si="20"/>
        <v>34538.289882407582</v>
      </c>
      <c r="BG35" s="197">
        <f t="shared" si="21"/>
        <v>34538.289882407582</v>
      </c>
      <c r="BH35" s="86">
        <f t="shared" si="35"/>
        <v>0</v>
      </c>
      <c r="BI35" s="86">
        <f t="shared" si="36"/>
        <v>0</v>
      </c>
      <c r="BJ35" s="86">
        <f>-Debt_Calc!M33</f>
        <v>0</v>
      </c>
      <c r="BK35" s="86">
        <f>Debt_Calc!N33</f>
        <v>0</v>
      </c>
      <c r="BL35" s="86">
        <f t="shared" si="22"/>
        <v>0</v>
      </c>
      <c r="BM35" s="423">
        <f t="shared" si="37"/>
        <v>0</v>
      </c>
      <c r="BN35" s="86">
        <f t="shared" si="38"/>
        <v>34538.289882407582</v>
      </c>
      <c r="BO35" s="86">
        <f t="shared" si="23"/>
        <v>44735.226103511173</v>
      </c>
      <c r="BP35" s="86">
        <f t="shared" si="39"/>
        <v>34538.289882407582</v>
      </c>
      <c r="BQ35" s="86">
        <f t="shared" si="24"/>
        <v>0</v>
      </c>
      <c r="BR35" s="86">
        <f t="shared" si="25"/>
        <v>0</v>
      </c>
      <c r="BS35" s="86">
        <f t="shared" si="10"/>
        <v>0</v>
      </c>
      <c r="BT35" s="86">
        <f t="shared" si="26"/>
        <v>392162.14165320416</v>
      </c>
      <c r="BU35" s="86">
        <f t="shared" si="40"/>
        <v>2</v>
      </c>
      <c r="BV35" s="214">
        <f t="shared" si="11"/>
        <v>2507.2199219277759</v>
      </c>
    </row>
    <row r="36" spans="2:93" s="86" customFormat="1" x14ac:dyDescent="0.3">
      <c r="B36" s="192">
        <f t="shared" si="27"/>
        <v>25</v>
      </c>
      <c r="C36" s="350">
        <f t="shared" si="12"/>
        <v>2046</v>
      </c>
      <c r="D36" s="351">
        <f t="shared" si="42"/>
        <v>53328</v>
      </c>
      <c r="E36" s="441">
        <f t="shared" si="42"/>
        <v>53692</v>
      </c>
      <c r="F36" s="733">
        <f>IF(AND(B36&gt;0,B36&lt;=Fish_Inputs!$J$17),1,0)</f>
        <v>1</v>
      </c>
      <c r="G36" s="730">
        <f>IF(F36=1,Fish_Inputs!$G$31,0)</f>
        <v>65999.999999999956</v>
      </c>
      <c r="H36" s="446">
        <f>IF(AND(F35=0,F36=1),100%,IF(AND(F35=0,F36=0),100%,H35-Fish_Inputs!$G$41))*F36</f>
        <v>0.98800000000000132</v>
      </c>
      <c r="I36" s="224">
        <f t="shared" si="41"/>
        <v>65208.000000000044</v>
      </c>
      <c r="J36" s="225">
        <f>Fish_Inputs!$J$11</f>
        <v>0.01</v>
      </c>
      <c r="K36" s="444">
        <f>IF(B36=1,Fish_Inputs!$R$15,K35*(1+Fish_CashFlows!J36))*F36</f>
        <v>7.9345099111381723</v>
      </c>
      <c r="L36" s="338">
        <f>IF(B36=1,Fish_Inputs!$R$16,L35*(1+Fish_CashFlows!J36))*F36</f>
        <v>14.025488927683528</v>
      </c>
      <c r="M36" s="86">
        <f>K36*I36*Fish_Inputs!$J$9</f>
        <v>258696.76114274914</v>
      </c>
      <c r="N36" s="214">
        <f>L36*I36*Fish_Inputs!$J$10</f>
        <v>457287.04099819402</v>
      </c>
      <c r="O36" s="423">
        <f t="shared" si="29"/>
        <v>0</v>
      </c>
      <c r="P36" s="122">
        <f>SUM(M36:O36)+IF(B36=Fish_Inputs!$J$17,Fish_Inputs!$J$19,0)</f>
        <v>715983.80214094312</v>
      </c>
      <c r="Q36" s="196">
        <f>IF(B36=1,Fish_Inputs!$O$7,Q35*(1+Fish_Inputs!$N$23))*F36</f>
        <v>571380.5918393617</v>
      </c>
      <c r="R36" s="86">
        <f>IF(B36=1,Fish_Inputs!$O$8,R35*(1+Fish_Inputs!$N$23))*F36</f>
        <v>9759.4471906999552</v>
      </c>
      <c r="S36" s="86">
        <f>IF(B36=1,Fish_Inputs!$O$9,S35*(1+Fish_Inputs!$N$23))*F36</f>
        <v>34109.639577132773</v>
      </c>
      <c r="T36" s="86">
        <f>IF(B36=1,Fish_Inputs!$O$10,T35*(1+Fish_Inputs!$N$23))*F36</f>
        <v>17753.465926171666</v>
      </c>
      <c r="U36" s="86">
        <f>IF(B36=1,Fish_Inputs!$O$11,U35*(1+Fish_Inputs!$N$23))*F36</f>
        <v>22354.159256313287</v>
      </c>
      <c r="V36" s="86">
        <f>IF(B36=1,Fish_Inputs!$O$12,V35*(1+Fish_Inputs!$N$23))*F36</f>
        <v>117.13105908900175</v>
      </c>
      <c r="W36" s="86">
        <f>IF(B36=1,Fish_Inputs!$O$13,W35*(1+Fish_Inputs!$N$23))*F36</f>
        <v>0</v>
      </c>
      <c r="X36" s="86">
        <f>IF(B36=1,Fish_Inputs!$O$14,X35*(1+Fish_Inputs!$N$23))*F36</f>
        <v>3623.3998084055788</v>
      </c>
      <c r="Y36" s="86">
        <f>IF(B36=1,Fish_Inputs!$O$15,Y35*(1+Fish_Inputs!$N$23))*F36</f>
        <v>3623.3998084055788</v>
      </c>
      <c r="Z36" s="86">
        <f>IF(B36=1,Fish_Inputs!$O$16,Z35*(1+Fish_Inputs!$N$23))*F36</f>
        <v>4548.4763694931135</v>
      </c>
      <c r="AA36" s="86">
        <f>IF(B36=1,Fish_Inputs!$O$17,AA35*(1+Fish_Inputs!$N$23))*F36</f>
        <v>3893.8529221645367</v>
      </c>
      <c r="AB36" s="102">
        <f>IF(B36=1,Fish_Inputs!$O$18,AB35*(1+Fish_Inputs!$N$23))*F36</f>
        <v>0</v>
      </c>
      <c r="AC36" s="684">
        <f>IF(B36=1,Fish_Inputs!$O$19,AC35*(1+Fish_Inputs!$N$23))*F36</f>
        <v>0</v>
      </c>
      <c r="AD36" s="86">
        <f>IF(B36=1,Fish_Inputs!$O$20,AD35*(1+Fish_Inputs!$N$23))*F36</f>
        <v>0</v>
      </c>
      <c r="AE36" s="86">
        <f>IF(B36=1,Fish_Inputs!$O$21,AE35*(1+Fish_Inputs!$N$23))*F36</f>
        <v>0</v>
      </c>
      <c r="AF36" s="200">
        <f>IF(B36=1,Fish_Inputs!$O$22,AF35*(1+Fish_Inputs!$N$23))*F36</f>
        <v>0</v>
      </c>
      <c r="AG36" s="200">
        <f t="shared" si="30"/>
        <v>671163.56375723705</v>
      </c>
      <c r="AH36" s="86">
        <f t="shared" si="13"/>
        <v>44820.238383706077</v>
      </c>
      <c r="AI36" s="225">
        <f t="shared" si="14"/>
        <v>6.2599514471813569E-2</v>
      </c>
      <c r="AJ36" s="457">
        <f>Deprec!C35</f>
        <v>10745.438699832541</v>
      </c>
      <c r="AK36" s="86">
        <f t="shared" si="15"/>
        <v>34074.799683873534</v>
      </c>
      <c r="AL36" s="455">
        <f t="shared" si="31"/>
        <v>0</v>
      </c>
      <c r="AM36" s="86">
        <f t="shared" si="32"/>
        <v>34074.799683873534</v>
      </c>
      <c r="AN36" s="197">
        <f>IF(AM36&lt;0,0,(AM36*Fish_Inputs!$J$14))</f>
        <v>10222.43990516206</v>
      </c>
      <c r="AO36" s="86">
        <f t="shared" si="33"/>
        <v>23852.359778711474</v>
      </c>
      <c r="AP36" s="226">
        <f t="shared" si="16"/>
        <v>3.3314105301527591E-2</v>
      </c>
      <c r="AS36" s="196">
        <f t="shared" si="17"/>
        <v>715983.80214094312</v>
      </c>
      <c r="AT36" s="86">
        <f t="shared" si="18"/>
        <v>671163.56375723705</v>
      </c>
      <c r="AU36" s="197">
        <f t="shared" si="34"/>
        <v>44820.238383706077</v>
      </c>
      <c r="AV36" s="196">
        <f>IF(B36=0,Fish_Inputs!$C$29,0)</f>
        <v>0</v>
      </c>
      <c r="AW36" s="198">
        <f t="shared" si="5"/>
        <v>0</v>
      </c>
      <c r="AX36" s="197">
        <f t="shared" si="6"/>
        <v>44820.238383706077</v>
      </c>
      <c r="AY36" s="192">
        <f>IF(B36=0,Fish_Inputs!$G$15+Fish_Inputs!$G$16,0)</f>
        <v>0</v>
      </c>
      <c r="AZ36" s="193">
        <f>IF(B36=0,Fish_Inputs!$G$14,0)</f>
        <v>0</v>
      </c>
      <c r="BA36" s="200">
        <f t="shared" si="7"/>
        <v>0</v>
      </c>
      <c r="BB36" s="196">
        <f t="shared" si="8"/>
        <v>44820.238383706077</v>
      </c>
      <c r="BC36" s="196">
        <f>Fish_Inputs!$G$20*AVERAGE(BR36,BS36)</f>
        <v>0</v>
      </c>
      <c r="BD36" s="200">
        <f t="shared" si="9"/>
        <v>10222.43990516206</v>
      </c>
      <c r="BE36" s="200">
        <f t="shared" si="19"/>
        <v>44820.238383706077</v>
      </c>
      <c r="BF36" s="86">
        <f t="shared" si="20"/>
        <v>34597.79847854402</v>
      </c>
      <c r="BG36" s="197">
        <f t="shared" si="21"/>
        <v>34597.79847854402</v>
      </c>
      <c r="BH36" s="86">
        <f t="shared" si="35"/>
        <v>0</v>
      </c>
      <c r="BI36" s="86">
        <f t="shared" si="36"/>
        <v>0</v>
      </c>
      <c r="BJ36" s="86">
        <f>-Debt_Calc!M34</f>
        <v>0</v>
      </c>
      <c r="BK36" s="86">
        <f>Debt_Calc!N34</f>
        <v>0</v>
      </c>
      <c r="BL36" s="86">
        <f t="shared" si="22"/>
        <v>0</v>
      </c>
      <c r="BM36" s="423">
        <f t="shared" si="37"/>
        <v>0</v>
      </c>
      <c r="BN36" s="86">
        <f t="shared" si="38"/>
        <v>34597.79847854402</v>
      </c>
      <c r="BO36" s="86">
        <f t="shared" si="23"/>
        <v>44820.238383706077</v>
      </c>
      <c r="BP36" s="86">
        <f t="shared" si="39"/>
        <v>34597.79847854402</v>
      </c>
      <c r="BQ36" s="86">
        <f t="shared" si="24"/>
        <v>0</v>
      </c>
      <c r="BR36" s="86">
        <f t="shared" si="25"/>
        <v>0</v>
      </c>
      <c r="BS36" s="86">
        <f t="shared" si="10"/>
        <v>0</v>
      </c>
      <c r="BT36" s="86">
        <f t="shared" si="26"/>
        <v>426759.94013174821</v>
      </c>
      <c r="BU36" s="86">
        <f t="shared" si="40"/>
        <v>2</v>
      </c>
      <c r="BV36" s="214">
        <f t="shared" si="11"/>
        <v>2251.5272856157976</v>
      </c>
    </row>
    <row r="37" spans="2:93" s="86" customFormat="1" x14ac:dyDescent="0.3">
      <c r="B37" s="192">
        <f t="shared" si="27"/>
        <v>26</v>
      </c>
      <c r="C37" s="350">
        <f t="shared" si="12"/>
        <v>2047</v>
      </c>
      <c r="D37" s="351">
        <f t="shared" si="42"/>
        <v>53693</v>
      </c>
      <c r="E37" s="441">
        <f t="shared" si="42"/>
        <v>54057</v>
      </c>
      <c r="F37" s="733">
        <f>IF(AND(B37&gt;0,B37&lt;=Fish_Inputs!$J$17),1,0)</f>
        <v>0</v>
      </c>
      <c r="G37" s="730">
        <f>IF(F37=1,Fish_Inputs!$G$31,0)</f>
        <v>0</v>
      </c>
      <c r="H37" s="446">
        <f>IF(AND(F36=0,F37=1),100%,IF(AND(F36=0,F37=0),100%,H36-Fish_Inputs!$G$41))*F37</f>
        <v>0</v>
      </c>
      <c r="I37" s="224">
        <f t="shared" si="41"/>
        <v>0</v>
      </c>
      <c r="J37" s="225">
        <f>Fish_Inputs!$J$11</f>
        <v>0.01</v>
      </c>
      <c r="K37" s="444">
        <f>IF(B37=1,Fish_Inputs!$R$15,K36*(1+Fish_CashFlows!J37))*F37</f>
        <v>0</v>
      </c>
      <c r="L37" s="338">
        <f>IF(B37=1,Fish_Inputs!$R$16,L36*(1+Fish_CashFlows!J37))*F37</f>
        <v>0</v>
      </c>
      <c r="M37" s="86">
        <f>K37*I37*Fish_Inputs!$J$9</f>
        <v>0</v>
      </c>
      <c r="N37" s="214">
        <f>L37*I37*Fish_Inputs!$J$10</f>
        <v>0</v>
      </c>
      <c r="O37" s="423">
        <f t="shared" si="29"/>
        <v>0</v>
      </c>
      <c r="P37" s="122">
        <f>SUM(M37:O37)+IF(B37=Fish_Inputs!$J$17,Fish_Inputs!$J$19,0)</f>
        <v>0</v>
      </c>
      <c r="Q37" s="196">
        <f>IF(B37=1,Fish_Inputs!$O$7,Q36*(1+Fish_Inputs!$N$23))*F37</f>
        <v>0</v>
      </c>
      <c r="R37" s="86">
        <f>IF(B37=1,Fish_Inputs!$O$8,R36*(1+Fish_Inputs!$N$23))*F37</f>
        <v>0</v>
      </c>
      <c r="S37" s="86">
        <f>IF(B37=1,Fish_Inputs!$O$9,S36*(1+Fish_Inputs!$N$23))*F37</f>
        <v>0</v>
      </c>
      <c r="T37" s="86">
        <f>IF(B37=1,Fish_Inputs!$O$10,T36*(1+Fish_Inputs!$N$23))*F37</f>
        <v>0</v>
      </c>
      <c r="U37" s="86">
        <f>IF(B37=1,Fish_Inputs!$O$11,U36*(1+Fish_Inputs!$N$23))*F37</f>
        <v>0</v>
      </c>
      <c r="V37" s="86">
        <f>IF(B37=1,Fish_Inputs!$O$12,V36*(1+Fish_Inputs!$N$23))*F37</f>
        <v>0</v>
      </c>
      <c r="W37" s="86">
        <f>IF(B37=1,Fish_Inputs!$O$13,W36*(1+Fish_Inputs!$N$23))*F37</f>
        <v>0</v>
      </c>
      <c r="X37" s="86">
        <f>IF(B37=1,Fish_Inputs!$O$14,X36*(1+Fish_Inputs!$N$23))*F37</f>
        <v>0</v>
      </c>
      <c r="Y37" s="86">
        <f>IF(B37=1,Fish_Inputs!$O$15,Y36*(1+Fish_Inputs!$N$23))*F37</f>
        <v>0</v>
      </c>
      <c r="Z37" s="86">
        <f>IF(B37=1,Fish_Inputs!$O$16,Z36*(1+Fish_Inputs!$N$23))*F37</f>
        <v>0</v>
      </c>
      <c r="AA37" s="86">
        <f>IF(B37=1,Fish_Inputs!$O$17,AA36*(1+Fish_Inputs!$N$23))*F37</f>
        <v>0</v>
      </c>
      <c r="AB37" s="102">
        <f>IF(B37=1,Fish_Inputs!$O$18,AB36*(1+Fish_Inputs!$N$23))*F37</f>
        <v>0</v>
      </c>
      <c r="AC37" s="684">
        <f>IF(B37=1,Fish_Inputs!$O$19,AC36*(1+Fish_Inputs!$N$23))*F37</f>
        <v>0</v>
      </c>
      <c r="AD37" s="86">
        <f>IF(B37=1,Fish_Inputs!$O$20,AD36*(1+Fish_Inputs!$N$23))*F37</f>
        <v>0</v>
      </c>
      <c r="AE37" s="86">
        <f>IF(B37=1,Fish_Inputs!$O$21,AE36*(1+Fish_Inputs!$N$23))*F37</f>
        <v>0</v>
      </c>
      <c r="AF37" s="200">
        <f>IF(B37=1,Fish_Inputs!$O$22,AF36*(1+Fish_Inputs!$N$23))*F37</f>
        <v>0</v>
      </c>
      <c r="AG37" s="200">
        <f t="shared" si="30"/>
        <v>0</v>
      </c>
      <c r="AH37" s="86">
        <f t="shared" si="13"/>
        <v>0</v>
      </c>
      <c r="AI37" s="225">
        <f t="shared" si="14"/>
        <v>0</v>
      </c>
      <c r="AJ37" s="457">
        <f>Deprec!C36</f>
        <v>0</v>
      </c>
      <c r="AK37" s="86">
        <f t="shared" si="15"/>
        <v>0</v>
      </c>
      <c r="AL37" s="455">
        <f t="shared" si="31"/>
        <v>0</v>
      </c>
      <c r="AM37" s="86">
        <f t="shared" si="32"/>
        <v>0</v>
      </c>
      <c r="AN37" s="197">
        <f>IF(AM37&lt;0,0,(AM37*Fish_Inputs!$J$14))</f>
        <v>0</v>
      </c>
      <c r="AO37" s="86">
        <f t="shared" si="33"/>
        <v>0</v>
      </c>
      <c r="AP37" s="226">
        <f t="shared" si="16"/>
        <v>0</v>
      </c>
      <c r="AS37" s="196">
        <f t="shared" si="17"/>
        <v>0</v>
      </c>
      <c r="AT37" s="86">
        <f t="shared" si="18"/>
        <v>0</v>
      </c>
      <c r="AU37" s="197">
        <f t="shared" si="34"/>
        <v>0</v>
      </c>
      <c r="AV37" s="196">
        <f>IF(B37=0,Fish_Inputs!$C$29,0)</f>
        <v>0</v>
      </c>
      <c r="AW37" s="198">
        <f t="shared" si="5"/>
        <v>0</v>
      </c>
      <c r="AX37" s="197">
        <f t="shared" si="6"/>
        <v>0</v>
      </c>
      <c r="AY37" s="192">
        <f>IF(B37=0,Fish_Inputs!$G$15+Fish_Inputs!$G$16,0)</f>
        <v>0</v>
      </c>
      <c r="AZ37" s="193">
        <f>IF(B37=0,Fish_Inputs!$G$14,0)</f>
        <v>0</v>
      </c>
      <c r="BA37" s="200">
        <f t="shared" si="7"/>
        <v>0</v>
      </c>
      <c r="BB37" s="196">
        <f t="shared" si="8"/>
        <v>0</v>
      </c>
      <c r="BC37" s="196">
        <f>Fish_Inputs!$G$20*AVERAGE(BR37,BS37)</f>
        <v>0</v>
      </c>
      <c r="BD37" s="200">
        <f t="shared" si="9"/>
        <v>0</v>
      </c>
      <c r="BE37" s="200">
        <f t="shared" si="19"/>
        <v>0</v>
      </c>
      <c r="BF37" s="86">
        <f t="shared" si="20"/>
        <v>0</v>
      </c>
      <c r="BG37" s="197">
        <f t="shared" si="21"/>
        <v>0</v>
      </c>
      <c r="BH37" s="86">
        <f t="shared" si="35"/>
        <v>0</v>
      </c>
      <c r="BI37" s="86">
        <f t="shared" si="36"/>
        <v>0</v>
      </c>
      <c r="BJ37" s="86">
        <f>-Debt_Calc!M35</f>
        <v>0</v>
      </c>
      <c r="BK37" s="86">
        <f>Debt_Calc!N35</f>
        <v>0</v>
      </c>
      <c r="BL37" s="86">
        <f t="shared" si="22"/>
        <v>0</v>
      </c>
      <c r="BM37" s="423">
        <f t="shared" si="37"/>
        <v>0</v>
      </c>
      <c r="BN37" s="86">
        <f t="shared" si="38"/>
        <v>0</v>
      </c>
      <c r="BO37" s="86">
        <f t="shared" si="23"/>
        <v>0</v>
      </c>
      <c r="BP37" s="86">
        <f t="shared" si="39"/>
        <v>0</v>
      </c>
      <c r="BQ37" s="86">
        <f t="shared" si="24"/>
        <v>0</v>
      </c>
      <c r="BR37" s="86">
        <f t="shared" si="25"/>
        <v>0</v>
      </c>
      <c r="BS37" s="86">
        <f t="shared" si="10"/>
        <v>0</v>
      </c>
      <c r="BT37" s="86">
        <f t="shared" si="26"/>
        <v>426759.94013174821</v>
      </c>
      <c r="BU37" s="86">
        <f t="shared" si="40"/>
        <v>2</v>
      </c>
      <c r="BV37" s="214">
        <f t="shared" si="11"/>
        <v>0</v>
      </c>
    </row>
    <row r="38" spans="2:93" s="86" customFormat="1" x14ac:dyDescent="0.3">
      <c r="B38" s="192">
        <f t="shared" si="27"/>
        <v>27</v>
      </c>
      <c r="C38" s="350">
        <f t="shared" si="12"/>
        <v>2048</v>
      </c>
      <c r="D38" s="351">
        <f t="shared" si="42"/>
        <v>54058</v>
      </c>
      <c r="E38" s="441">
        <f t="shared" si="42"/>
        <v>54423</v>
      </c>
      <c r="F38" s="733">
        <f>IF(AND(B38&gt;0,B38&lt;=Fish_Inputs!$J$17),1,0)</f>
        <v>0</v>
      </c>
      <c r="G38" s="730">
        <f>IF(F38=1,Fish_Inputs!$G$31,0)</f>
        <v>0</v>
      </c>
      <c r="H38" s="446">
        <f>IF(AND(F37=0,F38=1),100%,IF(AND(F37=0,F38=0),100%,H37-Fish_Inputs!$G$41))*F38</f>
        <v>0</v>
      </c>
      <c r="I38" s="224">
        <f t="shared" si="41"/>
        <v>0</v>
      </c>
      <c r="J38" s="225">
        <f>Fish_Inputs!$J$11</f>
        <v>0.01</v>
      </c>
      <c r="K38" s="444">
        <f>IF(B38=1,Fish_Inputs!$R$15,K37*(1+Fish_CashFlows!J38))*F38</f>
        <v>0</v>
      </c>
      <c r="L38" s="338">
        <f>IF(B38=1,Fish_Inputs!$R$16,L37*(1+Fish_CashFlows!J38))*F38</f>
        <v>0</v>
      </c>
      <c r="M38" s="86">
        <f>K38*I38*Fish_Inputs!$J$9</f>
        <v>0</v>
      </c>
      <c r="N38" s="214">
        <f>L38*I38*Fish_Inputs!$J$10</f>
        <v>0</v>
      </c>
      <c r="O38" s="423">
        <f t="shared" si="29"/>
        <v>0</v>
      </c>
      <c r="P38" s="122">
        <f>SUM(M38:O38)+IF(B38=Fish_Inputs!$J$17,Fish_Inputs!$J$19,0)</f>
        <v>0</v>
      </c>
      <c r="Q38" s="196">
        <f>IF(B38=1,Fish_Inputs!$O$7,Q37*(1+Fish_Inputs!$N$23))*F38</f>
        <v>0</v>
      </c>
      <c r="R38" s="86">
        <f>IF(B38=1,Fish_Inputs!$O$8,R37*(1+Fish_Inputs!$N$23))*F38</f>
        <v>0</v>
      </c>
      <c r="S38" s="86">
        <f>IF(B38=1,Fish_Inputs!$O$9,S37*(1+Fish_Inputs!$N$23))*F38</f>
        <v>0</v>
      </c>
      <c r="T38" s="86">
        <f>IF(B38=1,Fish_Inputs!$O$10,T37*(1+Fish_Inputs!$N$23))*F38</f>
        <v>0</v>
      </c>
      <c r="U38" s="86">
        <f>IF(B38=1,Fish_Inputs!$O$11,U37*(1+Fish_Inputs!$N$23))*F38</f>
        <v>0</v>
      </c>
      <c r="V38" s="86">
        <f>IF(B38=1,Fish_Inputs!$O$12,V37*(1+Fish_Inputs!$N$23))*F38</f>
        <v>0</v>
      </c>
      <c r="W38" s="86">
        <f>IF(B38=1,Fish_Inputs!$O$13,W37*(1+Fish_Inputs!$N$23))*F38</f>
        <v>0</v>
      </c>
      <c r="X38" s="86">
        <f>IF(B38=1,Fish_Inputs!$O$14,X37*(1+Fish_Inputs!$N$23))*F38</f>
        <v>0</v>
      </c>
      <c r="Y38" s="86">
        <f>IF(B38=1,Fish_Inputs!$O$15,Y37*(1+Fish_Inputs!$N$23))*F38</f>
        <v>0</v>
      </c>
      <c r="Z38" s="86">
        <f>IF(B38=1,Fish_Inputs!$O$16,Z37*(1+Fish_Inputs!$N$23))*F38</f>
        <v>0</v>
      </c>
      <c r="AA38" s="86">
        <f>IF(B38=1,Fish_Inputs!$O$17,AA37*(1+Fish_Inputs!$N$23))*F38</f>
        <v>0</v>
      </c>
      <c r="AB38" s="102">
        <f>IF(B38=1,Fish_Inputs!$O$18,AB37*(1+Fish_Inputs!$N$23))*F38</f>
        <v>0</v>
      </c>
      <c r="AC38" s="684">
        <f>IF(B38=1,Fish_Inputs!$O$19,AC37*(1+Fish_Inputs!$N$23))*F38</f>
        <v>0</v>
      </c>
      <c r="AD38" s="86">
        <f>IF(B38=1,Fish_Inputs!$O$20,AD37*(1+Fish_Inputs!$N$23))*F38</f>
        <v>0</v>
      </c>
      <c r="AE38" s="86">
        <f>IF(B38=1,Fish_Inputs!$O$21,AE37*(1+Fish_Inputs!$N$23))*F38</f>
        <v>0</v>
      </c>
      <c r="AF38" s="200">
        <f>IF(B38=1,Fish_Inputs!$O$22,AF37*(1+Fish_Inputs!$N$23))*F38</f>
        <v>0</v>
      </c>
      <c r="AG38" s="200">
        <f t="shared" si="30"/>
        <v>0</v>
      </c>
      <c r="AH38" s="86">
        <f t="shared" si="13"/>
        <v>0</v>
      </c>
      <c r="AI38" s="225">
        <f t="shared" si="14"/>
        <v>0</v>
      </c>
      <c r="AJ38" s="457">
        <f>Deprec!C37</f>
        <v>0</v>
      </c>
      <c r="AK38" s="86">
        <f t="shared" si="15"/>
        <v>0</v>
      </c>
      <c r="AL38" s="455">
        <f t="shared" si="31"/>
        <v>0</v>
      </c>
      <c r="AM38" s="86">
        <f t="shared" si="32"/>
        <v>0</v>
      </c>
      <c r="AN38" s="197">
        <f>IF(AM38&lt;0,0,(AM38*Fish_Inputs!$J$14))</f>
        <v>0</v>
      </c>
      <c r="AO38" s="86">
        <f t="shared" si="33"/>
        <v>0</v>
      </c>
      <c r="AP38" s="226">
        <f t="shared" si="16"/>
        <v>0</v>
      </c>
      <c r="AS38" s="196">
        <f t="shared" si="17"/>
        <v>0</v>
      </c>
      <c r="AT38" s="86">
        <f t="shared" si="18"/>
        <v>0</v>
      </c>
      <c r="AU38" s="197">
        <f t="shared" si="34"/>
        <v>0</v>
      </c>
      <c r="AV38" s="196">
        <f>IF(B38=0,Fish_Inputs!$C$29,0)</f>
        <v>0</v>
      </c>
      <c r="AW38" s="198">
        <f t="shared" si="5"/>
        <v>0</v>
      </c>
      <c r="AX38" s="197">
        <f t="shared" si="6"/>
        <v>0</v>
      </c>
      <c r="AY38" s="192">
        <f>IF(B38=0,Fish_Inputs!$G$15+Fish_Inputs!$G$16,0)</f>
        <v>0</v>
      </c>
      <c r="AZ38" s="193">
        <f>IF(B38=0,Fish_Inputs!$G$14,0)</f>
        <v>0</v>
      </c>
      <c r="BA38" s="200">
        <f t="shared" si="7"/>
        <v>0</v>
      </c>
      <c r="BB38" s="196">
        <f t="shared" si="8"/>
        <v>0</v>
      </c>
      <c r="BC38" s="196">
        <f>Fish_Inputs!$G$20*AVERAGE(BR38,BS38)</f>
        <v>0</v>
      </c>
      <c r="BD38" s="200">
        <f t="shared" si="9"/>
        <v>0</v>
      </c>
      <c r="BE38" s="200">
        <f t="shared" si="19"/>
        <v>0</v>
      </c>
      <c r="BF38" s="86">
        <f t="shared" si="20"/>
        <v>0</v>
      </c>
      <c r="BG38" s="197">
        <f t="shared" si="21"/>
        <v>0</v>
      </c>
      <c r="BH38" s="86">
        <f t="shared" si="35"/>
        <v>0</v>
      </c>
      <c r="BI38" s="86">
        <f t="shared" si="36"/>
        <v>0</v>
      </c>
      <c r="BJ38" s="86">
        <f>-Debt_Calc!M36</f>
        <v>0</v>
      </c>
      <c r="BK38" s="86">
        <f>Debt_Calc!N36</f>
        <v>0</v>
      </c>
      <c r="BL38" s="86">
        <f t="shared" si="22"/>
        <v>0</v>
      </c>
      <c r="BM38" s="423">
        <f t="shared" si="37"/>
        <v>0</v>
      </c>
      <c r="BN38" s="86">
        <f t="shared" si="38"/>
        <v>0</v>
      </c>
      <c r="BO38" s="86">
        <f t="shared" si="23"/>
        <v>0</v>
      </c>
      <c r="BP38" s="86">
        <f t="shared" si="39"/>
        <v>0</v>
      </c>
      <c r="BQ38" s="86">
        <f t="shared" si="24"/>
        <v>0</v>
      </c>
      <c r="BR38" s="86">
        <f t="shared" si="25"/>
        <v>0</v>
      </c>
      <c r="BS38" s="86">
        <f t="shared" si="10"/>
        <v>0</v>
      </c>
      <c r="BT38" s="86">
        <f t="shared" si="26"/>
        <v>426759.94013174821</v>
      </c>
      <c r="BU38" s="86">
        <f t="shared" si="40"/>
        <v>2</v>
      </c>
      <c r="BV38" s="214">
        <f t="shared" si="11"/>
        <v>0</v>
      </c>
    </row>
    <row r="39" spans="2:93" s="86" customFormat="1" x14ac:dyDescent="0.3">
      <c r="B39" s="192">
        <f t="shared" si="27"/>
        <v>28</v>
      </c>
      <c r="C39" s="350">
        <f t="shared" si="12"/>
        <v>2049</v>
      </c>
      <c r="D39" s="351">
        <f t="shared" si="42"/>
        <v>54424</v>
      </c>
      <c r="E39" s="441">
        <f t="shared" si="42"/>
        <v>54788</v>
      </c>
      <c r="F39" s="733">
        <f>IF(AND(B39&gt;0,B39&lt;=Fish_Inputs!$J$17),1,0)</f>
        <v>0</v>
      </c>
      <c r="G39" s="730">
        <f>IF(F39=1,Fish_Inputs!$G$31,0)</f>
        <v>0</v>
      </c>
      <c r="H39" s="446">
        <f>IF(AND(F38=0,F39=1),100%,IF(AND(F38=0,F39=0),100%,H38-Fish_Inputs!$G$41))*F39</f>
        <v>0</v>
      </c>
      <c r="I39" s="224">
        <f t="shared" si="41"/>
        <v>0</v>
      </c>
      <c r="J39" s="225">
        <f>Fish_Inputs!$J$11</f>
        <v>0.01</v>
      </c>
      <c r="K39" s="444">
        <f>IF(B39=1,Fish_Inputs!$R$15,K38*(1+Fish_CashFlows!J39))*F39</f>
        <v>0</v>
      </c>
      <c r="L39" s="338">
        <f>IF(B39=1,Fish_Inputs!$R$16,L38*(1+Fish_CashFlows!J39))*F39</f>
        <v>0</v>
      </c>
      <c r="M39" s="86">
        <f>K39*I39*Fish_Inputs!$J$9</f>
        <v>0</v>
      </c>
      <c r="N39" s="214">
        <f>L39*I39*Fish_Inputs!$J$10</f>
        <v>0</v>
      </c>
      <c r="O39" s="423">
        <f t="shared" si="29"/>
        <v>0</v>
      </c>
      <c r="P39" s="122">
        <f>SUM(M39:O39)+IF(B39=Fish_Inputs!$J$17,Fish_Inputs!$J$19,0)</f>
        <v>0</v>
      </c>
      <c r="Q39" s="196">
        <f>IF(B39=1,Fish_Inputs!$O$7,Q38*(1+Fish_Inputs!$N$23))*F39</f>
        <v>0</v>
      </c>
      <c r="R39" s="86">
        <f>IF(B39=1,Fish_Inputs!$O$8,R38*(1+Fish_Inputs!$N$23))*F39</f>
        <v>0</v>
      </c>
      <c r="S39" s="86">
        <f>IF(B39=1,Fish_Inputs!$O$9,S38*(1+Fish_Inputs!$N$23))*F39</f>
        <v>0</v>
      </c>
      <c r="T39" s="86">
        <f>IF(B39=1,Fish_Inputs!$O$10,T38*(1+Fish_Inputs!$N$23))*F39</f>
        <v>0</v>
      </c>
      <c r="U39" s="86">
        <f>IF(B39=1,Fish_Inputs!$O$11,U38*(1+Fish_Inputs!$N$23))*F39</f>
        <v>0</v>
      </c>
      <c r="V39" s="86">
        <f>IF(B39=1,Fish_Inputs!$O$12,V38*(1+Fish_Inputs!$N$23))*F39</f>
        <v>0</v>
      </c>
      <c r="W39" s="86">
        <f>IF(B39=1,Fish_Inputs!$O$13,W38*(1+Fish_Inputs!$N$23))*F39</f>
        <v>0</v>
      </c>
      <c r="X39" s="86">
        <f>IF(B39=1,Fish_Inputs!$O$14,X38*(1+Fish_Inputs!$N$23))*F39</f>
        <v>0</v>
      </c>
      <c r="Y39" s="86">
        <f>IF(B39=1,Fish_Inputs!$O$15,Y38*(1+Fish_Inputs!$N$23))*F39</f>
        <v>0</v>
      </c>
      <c r="Z39" s="86">
        <f>IF(B39=1,Fish_Inputs!$O$16,Z38*(1+Fish_Inputs!$N$23))*F39</f>
        <v>0</v>
      </c>
      <c r="AA39" s="86">
        <f>IF(B39=1,Fish_Inputs!$O$17,AA38*(1+Fish_Inputs!$N$23))*F39</f>
        <v>0</v>
      </c>
      <c r="AB39" s="102">
        <f>IF(B39=1,Fish_Inputs!$O$18,AB38*(1+Fish_Inputs!$N$23))*F39</f>
        <v>0</v>
      </c>
      <c r="AC39" s="684">
        <f>IF(B39=1,Fish_Inputs!$O$19,AC38*(1+Fish_Inputs!$N$23))*F39</f>
        <v>0</v>
      </c>
      <c r="AD39" s="86">
        <f>IF(B39=1,Fish_Inputs!$O$20,AD38*(1+Fish_Inputs!$N$23))*F39</f>
        <v>0</v>
      </c>
      <c r="AE39" s="86">
        <f>IF(B39=1,Fish_Inputs!$O$21,AE38*(1+Fish_Inputs!$N$23))*F39</f>
        <v>0</v>
      </c>
      <c r="AF39" s="200">
        <f>IF(B39=1,Fish_Inputs!$O$22,AF38*(1+Fish_Inputs!$N$23))*F39</f>
        <v>0</v>
      </c>
      <c r="AG39" s="200">
        <f t="shared" si="30"/>
        <v>0</v>
      </c>
      <c r="AH39" s="86">
        <f t="shared" si="13"/>
        <v>0</v>
      </c>
      <c r="AI39" s="225">
        <f t="shared" si="14"/>
        <v>0</v>
      </c>
      <c r="AJ39" s="457">
        <f>Deprec!C38</f>
        <v>0</v>
      </c>
      <c r="AK39" s="86">
        <f t="shared" si="15"/>
        <v>0</v>
      </c>
      <c r="AL39" s="455">
        <f t="shared" si="31"/>
        <v>0</v>
      </c>
      <c r="AM39" s="86">
        <f t="shared" si="32"/>
        <v>0</v>
      </c>
      <c r="AN39" s="197">
        <f>IF(AM39&lt;0,0,(AM39*Fish_Inputs!$J$14))</f>
        <v>0</v>
      </c>
      <c r="AO39" s="86">
        <f t="shared" si="33"/>
        <v>0</v>
      </c>
      <c r="AP39" s="226">
        <f t="shared" si="16"/>
        <v>0</v>
      </c>
      <c r="AS39" s="196">
        <f t="shared" si="17"/>
        <v>0</v>
      </c>
      <c r="AT39" s="86">
        <f t="shared" si="18"/>
        <v>0</v>
      </c>
      <c r="AU39" s="197">
        <f t="shared" si="34"/>
        <v>0</v>
      </c>
      <c r="AV39" s="196">
        <f>IF(B39=0,Fish_Inputs!$C$29,0)</f>
        <v>0</v>
      </c>
      <c r="AW39" s="198">
        <f t="shared" si="5"/>
        <v>0</v>
      </c>
      <c r="AX39" s="197">
        <f t="shared" si="6"/>
        <v>0</v>
      </c>
      <c r="AY39" s="192">
        <f>IF(B39=0,Fish_Inputs!$G$15+Fish_Inputs!$G$16,0)</f>
        <v>0</v>
      </c>
      <c r="AZ39" s="193">
        <f>IF(B39=0,Fish_Inputs!$G$14,0)</f>
        <v>0</v>
      </c>
      <c r="BA39" s="200">
        <f t="shared" si="7"/>
        <v>0</v>
      </c>
      <c r="BB39" s="196">
        <f t="shared" si="8"/>
        <v>0</v>
      </c>
      <c r="BC39" s="196">
        <f>Fish_Inputs!$G$20*AVERAGE(BR39,BS39)</f>
        <v>0</v>
      </c>
      <c r="BD39" s="200">
        <f t="shared" si="9"/>
        <v>0</v>
      </c>
      <c r="BE39" s="200">
        <f t="shared" si="19"/>
        <v>0</v>
      </c>
      <c r="BF39" s="86">
        <f t="shared" si="20"/>
        <v>0</v>
      </c>
      <c r="BG39" s="197">
        <f t="shared" si="21"/>
        <v>0</v>
      </c>
      <c r="BH39" s="86">
        <f t="shared" si="35"/>
        <v>0</v>
      </c>
      <c r="BI39" s="86">
        <f t="shared" si="36"/>
        <v>0</v>
      </c>
      <c r="BJ39" s="86">
        <f>-Debt_Calc!M37</f>
        <v>0</v>
      </c>
      <c r="BK39" s="86">
        <f>Debt_Calc!N37</f>
        <v>0</v>
      </c>
      <c r="BL39" s="86">
        <f t="shared" si="22"/>
        <v>0</v>
      </c>
      <c r="BM39" s="423">
        <f t="shared" si="37"/>
        <v>0</v>
      </c>
      <c r="BN39" s="86">
        <f t="shared" si="38"/>
        <v>0</v>
      </c>
      <c r="BO39" s="86">
        <f t="shared" si="23"/>
        <v>0</v>
      </c>
      <c r="BP39" s="86">
        <f t="shared" si="39"/>
        <v>0</v>
      </c>
      <c r="BQ39" s="86">
        <f t="shared" si="24"/>
        <v>0</v>
      </c>
      <c r="BR39" s="86">
        <f t="shared" si="25"/>
        <v>0</v>
      </c>
      <c r="BS39" s="86">
        <f t="shared" si="10"/>
        <v>0</v>
      </c>
      <c r="BT39" s="86">
        <f t="shared" si="26"/>
        <v>426759.94013174821</v>
      </c>
      <c r="BU39" s="86">
        <f t="shared" si="40"/>
        <v>2</v>
      </c>
      <c r="BV39" s="214">
        <f t="shared" si="11"/>
        <v>0</v>
      </c>
    </row>
    <row r="40" spans="2:93" s="86" customFormat="1" x14ac:dyDescent="0.3">
      <c r="B40" s="192">
        <f t="shared" si="27"/>
        <v>29</v>
      </c>
      <c r="C40" s="350">
        <f t="shared" si="12"/>
        <v>2050</v>
      </c>
      <c r="D40" s="351">
        <f t="shared" si="42"/>
        <v>54789</v>
      </c>
      <c r="E40" s="441">
        <f t="shared" si="42"/>
        <v>55153</v>
      </c>
      <c r="F40" s="733">
        <f>IF(AND(B40&gt;0,B40&lt;=Fish_Inputs!$J$17),1,0)</f>
        <v>0</v>
      </c>
      <c r="G40" s="730">
        <f>IF(F40=1,Fish_Inputs!$G$31,0)</f>
        <v>0</v>
      </c>
      <c r="H40" s="446">
        <f>IF(AND(F39=0,F40=1),100%,IF(AND(F39=0,F40=0),100%,H39-Fish_Inputs!$G$41))*F40</f>
        <v>0</v>
      </c>
      <c r="I40" s="224">
        <f t="shared" si="41"/>
        <v>0</v>
      </c>
      <c r="J40" s="225">
        <f>Fish_Inputs!$J$11</f>
        <v>0.01</v>
      </c>
      <c r="K40" s="444">
        <f>IF(B40=1,Fish_Inputs!$R$15,K39*(1+Fish_CashFlows!J40))*F40</f>
        <v>0</v>
      </c>
      <c r="L40" s="338">
        <f>IF(B40=1,Fish_Inputs!$R$16,L39*(1+Fish_CashFlows!J40))*F40</f>
        <v>0</v>
      </c>
      <c r="M40" s="86">
        <f>K40*I40*Fish_Inputs!$J$9</f>
        <v>0</v>
      </c>
      <c r="N40" s="214">
        <f>L40*I40*Fish_Inputs!$J$10</f>
        <v>0</v>
      </c>
      <c r="O40" s="423">
        <f t="shared" si="29"/>
        <v>0</v>
      </c>
      <c r="P40" s="122">
        <f>SUM(M40:O40)+IF(B40=Fish_Inputs!$J$17,Fish_Inputs!$J$19,0)</f>
        <v>0</v>
      </c>
      <c r="Q40" s="196">
        <f>IF(B40=1,Fish_Inputs!$O$7,Q39*(1+Fish_Inputs!$N$23))*F40</f>
        <v>0</v>
      </c>
      <c r="R40" s="86">
        <f>IF(B40=1,Fish_Inputs!$O$8,R39*(1+Fish_Inputs!$N$23))*F40</f>
        <v>0</v>
      </c>
      <c r="S40" s="86">
        <f>IF(B40=1,Fish_Inputs!$O$9,S39*(1+Fish_Inputs!$N$23))*F40</f>
        <v>0</v>
      </c>
      <c r="T40" s="86">
        <f>IF(B40=1,Fish_Inputs!$O$10,T39*(1+Fish_Inputs!$N$23))*F40</f>
        <v>0</v>
      </c>
      <c r="U40" s="86">
        <f>IF(B40=1,Fish_Inputs!$O$11,U39*(1+Fish_Inputs!$N$23))*F40</f>
        <v>0</v>
      </c>
      <c r="V40" s="86">
        <f>IF(B40=1,Fish_Inputs!$O$12,V39*(1+Fish_Inputs!$N$23))*F40</f>
        <v>0</v>
      </c>
      <c r="W40" s="86">
        <f>IF(B40=1,Fish_Inputs!$O$13,W39*(1+Fish_Inputs!$N$23))*F40</f>
        <v>0</v>
      </c>
      <c r="X40" s="86">
        <f>IF(B40=1,Fish_Inputs!$O$14,X39*(1+Fish_Inputs!$N$23))*F40</f>
        <v>0</v>
      </c>
      <c r="Y40" s="86">
        <f>IF(B40=1,Fish_Inputs!$O$15,Y39*(1+Fish_Inputs!$N$23))*F40</f>
        <v>0</v>
      </c>
      <c r="Z40" s="86">
        <f>IF(B40=1,Fish_Inputs!$O$16,Z39*(1+Fish_Inputs!$N$23))*F40</f>
        <v>0</v>
      </c>
      <c r="AA40" s="86">
        <f>IF(B40=1,Fish_Inputs!$O$17,AA39*(1+Fish_Inputs!$N$23))*F40</f>
        <v>0</v>
      </c>
      <c r="AB40" s="102">
        <f>IF(B40=1,Fish_Inputs!$O$18,AB39*(1+Fish_Inputs!$N$23))*F40</f>
        <v>0</v>
      </c>
      <c r="AC40" s="684">
        <f>IF(B40=1,Fish_Inputs!$O$19,AC39*(1+Fish_Inputs!$N$23))*F40</f>
        <v>0</v>
      </c>
      <c r="AD40" s="86">
        <f>IF(B40=1,Fish_Inputs!$O$20,AD39*(1+Fish_Inputs!$N$23))*F40</f>
        <v>0</v>
      </c>
      <c r="AE40" s="86">
        <f>IF(B40=1,Fish_Inputs!$O$21,AE39*(1+Fish_Inputs!$N$23))*F40</f>
        <v>0</v>
      </c>
      <c r="AF40" s="200">
        <f>IF(B40=1,Fish_Inputs!$O$22,AF39*(1+Fish_Inputs!$N$23))*F40</f>
        <v>0</v>
      </c>
      <c r="AG40" s="200">
        <f t="shared" si="30"/>
        <v>0</v>
      </c>
      <c r="AH40" s="86">
        <f t="shared" si="13"/>
        <v>0</v>
      </c>
      <c r="AI40" s="225">
        <f t="shared" si="14"/>
        <v>0</v>
      </c>
      <c r="AJ40" s="457">
        <f>Deprec!C39</f>
        <v>0</v>
      </c>
      <c r="AK40" s="86">
        <f t="shared" si="15"/>
        <v>0</v>
      </c>
      <c r="AL40" s="455">
        <f t="shared" si="31"/>
        <v>0</v>
      </c>
      <c r="AM40" s="86">
        <f t="shared" si="32"/>
        <v>0</v>
      </c>
      <c r="AN40" s="197">
        <f>IF(AM40&lt;0,0,(AM40*Fish_Inputs!$J$14))</f>
        <v>0</v>
      </c>
      <c r="AO40" s="86">
        <f t="shared" si="33"/>
        <v>0</v>
      </c>
      <c r="AP40" s="226">
        <f t="shared" si="16"/>
        <v>0</v>
      </c>
      <c r="AS40" s="196">
        <f t="shared" si="17"/>
        <v>0</v>
      </c>
      <c r="AT40" s="86">
        <f t="shared" si="18"/>
        <v>0</v>
      </c>
      <c r="AU40" s="197">
        <f t="shared" si="34"/>
        <v>0</v>
      </c>
      <c r="AV40" s="196">
        <f>IF(B40=0,Fish_Inputs!$C$29,0)</f>
        <v>0</v>
      </c>
      <c r="AW40" s="198">
        <f t="shared" si="5"/>
        <v>0</v>
      </c>
      <c r="AX40" s="197">
        <f t="shared" si="6"/>
        <v>0</v>
      </c>
      <c r="AY40" s="192">
        <f>IF(B40=0,Fish_Inputs!$G$15+Fish_Inputs!$G$16,0)</f>
        <v>0</v>
      </c>
      <c r="AZ40" s="193">
        <f>IF(B40=0,Fish_Inputs!$G$14,0)</f>
        <v>0</v>
      </c>
      <c r="BA40" s="200">
        <f t="shared" si="7"/>
        <v>0</v>
      </c>
      <c r="BB40" s="196">
        <f t="shared" si="8"/>
        <v>0</v>
      </c>
      <c r="BC40" s="196">
        <f>Fish_Inputs!$G$20*AVERAGE(BR40,BS40)</f>
        <v>0</v>
      </c>
      <c r="BD40" s="200">
        <f t="shared" si="9"/>
        <v>0</v>
      </c>
      <c r="BE40" s="200">
        <f t="shared" si="19"/>
        <v>0</v>
      </c>
      <c r="BF40" s="86">
        <f t="shared" si="20"/>
        <v>0</v>
      </c>
      <c r="BG40" s="197">
        <f t="shared" si="21"/>
        <v>0</v>
      </c>
      <c r="BH40" s="86">
        <f t="shared" si="35"/>
        <v>0</v>
      </c>
      <c r="BI40" s="86">
        <f t="shared" si="36"/>
        <v>0</v>
      </c>
      <c r="BJ40" s="86">
        <f>-Debt_Calc!M38</f>
        <v>0</v>
      </c>
      <c r="BK40" s="86">
        <f>Debt_Calc!N38</f>
        <v>0</v>
      </c>
      <c r="BL40" s="86">
        <f t="shared" si="22"/>
        <v>0</v>
      </c>
      <c r="BM40" s="423">
        <f t="shared" si="37"/>
        <v>0</v>
      </c>
      <c r="BN40" s="86">
        <f t="shared" si="38"/>
        <v>0</v>
      </c>
      <c r="BO40" s="86">
        <f t="shared" si="23"/>
        <v>0</v>
      </c>
      <c r="BP40" s="86">
        <f t="shared" si="39"/>
        <v>0</v>
      </c>
      <c r="BQ40" s="86">
        <f t="shared" si="24"/>
        <v>0</v>
      </c>
      <c r="BR40" s="86">
        <f t="shared" si="25"/>
        <v>0</v>
      </c>
      <c r="BS40" s="86">
        <f t="shared" si="10"/>
        <v>0</v>
      </c>
      <c r="BT40" s="86">
        <f t="shared" si="26"/>
        <v>426759.94013174821</v>
      </c>
      <c r="BU40" s="86">
        <f t="shared" si="40"/>
        <v>2</v>
      </c>
      <c r="BV40" s="214">
        <f t="shared" si="11"/>
        <v>0</v>
      </c>
    </row>
    <row r="41" spans="2:93" s="86" customFormat="1" x14ac:dyDescent="0.3">
      <c r="B41" s="192">
        <f t="shared" si="27"/>
        <v>30</v>
      </c>
      <c r="C41" s="350">
        <f t="shared" si="12"/>
        <v>2051</v>
      </c>
      <c r="D41" s="351">
        <f t="shared" si="42"/>
        <v>55154</v>
      </c>
      <c r="E41" s="441">
        <f t="shared" si="42"/>
        <v>55518</v>
      </c>
      <c r="F41" s="733">
        <f>IF(AND(B41&gt;0,B41&lt;=Fish_Inputs!$J$17),1,0)</f>
        <v>0</v>
      </c>
      <c r="G41" s="730">
        <f>IF(F41=1,Fish_Inputs!$G$31,0)</f>
        <v>0</v>
      </c>
      <c r="H41" s="446">
        <f>IF(AND(F40=0,F41=1),100%,IF(AND(F40=0,F41=0),100%,H40-Fish_Inputs!$G$41))*F41</f>
        <v>0</v>
      </c>
      <c r="I41" s="224">
        <f t="shared" si="41"/>
        <v>0</v>
      </c>
      <c r="J41" s="225">
        <f>Fish_Inputs!$J$11</f>
        <v>0.01</v>
      </c>
      <c r="K41" s="444">
        <f>IF(B41=1,Fish_Inputs!$R$15,K40*(1+Fish_CashFlows!J41))*F41</f>
        <v>0</v>
      </c>
      <c r="L41" s="338">
        <f>IF(B41=1,Fish_Inputs!$R$16,L40*(1+Fish_CashFlows!J41))*F41</f>
        <v>0</v>
      </c>
      <c r="M41" s="86">
        <f>K41*I41*Fish_Inputs!$J$9</f>
        <v>0</v>
      </c>
      <c r="N41" s="214">
        <f>L41*I41*Fish_Inputs!$J$10</f>
        <v>0</v>
      </c>
      <c r="O41" s="423">
        <f t="shared" si="29"/>
        <v>0</v>
      </c>
      <c r="P41" s="122">
        <f>SUM(M41:O41)+IF(B41=Fish_Inputs!$J$17,Fish_Inputs!$J$19,0)</f>
        <v>0</v>
      </c>
      <c r="Q41" s="196">
        <f>IF(B41=1,Fish_Inputs!$O$7,Q40*(1+Fish_Inputs!$N$23))*F41</f>
        <v>0</v>
      </c>
      <c r="R41" s="86">
        <f>IF(B41=1,Fish_Inputs!$O$8,R40*(1+Fish_Inputs!$N$23))*F41</f>
        <v>0</v>
      </c>
      <c r="S41" s="86">
        <f>IF(B41=1,Fish_Inputs!$O$9,S40*(1+Fish_Inputs!$N$23))*F41</f>
        <v>0</v>
      </c>
      <c r="T41" s="86">
        <f>IF(B41=1,Fish_Inputs!$O$10,T40*(1+Fish_Inputs!$N$23))*F41</f>
        <v>0</v>
      </c>
      <c r="U41" s="86">
        <f>IF(B41=1,Fish_Inputs!$O$11,U40*(1+Fish_Inputs!$N$23))*F41</f>
        <v>0</v>
      </c>
      <c r="V41" s="86">
        <f>IF(B41=1,Fish_Inputs!$O$12,V40*(1+Fish_Inputs!$N$23))*F41</f>
        <v>0</v>
      </c>
      <c r="W41" s="86">
        <f>IF(B41=1,Fish_Inputs!$O$13,W40*(1+Fish_Inputs!$N$23))*F41</f>
        <v>0</v>
      </c>
      <c r="X41" s="86">
        <f>IF(B41=1,Fish_Inputs!$O$14,X40*(1+Fish_Inputs!$N$23))*F41</f>
        <v>0</v>
      </c>
      <c r="Y41" s="86">
        <f>IF(B41=1,Fish_Inputs!$O$15,Y40*(1+Fish_Inputs!$N$23))*F41</f>
        <v>0</v>
      </c>
      <c r="Z41" s="86">
        <f>IF(B41=1,Fish_Inputs!$O$16,Z40*(1+Fish_Inputs!$N$23))*F41</f>
        <v>0</v>
      </c>
      <c r="AA41" s="86">
        <f>IF(B41=1,Fish_Inputs!$O$17,AA40*(1+Fish_Inputs!$N$23))*F41</f>
        <v>0</v>
      </c>
      <c r="AB41" s="102">
        <f>IF(B41=1,Fish_Inputs!$O$18,AB40*(1+Fish_Inputs!$N$23))*F41</f>
        <v>0</v>
      </c>
      <c r="AC41" s="684">
        <f>IF(B41=1,Fish_Inputs!$O$19,AC40*(1+Fish_Inputs!$N$23))*F41</f>
        <v>0</v>
      </c>
      <c r="AD41" s="86">
        <f>IF(B41=1,Fish_Inputs!$O$20,AD40*(1+Fish_Inputs!$N$23))*F41</f>
        <v>0</v>
      </c>
      <c r="AE41" s="86">
        <f>IF(B41=1,Fish_Inputs!$O$21,AE40*(1+Fish_Inputs!$N$23))*F41</f>
        <v>0</v>
      </c>
      <c r="AF41" s="200">
        <f>IF(B41=1,Fish_Inputs!$O$22,AF40*(1+Fish_Inputs!$N$23))*F41</f>
        <v>0</v>
      </c>
      <c r="AG41" s="200">
        <f t="shared" si="30"/>
        <v>0</v>
      </c>
      <c r="AH41" s="86">
        <f t="shared" si="13"/>
        <v>0</v>
      </c>
      <c r="AI41" s="225">
        <f t="shared" si="14"/>
        <v>0</v>
      </c>
      <c r="AJ41" s="457">
        <f>Deprec!C40</f>
        <v>0</v>
      </c>
      <c r="AK41" s="86">
        <f t="shared" si="15"/>
        <v>0</v>
      </c>
      <c r="AL41" s="455">
        <f t="shared" si="31"/>
        <v>0</v>
      </c>
      <c r="AM41" s="86">
        <f t="shared" si="32"/>
        <v>0</v>
      </c>
      <c r="AN41" s="197">
        <f>IF(AM41&lt;0,0,(AM41*Fish_Inputs!$J$14))</f>
        <v>0</v>
      </c>
      <c r="AO41" s="86">
        <f t="shared" si="33"/>
        <v>0</v>
      </c>
      <c r="AP41" s="226">
        <f t="shared" si="16"/>
        <v>0</v>
      </c>
      <c r="AS41" s="196">
        <f t="shared" si="17"/>
        <v>0</v>
      </c>
      <c r="AT41" s="86">
        <f t="shared" si="18"/>
        <v>0</v>
      </c>
      <c r="AU41" s="197">
        <f t="shared" si="34"/>
        <v>0</v>
      </c>
      <c r="AV41" s="196">
        <f>IF(B41=0,Fish_Inputs!$C$29,0)</f>
        <v>0</v>
      </c>
      <c r="AW41" s="198">
        <f t="shared" si="5"/>
        <v>0</v>
      </c>
      <c r="AX41" s="197">
        <f t="shared" si="6"/>
        <v>0</v>
      </c>
      <c r="AY41" s="192">
        <f>IF(B41=0,Fish_Inputs!$G$15+Fish_Inputs!$G$16,0)</f>
        <v>0</v>
      </c>
      <c r="AZ41" s="193">
        <f>IF(B41=0,Fish_Inputs!$G$14,0)</f>
        <v>0</v>
      </c>
      <c r="BA41" s="200">
        <f t="shared" si="7"/>
        <v>0</v>
      </c>
      <c r="BB41" s="196">
        <f t="shared" si="8"/>
        <v>0</v>
      </c>
      <c r="BC41" s="196">
        <f>Fish_Inputs!$G$20*AVERAGE(BR41,BS41)</f>
        <v>0</v>
      </c>
      <c r="BD41" s="200">
        <f t="shared" si="9"/>
        <v>0</v>
      </c>
      <c r="BE41" s="200">
        <f t="shared" si="19"/>
        <v>0</v>
      </c>
      <c r="BF41" s="86">
        <f t="shared" si="20"/>
        <v>0</v>
      </c>
      <c r="BG41" s="197">
        <f t="shared" si="21"/>
        <v>0</v>
      </c>
      <c r="BH41" s="86">
        <f t="shared" si="35"/>
        <v>0</v>
      </c>
      <c r="BI41" s="86">
        <f t="shared" si="36"/>
        <v>0</v>
      </c>
      <c r="BJ41" s="86">
        <f>-Debt_Calc!M39</f>
        <v>0</v>
      </c>
      <c r="BK41" s="86">
        <f>Debt_Calc!N39</f>
        <v>0</v>
      </c>
      <c r="BL41" s="86">
        <f t="shared" si="22"/>
        <v>0</v>
      </c>
      <c r="BM41" s="423">
        <f t="shared" si="37"/>
        <v>0</v>
      </c>
      <c r="BN41" s="86">
        <f t="shared" si="38"/>
        <v>0</v>
      </c>
      <c r="BO41" s="86">
        <f t="shared" si="23"/>
        <v>0</v>
      </c>
      <c r="BP41" s="86">
        <f t="shared" si="39"/>
        <v>0</v>
      </c>
      <c r="BQ41" s="86">
        <f t="shared" si="24"/>
        <v>0</v>
      </c>
      <c r="BR41" s="86">
        <f t="shared" si="25"/>
        <v>0</v>
      </c>
      <c r="BS41" s="86">
        <f t="shared" si="10"/>
        <v>0</v>
      </c>
      <c r="BT41" s="86">
        <f t="shared" si="26"/>
        <v>426759.94013174821</v>
      </c>
      <c r="BU41" s="86">
        <f t="shared" si="40"/>
        <v>2</v>
      </c>
      <c r="BV41" s="214">
        <f t="shared" si="11"/>
        <v>0</v>
      </c>
    </row>
    <row r="42" spans="2:93" s="86" customFormat="1" x14ac:dyDescent="0.3">
      <c r="B42" s="192">
        <f t="shared" si="27"/>
        <v>31</v>
      </c>
      <c r="C42" s="350">
        <f t="shared" si="12"/>
        <v>2052</v>
      </c>
      <c r="D42" s="351">
        <f t="shared" si="42"/>
        <v>55519</v>
      </c>
      <c r="E42" s="441">
        <f t="shared" si="42"/>
        <v>55884</v>
      </c>
      <c r="F42" s="733">
        <f>IF(AND(B42&gt;0,B42&lt;=Fish_Inputs!$J$17),1,0)</f>
        <v>0</v>
      </c>
      <c r="G42" s="730">
        <f>IF(F42=1,Fish_Inputs!$G$31,0)</f>
        <v>0</v>
      </c>
      <c r="H42" s="446">
        <f>IF(AND(F41=0,F42=1),100%,IF(AND(F41=0,F42=0),100%,H41-Fish_Inputs!$G$41))*F42</f>
        <v>0</v>
      </c>
      <c r="I42" s="224">
        <f t="shared" si="41"/>
        <v>0</v>
      </c>
      <c r="J42" s="225">
        <f>Fish_Inputs!$J$11</f>
        <v>0.01</v>
      </c>
      <c r="K42" s="444">
        <f>IF(B42=1,Fish_Inputs!$R$15,K41*(1+Fish_CashFlows!J42))*F42</f>
        <v>0</v>
      </c>
      <c r="L42" s="338">
        <f>IF(B42=1,Fish_Inputs!$R$16,L41*(1+Fish_CashFlows!J42))*F42</f>
        <v>0</v>
      </c>
      <c r="M42" s="86">
        <f>K42*I42*Fish_Inputs!$J$9</f>
        <v>0</v>
      </c>
      <c r="N42" s="214">
        <f>L42*I42*Fish_Inputs!$J$10</f>
        <v>0</v>
      </c>
      <c r="O42" s="423">
        <f t="shared" si="29"/>
        <v>0</v>
      </c>
      <c r="P42" s="122">
        <f>SUM(M42:O42)+IF(B42=Fish_Inputs!$J$17,Fish_Inputs!$J$19,0)</f>
        <v>0</v>
      </c>
      <c r="Q42" s="196">
        <f>IF(B42=1,Fish_Inputs!$O$7,Q41*(1+Fish_Inputs!$N$23))*F42</f>
        <v>0</v>
      </c>
      <c r="R42" s="86">
        <f>IF(B42=1,Fish_Inputs!$O$8,R41*(1+Fish_Inputs!$N$23))*F42</f>
        <v>0</v>
      </c>
      <c r="S42" s="86">
        <f>IF(B42=1,Fish_Inputs!$O$9,S41*(1+Fish_Inputs!$N$23))*F42</f>
        <v>0</v>
      </c>
      <c r="T42" s="86">
        <f>IF(B42=1,Fish_Inputs!$O$10,T41*(1+Fish_Inputs!$N$23))*F42</f>
        <v>0</v>
      </c>
      <c r="U42" s="86">
        <f>IF(B42=1,Fish_Inputs!$O$11,U41*(1+Fish_Inputs!$N$23))*F42</f>
        <v>0</v>
      </c>
      <c r="V42" s="86">
        <f>IF(B42=1,Fish_Inputs!$O$12,V41*(1+Fish_Inputs!$N$23))*F42</f>
        <v>0</v>
      </c>
      <c r="W42" s="86">
        <f>IF(B42=1,Fish_Inputs!$O$13,W41*(1+Fish_Inputs!$N$23))*F42</f>
        <v>0</v>
      </c>
      <c r="X42" s="86">
        <f>IF(B42=1,Fish_Inputs!$O$14,X41*(1+Fish_Inputs!$N$23))*F42</f>
        <v>0</v>
      </c>
      <c r="Y42" s="86">
        <f>IF(B42=1,Fish_Inputs!$O$15,Y41*(1+Fish_Inputs!$N$23))*F42</f>
        <v>0</v>
      </c>
      <c r="Z42" s="86">
        <f>IF(B42=1,Fish_Inputs!$O$16,Z41*(1+Fish_Inputs!$N$23))*F42</f>
        <v>0</v>
      </c>
      <c r="AA42" s="86">
        <f>IF(B42=1,Fish_Inputs!$O$17,AA41*(1+Fish_Inputs!$N$23))*F42</f>
        <v>0</v>
      </c>
      <c r="AB42" s="102">
        <f>IF(B42=1,Fish_Inputs!$O$18,AB41*(1+Fish_Inputs!$N$23))*F42</f>
        <v>0</v>
      </c>
      <c r="AC42" s="684">
        <f>IF(B42=1,Fish_Inputs!$O$19,AC41*(1+Fish_Inputs!$N$23))*F42</f>
        <v>0</v>
      </c>
      <c r="AD42" s="86">
        <f>IF(B42=1,Fish_Inputs!$O$20,AD41*(1+Fish_Inputs!$N$23))*F42</f>
        <v>0</v>
      </c>
      <c r="AE42" s="86">
        <f>IF(B42=1,Fish_Inputs!$O$21,AE41*(1+Fish_Inputs!$N$23))*F42</f>
        <v>0</v>
      </c>
      <c r="AF42" s="200">
        <f>IF(B42=1,Fish_Inputs!$O$22,AF41*(1+Fish_Inputs!$N$23))*F42</f>
        <v>0</v>
      </c>
      <c r="AG42" s="200">
        <f t="shared" si="30"/>
        <v>0</v>
      </c>
      <c r="AH42" s="86">
        <f t="shared" si="13"/>
        <v>0</v>
      </c>
      <c r="AI42" s="225">
        <f t="shared" si="14"/>
        <v>0</v>
      </c>
      <c r="AJ42" s="457">
        <f>Deprec!C41</f>
        <v>0</v>
      </c>
      <c r="AK42" s="86">
        <f t="shared" si="15"/>
        <v>0</v>
      </c>
      <c r="AL42" s="455">
        <f t="shared" si="31"/>
        <v>0</v>
      </c>
      <c r="AM42" s="86">
        <f t="shared" si="32"/>
        <v>0</v>
      </c>
      <c r="AN42" s="197">
        <f>IF(AM42&lt;0,0,(AM42*Fish_Inputs!$J$14))</f>
        <v>0</v>
      </c>
      <c r="AO42" s="86">
        <f t="shared" si="33"/>
        <v>0</v>
      </c>
      <c r="AP42" s="226">
        <f t="shared" si="16"/>
        <v>0</v>
      </c>
      <c r="AS42" s="196">
        <f t="shared" si="17"/>
        <v>0</v>
      </c>
      <c r="AT42" s="86">
        <f t="shared" si="18"/>
        <v>0</v>
      </c>
      <c r="AU42" s="197">
        <f t="shared" si="34"/>
        <v>0</v>
      </c>
      <c r="AV42" s="196">
        <f>IF(B42=0,Fish_Inputs!$C$29,0)</f>
        <v>0</v>
      </c>
      <c r="AW42" s="198">
        <f t="shared" si="5"/>
        <v>0</v>
      </c>
      <c r="AX42" s="197">
        <f t="shared" si="6"/>
        <v>0</v>
      </c>
      <c r="AY42" s="192">
        <f>IF(B42=0,Fish_Inputs!$G$15+Fish_Inputs!$G$16,0)</f>
        <v>0</v>
      </c>
      <c r="AZ42" s="193">
        <f>IF(B42=0,Fish_Inputs!$G$14,0)</f>
        <v>0</v>
      </c>
      <c r="BA42" s="200">
        <f t="shared" si="7"/>
        <v>0</v>
      </c>
      <c r="BB42" s="196">
        <f t="shared" si="8"/>
        <v>0</v>
      </c>
      <c r="BC42" s="196">
        <f>Fish_Inputs!$G$20*AVERAGE(BR42,BS42)</f>
        <v>0</v>
      </c>
      <c r="BD42" s="200">
        <f t="shared" si="9"/>
        <v>0</v>
      </c>
      <c r="BE42" s="200">
        <f t="shared" si="19"/>
        <v>0</v>
      </c>
      <c r="BF42" s="86">
        <f t="shared" si="20"/>
        <v>0</v>
      </c>
      <c r="BG42" s="197">
        <f t="shared" si="21"/>
        <v>0</v>
      </c>
      <c r="BH42" s="86">
        <f t="shared" si="35"/>
        <v>0</v>
      </c>
      <c r="BI42" s="86">
        <f t="shared" si="36"/>
        <v>0</v>
      </c>
      <c r="BJ42" s="86">
        <f>-Debt_Calc!M40</f>
        <v>0</v>
      </c>
      <c r="BK42" s="86">
        <f>Debt_Calc!N40</f>
        <v>0</v>
      </c>
      <c r="BL42" s="86">
        <f t="shared" si="22"/>
        <v>0</v>
      </c>
      <c r="BM42" s="423">
        <f t="shared" si="37"/>
        <v>0</v>
      </c>
      <c r="BN42" s="86">
        <f t="shared" si="38"/>
        <v>0</v>
      </c>
      <c r="BO42" s="86">
        <f t="shared" si="23"/>
        <v>0</v>
      </c>
      <c r="BP42" s="86">
        <f t="shared" si="39"/>
        <v>0</v>
      </c>
      <c r="BQ42" s="86">
        <f t="shared" si="24"/>
        <v>0</v>
      </c>
      <c r="BR42" s="86">
        <f t="shared" si="25"/>
        <v>0</v>
      </c>
      <c r="BS42" s="86">
        <f t="shared" si="10"/>
        <v>0</v>
      </c>
      <c r="BT42" s="86">
        <f t="shared" si="26"/>
        <v>426759.94013174821</v>
      </c>
      <c r="BU42" s="86">
        <f t="shared" si="40"/>
        <v>2</v>
      </c>
      <c r="BV42" s="214">
        <f t="shared" si="11"/>
        <v>0</v>
      </c>
    </row>
    <row r="43" spans="2:93" s="86" customFormat="1" x14ac:dyDescent="0.3">
      <c r="B43" s="192">
        <f t="shared" si="27"/>
        <v>32</v>
      </c>
      <c r="C43" s="350">
        <f t="shared" si="12"/>
        <v>2053</v>
      </c>
      <c r="D43" s="351">
        <f t="shared" si="42"/>
        <v>55885</v>
      </c>
      <c r="E43" s="441">
        <f t="shared" si="42"/>
        <v>56249</v>
      </c>
      <c r="F43" s="733">
        <f>IF(AND(B43&gt;0,B43&lt;=Fish_Inputs!$J$17),1,0)</f>
        <v>0</v>
      </c>
      <c r="G43" s="730">
        <f>IF(F43=1,Fish_Inputs!$G$31,0)</f>
        <v>0</v>
      </c>
      <c r="H43" s="446">
        <f>IF(AND(F42=0,F43=1),100%,IF(AND(F42=0,F43=0),100%,H42-Fish_Inputs!$G$41))*F43</f>
        <v>0</v>
      </c>
      <c r="I43" s="224">
        <f t="shared" si="41"/>
        <v>0</v>
      </c>
      <c r="J43" s="225">
        <f>Fish_Inputs!$J$11</f>
        <v>0.01</v>
      </c>
      <c r="K43" s="444">
        <f>IF(B43=1,Fish_Inputs!$R$15,K42*(1+Fish_CashFlows!J43))*F43</f>
        <v>0</v>
      </c>
      <c r="L43" s="338">
        <f>IF(B43=1,Fish_Inputs!$R$16,L42*(1+Fish_CashFlows!J43))*F43</f>
        <v>0</v>
      </c>
      <c r="M43" s="86">
        <f>K43*I43*Fish_Inputs!$J$9</f>
        <v>0</v>
      </c>
      <c r="N43" s="214">
        <f>L43*I43*Fish_Inputs!$J$10</f>
        <v>0</v>
      </c>
      <c r="O43" s="423">
        <f t="shared" si="29"/>
        <v>0</v>
      </c>
      <c r="P43" s="122">
        <f>SUM(M43:O43)+IF(B43=Fish_Inputs!$J$17,Fish_Inputs!$J$19,0)</f>
        <v>0</v>
      </c>
      <c r="Q43" s="196">
        <f>IF(B43=1,Fish_Inputs!$O$7,Q42*(1+Fish_Inputs!$N$23))*F43</f>
        <v>0</v>
      </c>
      <c r="R43" s="86">
        <f>IF(B43=1,Fish_Inputs!$O$8,R42*(1+Fish_Inputs!$N$23))*F43</f>
        <v>0</v>
      </c>
      <c r="S43" s="86">
        <f>IF(B43=1,Fish_Inputs!$O$9,S42*(1+Fish_Inputs!$N$23))*F43</f>
        <v>0</v>
      </c>
      <c r="T43" s="86">
        <f>IF(B43=1,Fish_Inputs!$O$10,T42*(1+Fish_Inputs!$N$23))*F43</f>
        <v>0</v>
      </c>
      <c r="U43" s="86">
        <f>IF(B43=1,Fish_Inputs!$O$11,U42*(1+Fish_Inputs!$N$23))*F43</f>
        <v>0</v>
      </c>
      <c r="V43" s="86">
        <f>IF(B43=1,Fish_Inputs!$O$12,V42*(1+Fish_Inputs!$N$23))*F43</f>
        <v>0</v>
      </c>
      <c r="W43" s="86">
        <f>IF(B43=1,Fish_Inputs!$O$13,W42*(1+Fish_Inputs!$N$23))*F43</f>
        <v>0</v>
      </c>
      <c r="X43" s="86">
        <f>IF(B43=1,Fish_Inputs!$O$14,X42*(1+Fish_Inputs!$N$23))*F43</f>
        <v>0</v>
      </c>
      <c r="Y43" s="86">
        <f>IF(B43=1,Fish_Inputs!$O$15,Y42*(1+Fish_Inputs!$N$23))*F43</f>
        <v>0</v>
      </c>
      <c r="Z43" s="86">
        <f>IF(B43=1,Fish_Inputs!$O$16,Z42*(1+Fish_Inputs!$N$23))*F43</f>
        <v>0</v>
      </c>
      <c r="AA43" s="86">
        <f>IF(B43=1,Fish_Inputs!$O$17,AA42*(1+Fish_Inputs!$N$23))*F43</f>
        <v>0</v>
      </c>
      <c r="AB43" s="102">
        <f>IF(B43=1,Fish_Inputs!$O$18,AB42*(1+Fish_Inputs!$N$23))*F43</f>
        <v>0</v>
      </c>
      <c r="AC43" s="684">
        <f>IF(B43=1,Fish_Inputs!$O$19,AC42*(1+Fish_Inputs!$N$23))*F43</f>
        <v>0</v>
      </c>
      <c r="AD43" s="86">
        <f>IF(B43=1,Fish_Inputs!$O$20,AD42*(1+Fish_Inputs!$N$23))*F43</f>
        <v>0</v>
      </c>
      <c r="AE43" s="86">
        <f>IF(B43=1,Fish_Inputs!$O$21,AE42*(1+Fish_Inputs!$N$23))*F43</f>
        <v>0</v>
      </c>
      <c r="AF43" s="200">
        <f>IF(B43=1,Fish_Inputs!$O$22,AF42*(1+Fish_Inputs!$N$23))*F43</f>
        <v>0</v>
      </c>
      <c r="AG43" s="200">
        <f t="shared" si="30"/>
        <v>0</v>
      </c>
      <c r="AH43" s="86">
        <f t="shared" si="13"/>
        <v>0</v>
      </c>
      <c r="AI43" s="225">
        <f t="shared" si="14"/>
        <v>0</v>
      </c>
      <c r="AJ43" s="457">
        <f>Deprec!C42</f>
        <v>0</v>
      </c>
      <c r="AK43" s="86">
        <f t="shared" si="15"/>
        <v>0</v>
      </c>
      <c r="AL43" s="455">
        <f t="shared" si="31"/>
        <v>0</v>
      </c>
      <c r="AM43" s="86">
        <f t="shared" si="32"/>
        <v>0</v>
      </c>
      <c r="AN43" s="197">
        <f>IF(AM43&lt;0,0,(AM43*Fish_Inputs!$J$14))</f>
        <v>0</v>
      </c>
      <c r="AO43" s="86">
        <f t="shared" si="33"/>
        <v>0</v>
      </c>
      <c r="AP43" s="226">
        <f t="shared" si="16"/>
        <v>0</v>
      </c>
      <c r="AS43" s="196">
        <f t="shared" si="17"/>
        <v>0</v>
      </c>
      <c r="AT43" s="86">
        <f t="shared" si="18"/>
        <v>0</v>
      </c>
      <c r="AU43" s="197">
        <f t="shared" si="34"/>
        <v>0</v>
      </c>
      <c r="AV43" s="196">
        <f>IF(B43=0,Fish_Inputs!$C$29,0)</f>
        <v>0</v>
      </c>
      <c r="AW43" s="198">
        <f t="shared" si="5"/>
        <v>0</v>
      </c>
      <c r="AX43" s="197">
        <f t="shared" si="6"/>
        <v>0</v>
      </c>
      <c r="AY43" s="192">
        <f>IF(B43=0,Fish_Inputs!$G$15+Fish_Inputs!$G$16,0)</f>
        <v>0</v>
      </c>
      <c r="AZ43" s="193">
        <f>IF(B43=0,Fish_Inputs!$G$14,0)</f>
        <v>0</v>
      </c>
      <c r="BA43" s="200">
        <f t="shared" si="7"/>
        <v>0</v>
      </c>
      <c r="BB43" s="196">
        <f t="shared" si="8"/>
        <v>0</v>
      </c>
      <c r="BC43" s="196">
        <f>Fish_Inputs!$G$20*AVERAGE(BR43,BS43)</f>
        <v>0</v>
      </c>
      <c r="BD43" s="200">
        <f t="shared" si="9"/>
        <v>0</v>
      </c>
      <c r="BE43" s="200">
        <f t="shared" si="19"/>
        <v>0</v>
      </c>
      <c r="BF43" s="86">
        <f t="shared" si="20"/>
        <v>0</v>
      </c>
      <c r="BG43" s="197">
        <f t="shared" si="21"/>
        <v>0</v>
      </c>
      <c r="BH43" s="86">
        <f t="shared" si="35"/>
        <v>0</v>
      </c>
      <c r="BI43" s="86">
        <f t="shared" si="36"/>
        <v>0</v>
      </c>
      <c r="BJ43" s="86">
        <f>-Debt_Calc!M41</f>
        <v>0</v>
      </c>
      <c r="BK43" s="86">
        <f>Debt_Calc!N41</f>
        <v>0</v>
      </c>
      <c r="BL43" s="86">
        <f t="shared" si="22"/>
        <v>0</v>
      </c>
      <c r="BM43" s="423">
        <f t="shared" si="37"/>
        <v>0</v>
      </c>
      <c r="BN43" s="86">
        <f t="shared" si="38"/>
        <v>0</v>
      </c>
      <c r="BO43" s="86">
        <f t="shared" si="23"/>
        <v>0</v>
      </c>
      <c r="BP43" s="86">
        <f t="shared" si="39"/>
        <v>0</v>
      </c>
      <c r="BQ43" s="86">
        <f t="shared" si="24"/>
        <v>0</v>
      </c>
      <c r="BR43" s="86">
        <f t="shared" si="25"/>
        <v>0</v>
      </c>
      <c r="BS43" s="86">
        <f t="shared" si="10"/>
        <v>0</v>
      </c>
      <c r="BT43" s="86">
        <f t="shared" si="26"/>
        <v>426759.94013174821</v>
      </c>
      <c r="BU43" s="86">
        <f t="shared" si="40"/>
        <v>2</v>
      </c>
      <c r="BV43" s="214">
        <f t="shared" si="11"/>
        <v>0</v>
      </c>
    </row>
    <row r="44" spans="2:93" s="86" customFormat="1" x14ac:dyDescent="0.3">
      <c r="B44" s="215">
        <f t="shared" si="27"/>
        <v>33</v>
      </c>
      <c r="C44" s="352">
        <f t="shared" si="12"/>
        <v>2054</v>
      </c>
      <c r="D44" s="353">
        <f t="shared" si="42"/>
        <v>56250</v>
      </c>
      <c r="E44" s="442">
        <f t="shared" si="42"/>
        <v>56614</v>
      </c>
      <c r="F44" s="734">
        <f>IF(AND(B44&gt;0,B44&lt;=Fish_Inputs!$J$17),1,0)</f>
        <v>0</v>
      </c>
      <c r="G44" s="731">
        <f>IF(F44=1,Fish_Inputs!$G$31,0)</f>
        <v>0</v>
      </c>
      <c r="H44" s="448">
        <f>IF(AND(F43=0,F44=1),100%,IF(AND(F43=0,F44=0),100%,H43-Fish_Inputs!$G$41))*F44</f>
        <v>0</v>
      </c>
      <c r="I44" s="230">
        <f t="shared" si="41"/>
        <v>0</v>
      </c>
      <c r="J44" s="234">
        <f>Fish_Inputs!$J$11</f>
        <v>0.01</v>
      </c>
      <c r="K44" s="744">
        <f>IF(B44=1,Fish_Inputs!$R$15,K43*(1+Fish_CashFlows!J44))*F44</f>
        <v>0</v>
      </c>
      <c r="L44" s="745">
        <f>IF(B44=1,Fish_Inputs!$R$16,L43*(1+Fish_CashFlows!J44))*F44</f>
        <v>0</v>
      </c>
      <c r="M44" s="232">
        <f>K44*I44*Fish_Inputs!$J$9</f>
        <v>0</v>
      </c>
      <c r="N44" s="236">
        <f>L44*I44*Fish_Inputs!$J$10</f>
        <v>0</v>
      </c>
      <c r="O44" s="424">
        <f t="shared" si="29"/>
        <v>0</v>
      </c>
      <c r="P44" s="83">
        <f>SUM(M44:O44)+IF(B44=Fish_Inputs!$J$17,Fish_Inputs!$J$19,0)</f>
        <v>0</v>
      </c>
      <c r="Q44" s="233">
        <f>IF(B44=1,Fish_Inputs!$O$7,Q43*(1+Fish_Inputs!$N$23))*F44</f>
        <v>0</v>
      </c>
      <c r="R44" s="232">
        <f>IF(B44=1,Fish_Inputs!$O$8,R43*(1+Fish_Inputs!$N$23))*F44</f>
        <v>0</v>
      </c>
      <c r="S44" s="232">
        <f>IF(B44=1,Fish_Inputs!$O$9,S43*(1+Fish_Inputs!$N$23))*F44</f>
        <v>0</v>
      </c>
      <c r="T44" s="232">
        <f>IF(B44=1,Fish_Inputs!$O$10,T43*(1+Fish_Inputs!$N$23))*F44</f>
        <v>0</v>
      </c>
      <c r="U44" s="232">
        <f>IF(B44=1,Fish_Inputs!$O$11,U43*(1+Fish_Inputs!$N$23))*F44</f>
        <v>0</v>
      </c>
      <c r="V44" s="232">
        <f>IF(B44=1,Fish_Inputs!$O$12,V43*(1+Fish_Inputs!$N$23))*F44</f>
        <v>0</v>
      </c>
      <c r="W44" s="232">
        <f>IF(B44=1,Fish_Inputs!$O$13,W43*(1+Fish_Inputs!$N$23))*F44</f>
        <v>0</v>
      </c>
      <c r="X44" s="232">
        <f>IF(B44=1,Fish_Inputs!$O$14,X43*(1+Fish_Inputs!$N$23))*F44</f>
        <v>0</v>
      </c>
      <c r="Y44" s="232">
        <f>IF(B44=1,Fish_Inputs!$O$15,Y43*(1+Fish_Inputs!$N$23))*F44</f>
        <v>0</v>
      </c>
      <c r="Z44" s="232">
        <f>IF(B44=1,Fish_Inputs!$O$16,Z43*(1+Fish_Inputs!$N$23))*F44</f>
        <v>0</v>
      </c>
      <c r="AA44" s="232">
        <f>IF(B44=1,Fish_Inputs!$O$17,AA43*(1+Fish_Inputs!$N$23))*F44</f>
        <v>0</v>
      </c>
      <c r="AB44" s="469">
        <f>IF(B44=1,Fish_Inputs!$O$18,AB43*(1+Fish_Inputs!$N$23))*F44</f>
        <v>0</v>
      </c>
      <c r="AC44" s="685">
        <f>IF(B44=1,Fish_Inputs!$O$19,AC43*(1+Fish_Inputs!$N$23))*F44</f>
        <v>0</v>
      </c>
      <c r="AD44" s="232">
        <f>IF(B44=1,Fish_Inputs!$O$20,AD43*(1+Fish_Inputs!$N$23))*F44</f>
        <v>0</v>
      </c>
      <c r="AE44" s="232">
        <f>IF(B44=1,Fish_Inputs!$O$21,AE43*(1+Fish_Inputs!$N$23))*F44</f>
        <v>0</v>
      </c>
      <c r="AF44" s="231">
        <f>IF(B44=1,Fish_Inputs!$O$22,AF43*(1+Fish_Inputs!$N$23))*F44</f>
        <v>0</v>
      </c>
      <c r="AG44" s="231">
        <f t="shared" si="30"/>
        <v>0</v>
      </c>
      <c r="AH44" s="232">
        <f t="shared" si="13"/>
        <v>0</v>
      </c>
      <c r="AI44" s="234">
        <f t="shared" si="14"/>
        <v>0</v>
      </c>
      <c r="AJ44" s="458">
        <f>Deprec!C43</f>
        <v>0</v>
      </c>
      <c r="AK44" s="232">
        <f t="shared" si="15"/>
        <v>0</v>
      </c>
      <c r="AL44" s="456">
        <f t="shared" si="31"/>
        <v>0</v>
      </c>
      <c r="AM44" s="232">
        <f t="shared" si="32"/>
        <v>0</v>
      </c>
      <c r="AN44" s="439">
        <f>IF(AM44&lt;0,0,(AM44*Fish_Inputs!$J$14))</f>
        <v>0</v>
      </c>
      <c r="AO44" s="232">
        <f t="shared" si="33"/>
        <v>0</v>
      </c>
      <c r="AP44" s="235">
        <f t="shared" si="16"/>
        <v>0</v>
      </c>
      <c r="AQ44" s="232"/>
      <c r="AR44" s="232"/>
      <c r="AS44" s="233">
        <f t="shared" si="17"/>
        <v>0</v>
      </c>
      <c r="AT44" s="232">
        <f t="shared" si="18"/>
        <v>0</v>
      </c>
      <c r="AU44" s="439">
        <f t="shared" si="34"/>
        <v>0</v>
      </c>
      <c r="AV44" s="233">
        <f>IF(B44=0,Fish_Inputs!$C$29,0)</f>
        <v>0</v>
      </c>
      <c r="AW44" s="434">
        <f t="shared" si="5"/>
        <v>0</v>
      </c>
      <c r="AX44" s="439">
        <f t="shared" si="6"/>
        <v>0</v>
      </c>
      <c r="AY44" s="215">
        <f>IF(B44=0,Fish_Inputs!$G$15+Fish_Inputs!$G$16,0)</f>
        <v>0</v>
      </c>
      <c r="AZ44" s="436">
        <f>IF(B44=0,Fish_Inputs!$G$14,0)</f>
        <v>0</v>
      </c>
      <c r="BA44" s="231">
        <f t="shared" si="7"/>
        <v>0</v>
      </c>
      <c r="BB44" s="233">
        <f t="shared" si="8"/>
        <v>0</v>
      </c>
      <c r="BC44" s="233">
        <f>Fish_Inputs!$G$20*AVERAGE(BR44,BS44)</f>
        <v>0</v>
      </c>
      <c r="BD44" s="231">
        <f t="shared" si="9"/>
        <v>0</v>
      </c>
      <c r="BE44" s="231">
        <f t="shared" si="19"/>
        <v>0</v>
      </c>
      <c r="BF44" s="232">
        <f t="shared" si="20"/>
        <v>0</v>
      </c>
      <c r="BG44" s="439">
        <f t="shared" si="21"/>
        <v>0</v>
      </c>
      <c r="BH44" s="232">
        <f t="shared" si="35"/>
        <v>0</v>
      </c>
      <c r="BI44" s="232">
        <f t="shared" si="36"/>
        <v>0</v>
      </c>
      <c r="BJ44" s="232">
        <f>-Debt_Calc!M42</f>
        <v>0</v>
      </c>
      <c r="BK44" s="232">
        <f>Debt_Calc!N42</f>
        <v>0</v>
      </c>
      <c r="BL44" s="232">
        <f t="shared" si="22"/>
        <v>0</v>
      </c>
      <c r="BM44" s="424">
        <f t="shared" si="37"/>
        <v>0</v>
      </c>
      <c r="BN44" s="232">
        <f t="shared" si="38"/>
        <v>0</v>
      </c>
      <c r="BO44" s="232">
        <f t="shared" si="23"/>
        <v>0</v>
      </c>
      <c r="BP44" s="232">
        <f t="shared" si="39"/>
        <v>0</v>
      </c>
      <c r="BQ44" s="232">
        <f t="shared" si="24"/>
        <v>0</v>
      </c>
      <c r="BR44" s="232">
        <f t="shared" si="25"/>
        <v>0</v>
      </c>
      <c r="BS44" s="232">
        <f t="shared" si="10"/>
        <v>0</v>
      </c>
      <c r="BT44" s="232">
        <f t="shared" si="26"/>
        <v>426759.94013174821</v>
      </c>
      <c r="BU44" s="232">
        <f t="shared" si="40"/>
        <v>2</v>
      </c>
      <c r="BV44" s="236">
        <f t="shared" si="11"/>
        <v>0</v>
      </c>
    </row>
    <row r="45" spans="2:93" s="227" customFormat="1" x14ac:dyDescent="0.3">
      <c r="H45" s="237"/>
      <c r="J45" s="238"/>
      <c r="K45" s="199"/>
      <c r="L45" s="86"/>
      <c r="M45" s="86"/>
      <c r="N45" s="86"/>
      <c r="O45" s="202"/>
      <c r="P45" s="86"/>
      <c r="Q45" s="86"/>
      <c r="R45" s="86"/>
      <c r="S45" s="86"/>
      <c r="T45" s="86"/>
      <c r="U45" s="86"/>
      <c r="V45" s="86"/>
      <c r="W45" s="86"/>
      <c r="X45" s="86"/>
      <c r="Y45" s="86"/>
      <c r="Z45" s="86"/>
      <c r="AA45" s="86"/>
      <c r="AB45" s="86"/>
      <c r="AC45" s="86"/>
      <c r="AD45" s="86"/>
      <c r="AE45" s="86"/>
      <c r="AF45" s="86"/>
      <c r="AG45" s="86"/>
      <c r="AH45" s="86"/>
      <c r="AI45" s="86"/>
      <c r="AJ45" s="86"/>
      <c r="AK45" s="86"/>
      <c r="AL45" s="199"/>
      <c r="AM45" s="86"/>
      <c r="AN45" s="86"/>
      <c r="AO45" s="86"/>
      <c r="AP45" s="225"/>
      <c r="AQ45" s="86"/>
      <c r="AR45" s="86"/>
      <c r="AS45" s="239"/>
      <c r="AT45" s="86"/>
      <c r="AU45" s="86"/>
      <c r="AV45" s="202"/>
      <c r="AW45" s="86"/>
      <c r="AX45" s="86"/>
      <c r="AY45" s="86"/>
      <c r="AZ45" s="86"/>
      <c r="BA45" s="86"/>
      <c r="BB45" s="86"/>
      <c r="BC45" s="86"/>
      <c r="BD45" s="86"/>
      <c r="BE45" s="86"/>
      <c r="BF45" s="86"/>
      <c r="BG45" s="86"/>
      <c r="BH45" s="86"/>
      <c r="BI45" s="86"/>
      <c r="BJ45" s="202"/>
      <c r="BK45" s="202"/>
      <c r="BL45" s="202"/>
      <c r="BM45" s="86"/>
      <c r="BN45" s="86"/>
      <c r="BO45" s="86"/>
      <c r="BP45" s="86"/>
      <c r="BQ45" s="86"/>
      <c r="BR45" s="86"/>
      <c r="BS45" s="86"/>
      <c r="BT45" s="86"/>
      <c r="BU45" s="86"/>
      <c r="BV45" s="86"/>
      <c r="BW45" s="86"/>
      <c r="BX45" s="86"/>
      <c r="BY45" s="86"/>
      <c r="BZ45" s="86"/>
      <c r="CA45" s="86"/>
      <c r="CB45" s="86"/>
      <c r="CC45" s="86"/>
      <c r="CD45" s="86"/>
      <c r="CE45" s="86"/>
      <c r="CF45" s="86"/>
      <c r="CG45" s="86"/>
      <c r="CH45" s="86"/>
      <c r="CI45" s="86"/>
      <c r="CJ45" s="86"/>
      <c r="CK45" s="86"/>
      <c r="CL45" s="86"/>
      <c r="CM45" s="86"/>
      <c r="CN45" s="86"/>
      <c r="CO45" s="86"/>
    </row>
    <row r="46" spans="2:93" s="227" customFormat="1" x14ac:dyDescent="0.3">
      <c r="H46" s="237"/>
      <c r="J46" s="238"/>
      <c r="K46" s="199"/>
      <c r="L46" s="86"/>
      <c r="M46" s="86"/>
      <c r="N46" s="86"/>
      <c r="O46" s="202"/>
      <c r="P46" s="86"/>
      <c r="Q46" s="86"/>
      <c r="R46" s="86"/>
      <c r="S46" s="86"/>
      <c r="T46" s="86"/>
      <c r="U46" s="86"/>
      <c r="V46" s="86"/>
      <c r="W46" s="86"/>
      <c r="X46" s="86"/>
      <c r="Y46" s="86"/>
      <c r="Z46" s="86"/>
      <c r="AA46" s="86"/>
      <c r="AB46" s="86"/>
      <c r="AC46" s="86"/>
      <c r="AD46" s="86"/>
      <c r="AE46" s="86"/>
      <c r="AF46" s="86"/>
      <c r="AG46" s="86"/>
      <c r="AH46" s="86"/>
      <c r="AI46" s="86"/>
      <c r="AJ46" s="86"/>
      <c r="AK46" s="86"/>
      <c r="AL46" s="199"/>
      <c r="AM46" s="86"/>
      <c r="AN46" s="86"/>
      <c r="AO46" s="86"/>
      <c r="AP46" s="225"/>
      <c r="AQ46" s="86"/>
      <c r="AR46" s="86"/>
      <c r="AS46" s="239"/>
      <c r="AT46" s="240"/>
      <c r="AU46" s="86"/>
      <c r="AV46" s="202"/>
      <c r="AW46" s="86"/>
      <c r="AX46" s="86"/>
      <c r="AY46" s="86"/>
      <c r="AZ46" s="86"/>
      <c r="BA46" s="86"/>
      <c r="BB46" s="86"/>
      <c r="BC46" s="86"/>
      <c r="BD46" s="86"/>
      <c r="BE46" s="86"/>
      <c r="BF46" s="86"/>
      <c r="BG46" s="86"/>
      <c r="BH46" s="86"/>
      <c r="BI46" s="86"/>
      <c r="BJ46" s="202"/>
      <c r="BK46" s="202"/>
      <c r="BL46" s="202"/>
      <c r="BM46" s="86"/>
      <c r="BN46" s="86"/>
      <c r="BO46" s="86"/>
      <c r="BP46" s="86"/>
      <c r="BQ46" s="86"/>
      <c r="BR46" s="86"/>
      <c r="BS46" s="86"/>
      <c r="BT46" s="86"/>
      <c r="BU46" s="86"/>
      <c r="BV46" s="86"/>
      <c r="BW46" s="86"/>
      <c r="BX46" s="86"/>
      <c r="BY46" s="86"/>
      <c r="BZ46" s="86"/>
      <c r="CA46" s="86"/>
      <c r="CB46" s="86"/>
      <c r="CC46" s="86"/>
      <c r="CD46" s="86"/>
      <c r="CE46" s="86"/>
      <c r="CF46" s="86"/>
      <c r="CG46" s="86"/>
      <c r="CH46" s="86"/>
      <c r="CI46" s="86"/>
      <c r="CJ46" s="86"/>
      <c r="CK46" s="86"/>
      <c r="CL46" s="86"/>
      <c r="CM46" s="86"/>
      <c r="CN46" s="86"/>
      <c r="CO46" s="86"/>
    </row>
    <row r="47" spans="2:93" s="227" customFormat="1" x14ac:dyDescent="0.3">
      <c r="H47" s="237"/>
      <c r="J47" s="238"/>
      <c r="K47" s="199"/>
      <c r="L47" s="86"/>
      <c r="M47" s="86"/>
      <c r="N47" s="86"/>
      <c r="O47" s="202"/>
      <c r="P47" s="86"/>
      <c r="Q47" s="86"/>
      <c r="R47" s="86"/>
      <c r="S47" s="86"/>
      <c r="T47" s="86"/>
      <c r="U47" s="86"/>
      <c r="V47" s="86"/>
      <c r="W47" s="86"/>
      <c r="X47" s="86"/>
      <c r="Y47" s="86"/>
      <c r="Z47" s="86"/>
      <c r="AA47" s="86"/>
      <c r="AB47" s="86"/>
      <c r="AC47" s="86"/>
      <c r="AD47" s="86"/>
      <c r="AE47" s="86"/>
      <c r="AF47" s="86"/>
      <c r="AG47" s="86"/>
      <c r="AH47" s="86"/>
      <c r="AI47" s="86"/>
      <c r="AJ47" s="86"/>
      <c r="AK47" s="86"/>
      <c r="AL47" s="199"/>
      <c r="AM47" s="86"/>
      <c r="AN47" s="86"/>
      <c r="AO47" s="86"/>
      <c r="AP47" s="225"/>
      <c r="AQ47" s="86"/>
      <c r="AR47" s="86"/>
      <c r="AS47" s="239"/>
      <c r="AT47" s="86"/>
      <c r="AU47" s="86"/>
      <c r="AV47" s="202"/>
      <c r="AW47" s="86"/>
      <c r="AX47" s="86"/>
      <c r="AY47" s="86"/>
      <c r="AZ47" s="86"/>
      <c r="BA47" s="86"/>
      <c r="BB47" s="86"/>
      <c r="BC47" s="86"/>
      <c r="BD47" s="86"/>
      <c r="BE47" s="86"/>
      <c r="BF47" s="86"/>
      <c r="BG47" s="86"/>
      <c r="BH47" s="86"/>
      <c r="BI47" s="86"/>
      <c r="BJ47" s="202"/>
      <c r="BK47" s="202"/>
      <c r="BL47" s="202"/>
      <c r="BM47" s="86"/>
      <c r="BN47" s="86"/>
      <c r="BO47" s="86"/>
      <c r="BP47" s="86"/>
      <c r="BQ47" s="86"/>
      <c r="BR47" s="86"/>
      <c r="BS47" s="86"/>
      <c r="BT47" s="86"/>
      <c r="BU47" s="86"/>
      <c r="BV47" s="86"/>
      <c r="BW47" s="86"/>
      <c r="BX47" s="86"/>
      <c r="BY47" s="86"/>
      <c r="BZ47" s="86"/>
      <c r="CA47" s="86"/>
      <c r="CB47" s="86"/>
      <c r="CC47" s="86"/>
      <c r="CD47" s="86"/>
      <c r="CE47" s="86"/>
      <c r="CF47" s="86"/>
      <c r="CG47" s="86"/>
      <c r="CH47" s="86"/>
      <c r="CI47" s="86"/>
      <c r="CJ47" s="86"/>
      <c r="CK47" s="86"/>
      <c r="CL47" s="86"/>
      <c r="CM47" s="86"/>
      <c r="CN47" s="86"/>
      <c r="CO47" s="86"/>
    </row>
    <row r="48" spans="2:93" s="227" customFormat="1" x14ac:dyDescent="0.3">
      <c r="H48" s="237"/>
      <c r="J48" s="238"/>
      <c r="K48" s="199"/>
      <c r="L48" s="86"/>
      <c r="M48" s="86"/>
      <c r="N48" s="86"/>
      <c r="O48" s="202"/>
      <c r="P48" s="86"/>
      <c r="Q48" s="86"/>
      <c r="R48" s="86"/>
      <c r="S48" s="86"/>
      <c r="T48" s="86"/>
      <c r="U48" s="86"/>
      <c r="V48" s="86"/>
      <c r="W48" s="86"/>
      <c r="X48" s="86"/>
      <c r="Y48" s="86"/>
      <c r="Z48" s="86"/>
      <c r="AA48" s="86"/>
      <c r="AB48" s="86"/>
      <c r="AC48" s="86"/>
      <c r="AD48" s="86"/>
      <c r="AE48" s="86"/>
      <c r="AF48" s="86"/>
      <c r="AG48" s="86"/>
      <c r="AH48" s="86"/>
      <c r="AI48" s="86"/>
      <c r="AJ48" s="86"/>
      <c r="AK48" s="86"/>
      <c r="AL48" s="199"/>
      <c r="AM48" s="86"/>
      <c r="AN48" s="86"/>
      <c r="AO48" s="86"/>
      <c r="AP48" s="225"/>
      <c r="AQ48" s="86"/>
      <c r="AR48" s="86"/>
      <c r="AS48" s="239"/>
      <c r="AT48" s="86"/>
      <c r="AU48" s="86"/>
      <c r="AV48" s="202"/>
      <c r="AW48" s="86"/>
      <c r="AX48" s="86"/>
      <c r="AY48" s="86"/>
      <c r="AZ48" s="86"/>
      <c r="BA48" s="86"/>
      <c r="BB48" s="86"/>
      <c r="BC48" s="86"/>
      <c r="BD48" s="86"/>
      <c r="BE48" s="86"/>
      <c r="BF48" s="86"/>
      <c r="BG48" s="86"/>
      <c r="BH48" s="86"/>
      <c r="BI48" s="86"/>
      <c r="BJ48" s="202"/>
      <c r="BK48" s="202"/>
      <c r="BL48" s="202"/>
      <c r="BM48" s="86"/>
      <c r="BN48" s="86"/>
      <c r="BO48" s="86"/>
      <c r="BP48" s="86"/>
      <c r="BQ48" s="86"/>
      <c r="BR48" s="86"/>
      <c r="BS48" s="86"/>
      <c r="BT48" s="86"/>
      <c r="BU48" s="86"/>
      <c r="BV48" s="86"/>
      <c r="BW48" s="86"/>
      <c r="BX48" s="86"/>
      <c r="BY48" s="86"/>
      <c r="BZ48" s="86"/>
      <c r="CA48" s="86"/>
      <c r="CB48" s="86"/>
      <c r="CC48" s="86"/>
      <c r="CD48" s="86"/>
      <c r="CE48" s="86"/>
      <c r="CF48" s="86"/>
      <c r="CG48" s="86"/>
      <c r="CH48" s="86"/>
      <c r="CI48" s="86"/>
      <c r="CJ48" s="86"/>
      <c r="CK48" s="86"/>
      <c r="CL48" s="86"/>
      <c r="CM48" s="86"/>
      <c r="CN48" s="86"/>
      <c r="CO48" s="86"/>
    </row>
    <row r="49" spans="8:93" s="227" customFormat="1" x14ac:dyDescent="0.3">
      <c r="H49" s="237"/>
      <c r="J49" s="238"/>
      <c r="K49" s="199"/>
      <c r="L49" s="86"/>
      <c r="M49" s="86"/>
      <c r="N49" s="86"/>
      <c r="O49" s="202"/>
      <c r="P49" s="86"/>
      <c r="Q49" s="86"/>
      <c r="R49" s="86"/>
      <c r="S49" s="86"/>
      <c r="T49" s="86"/>
      <c r="U49" s="86"/>
      <c r="V49" s="86"/>
      <c r="W49" s="86"/>
      <c r="X49" s="86"/>
      <c r="Y49" s="86"/>
      <c r="Z49" s="86"/>
      <c r="AA49" s="86"/>
      <c r="AB49" s="86"/>
      <c r="AC49" s="86"/>
      <c r="AD49" s="86"/>
      <c r="AE49" s="86"/>
      <c r="AF49" s="86"/>
      <c r="AG49" s="86"/>
      <c r="AH49" s="86"/>
      <c r="AI49" s="86"/>
      <c r="AJ49" s="86"/>
      <c r="AK49" s="86"/>
      <c r="AL49" s="199"/>
      <c r="AM49" s="86"/>
      <c r="AN49" s="86"/>
      <c r="AO49" s="86"/>
      <c r="AP49" s="225"/>
      <c r="AQ49" s="86"/>
      <c r="AR49" s="86"/>
      <c r="AS49" s="239"/>
      <c r="AT49" s="86"/>
      <c r="AU49" s="86"/>
      <c r="AV49" s="202"/>
      <c r="AW49" s="86"/>
      <c r="AX49" s="86"/>
      <c r="AY49" s="86"/>
      <c r="AZ49" s="86"/>
      <c r="BA49" s="86"/>
      <c r="BB49" s="86"/>
      <c r="BC49" s="86"/>
      <c r="BD49" s="86"/>
      <c r="BE49" s="86"/>
      <c r="BF49" s="86"/>
      <c r="BG49" s="86"/>
      <c r="BH49" s="86"/>
      <c r="BI49" s="86"/>
      <c r="BJ49" s="202"/>
      <c r="BK49" s="202"/>
      <c r="BL49" s="202"/>
      <c r="BM49" s="86"/>
      <c r="BN49" s="86"/>
      <c r="BO49" s="86"/>
      <c r="BP49" s="86"/>
      <c r="BQ49" s="86"/>
      <c r="BR49" s="86"/>
      <c r="BS49" s="86"/>
      <c r="BT49" s="86"/>
      <c r="BU49" s="86"/>
      <c r="BV49" s="86"/>
      <c r="BW49" s="86"/>
      <c r="BX49" s="86"/>
      <c r="BY49" s="86"/>
      <c r="BZ49" s="86"/>
      <c r="CA49" s="86"/>
      <c r="CB49" s="86"/>
      <c r="CC49" s="86"/>
      <c r="CD49" s="86"/>
      <c r="CE49" s="86"/>
      <c r="CF49" s="86"/>
      <c r="CG49" s="86"/>
      <c r="CH49" s="86"/>
      <c r="CI49" s="86"/>
      <c r="CJ49" s="86"/>
      <c r="CK49" s="86"/>
      <c r="CL49" s="86"/>
      <c r="CM49" s="86"/>
      <c r="CN49" s="86"/>
      <c r="CO49" s="86"/>
    </row>
    <row r="50" spans="8:93" s="227" customFormat="1" x14ac:dyDescent="0.3">
      <c r="H50" s="237"/>
      <c r="J50" s="238"/>
      <c r="K50" s="199"/>
      <c r="L50" s="86"/>
      <c r="M50" s="86"/>
      <c r="N50" s="86"/>
      <c r="O50" s="202"/>
      <c r="P50" s="86"/>
      <c r="Q50" s="86"/>
      <c r="R50" s="86"/>
      <c r="S50" s="86"/>
      <c r="T50" s="86"/>
      <c r="U50" s="86"/>
      <c r="V50" s="86"/>
      <c r="W50" s="86"/>
      <c r="X50" s="86"/>
      <c r="Y50" s="86"/>
      <c r="Z50" s="86"/>
      <c r="AA50" s="86"/>
      <c r="AB50" s="86"/>
      <c r="AC50" s="86"/>
      <c r="AD50" s="86"/>
      <c r="AE50" s="86"/>
      <c r="AF50" s="86"/>
      <c r="AG50" s="86"/>
      <c r="AH50" s="86"/>
      <c r="AI50" s="86"/>
      <c r="AJ50" s="86"/>
      <c r="AK50" s="86"/>
      <c r="AL50" s="199"/>
      <c r="AM50" s="86"/>
      <c r="AN50" s="86"/>
      <c r="AO50" s="86"/>
      <c r="AP50" s="225"/>
      <c r="AQ50" s="86"/>
      <c r="AR50" s="86"/>
      <c r="AS50" s="239"/>
      <c r="AT50" s="86"/>
      <c r="AU50" s="86"/>
      <c r="AV50" s="202"/>
      <c r="AW50" s="86"/>
      <c r="AX50" s="86"/>
      <c r="AY50" s="86"/>
      <c r="AZ50" s="86"/>
      <c r="BA50" s="86"/>
      <c r="BB50" s="86"/>
      <c r="BC50" s="86"/>
      <c r="BD50" s="86"/>
      <c r="BE50" s="86"/>
      <c r="BF50" s="86"/>
      <c r="BG50" s="86"/>
      <c r="BH50" s="86"/>
      <c r="BI50" s="86"/>
      <c r="BJ50" s="202"/>
      <c r="BK50" s="202"/>
      <c r="BL50" s="202"/>
      <c r="BM50" s="86"/>
      <c r="BN50" s="86"/>
      <c r="BO50" s="86"/>
      <c r="BP50" s="86"/>
      <c r="BQ50" s="86"/>
      <c r="BR50" s="86"/>
      <c r="BS50" s="86"/>
      <c r="BT50" s="86"/>
      <c r="BU50" s="86"/>
      <c r="BV50" s="86"/>
      <c r="BW50" s="86"/>
      <c r="BX50" s="86"/>
      <c r="BY50" s="86"/>
      <c r="BZ50" s="86"/>
      <c r="CA50" s="86"/>
      <c r="CB50" s="86"/>
      <c r="CC50" s="86"/>
      <c r="CD50" s="86"/>
      <c r="CE50" s="86"/>
      <c r="CF50" s="86"/>
      <c r="CG50" s="86"/>
      <c r="CH50" s="86"/>
      <c r="CI50" s="86"/>
      <c r="CJ50" s="86"/>
      <c r="CK50" s="86"/>
      <c r="CL50" s="86"/>
      <c r="CM50" s="86"/>
      <c r="CN50" s="86"/>
      <c r="CO50" s="86"/>
    </row>
    <row r="51" spans="8:93" s="227" customFormat="1" x14ac:dyDescent="0.3">
      <c r="H51" s="237"/>
      <c r="J51" s="238"/>
      <c r="K51" s="199"/>
      <c r="L51" s="86"/>
      <c r="M51" s="86"/>
      <c r="N51" s="86"/>
      <c r="O51" s="202"/>
      <c r="P51" s="86"/>
      <c r="Q51" s="86"/>
      <c r="R51" s="86"/>
      <c r="S51" s="86"/>
      <c r="T51" s="86"/>
      <c r="U51" s="86"/>
      <c r="V51" s="86"/>
      <c r="W51" s="86"/>
      <c r="X51" s="86"/>
      <c r="Y51" s="86"/>
      <c r="Z51" s="86"/>
      <c r="AA51" s="86"/>
      <c r="AB51" s="86"/>
      <c r="AC51" s="86"/>
      <c r="AD51" s="86"/>
      <c r="AE51" s="86"/>
      <c r="AF51" s="86"/>
      <c r="AG51" s="86"/>
      <c r="AH51" s="86"/>
      <c r="AI51" s="86"/>
      <c r="AJ51" s="86"/>
      <c r="AK51" s="86"/>
      <c r="AL51" s="199"/>
      <c r="AM51" s="86"/>
      <c r="AN51" s="86"/>
      <c r="AO51" s="86"/>
      <c r="AP51" s="225"/>
      <c r="AQ51" s="86"/>
      <c r="AR51" s="86"/>
      <c r="AS51" s="239"/>
      <c r="AT51" s="86"/>
      <c r="AU51" s="86"/>
      <c r="AV51" s="202"/>
      <c r="AW51" s="86"/>
      <c r="AX51" s="86"/>
      <c r="AY51" s="86"/>
      <c r="AZ51" s="86"/>
      <c r="BA51" s="86"/>
      <c r="BB51" s="86"/>
      <c r="BC51" s="86"/>
      <c r="BD51" s="86"/>
      <c r="BE51" s="86"/>
      <c r="BF51" s="86"/>
      <c r="BG51" s="86"/>
      <c r="BH51" s="86"/>
      <c r="BI51" s="86"/>
      <c r="BJ51" s="202"/>
      <c r="BK51" s="202"/>
      <c r="BL51" s="202"/>
      <c r="BM51" s="86"/>
      <c r="BN51" s="86"/>
      <c r="BO51" s="86"/>
      <c r="BP51" s="86"/>
      <c r="BQ51" s="86"/>
      <c r="BR51" s="86"/>
      <c r="BS51" s="86"/>
      <c r="BT51" s="86"/>
      <c r="BU51" s="86"/>
      <c r="BV51" s="86"/>
      <c r="BW51" s="86"/>
      <c r="BX51" s="86"/>
      <c r="BY51" s="86"/>
      <c r="BZ51" s="86"/>
      <c r="CA51" s="86"/>
      <c r="CB51" s="86"/>
      <c r="CC51" s="86"/>
      <c r="CD51" s="86"/>
      <c r="CE51" s="86"/>
      <c r="CF51" s="86"/>
      <c r="CG51" s="86"/>
      <c r="CH51" s="86"/>
      <c r="CI51" s="86"/>
      <c r="CJ51" s="86"/>
      <c r="CK51" s="86"/>
      <c r="CL51" s="86"/>
      <c r="CM51" s="86"/>
      <c r="CN51" s="86"/>
      <c r="CO51" s="86"/>
    </row>
    <row r="52" spans="8:93" s="227" customFormat="1" x14ac:dyDescent="0.3">
      <c r="H52" s="237"/>
      <c r="J52" s="238"/>
      <c r="K52" s="199"/>
      <c r="L52" s="86"/>
      <c r="M52" s="86"/>
      <c r="N52" s="86"/>
      <c r="O52" s="202"/>
      <c r="P52" s="86"/>
      <c r="Q52" s="86"/>
      <c r="R52" s="86"/>
      <c r="S52" s="86"/>
      <c r="T52" s="86"/>
      <c r="U52" s="86"/>
      <c r="V52" s="86"/>
      <c r="W52" s="86"/>
      <c r="X52" s="86"/>
      <c r="Y52" s="86"/>
      <c r="Z52" s="86"/>
      <c r="AA52" s="86"/>
      <c r="AB52" s="86"/>
      <c r="AC52" s="86"/>
      <c r="AD52" s="86"/>
      <c r="AE52" s="86"/>
      <c r="AF52" s="86"/>
      <c r="AG52" s="86"/>
      <c r="AH52" s="86"/>
      <c r="AI52" s="86"/>
      <c r="AJ52" s="86"/>
      <c r="AK52" s="86"/>
      <c r="AL52" s="199"/>
      <c r="AM52" s="86"/>
      <c r="AN52" s="86"/>
      <c r="AO52" s="86"/>
      <c r="AP52" s="225"/>
      <c r="AQ52" s="86"/>
      <c r="AR52" s="86"/>
      <c r="AS52" s="239"/>
      <c r="AT52" s="86"/>
      <c r="AU52" s="86"/>
      <c r="AV52" s="202"/>
      <c r="AW52" s="86"/>
      <c r="AX52" s="86"/>
      <c r="AY52" s="86"/>
      <c r="AZ52" s="86"/>
      <c r="BA52" s="86"/>
      <c r="BB52" s="86"/>
      <c r="BC52" s="86"/>
      <c r="BD52" s="86"/>
      <c r="BE52" s="86"/>
      <c r="BF52" s="86"/>
      <c r="BG52" s="86"/>
      <c r="BH52" s="86"/>
      <c r="BI52" s="86"/>
      <c r="BJ52" s="202"/>
      <c r="BK52" s="202"/>
      <c r="BL52" s="202"/>
      <c r="BM52" s="86"/>
      <c r="BN52" s="86"/>
      <c r="BO52" s="86"/>
      <c r="BP52" s="86"/>
      <c r="BQ52" s="86"/>
      <c r="BR52" s="86"/>
      <c r="BS52" s="86"/>
      <c r="BT52" s="86"/>
      <c r="BU52" s="86"/>
      <c r="BV52" s="86"/>
      <c r="BW52" s="86"/>
      <c r="BX52" s="86"/>
      <c r="BY52" s="86"/>
      <c r="BZ52" s="86"/>
      <c r="CA52" s="86"/>
      <c r="CB52" s="86"/>
      <c r="CC52" s="86"/>
      <c r="CD52" s="86"/>
      <c r="CE52" s="86"/>
      <c r="CF52" s="86"/>
      <c r="CG52" s="86"/>
      <c r="CH52" s="86"/>
      <c r="CI52" s="86"/>
      <c r="CJ52" s="86"/>
      <c r="CK52" s="86"/>
      <c r="CL52" s="86"/>
      <c r="CM52" s="86"/>
      <c r="CN52" s="86"/>
      <c r="CO52" s="86"/>
    </row>
    <row r="53" spans="8:93" s="227" customFormat="1" x14ac:dyDescent="0.3">
      <c r="H53" s="237"/>
      <c r="J53" s="238"/>
      <c r="K53" s="199"/>
      <c r="L53" s="86"/>
      <c r="M53" s="86"/>
      <c r="N53" s="86"/>
      <c r="O53" s="202"/>
      <c r="P53" s="86"/>
      <c r="Q53" s="86"/>
      <c r="R53" s="86"/>
      <c r="S53" s="86"/>
      <c r="T53" s="86"/>
      <c r="U53" s="86"/>
      <c r="V53" s="86"/>
      <c r="W53" s="86"/>
      <c r="X53" s="86"/>
      <c r="Y53" s="86"/>
      <c r="Z53" s="86"/>
      <c r="AA53" s="86"/>
      <c r="AB53" s="86"/>
      <c r="AC53" s="86"/>
      <c r="AD53" s="86"/>
      <c r="AE53" s="86"/>
      <c r="AF53" s="86"/>
      <c r="AG53" s="86"/>
      <c r="AH53" s="86"/>
      <c r="AI53" s="86"/>
      <c r="AJ53" s="86"/>
      <c r="AK53" s="86"/>
      <c r="AL53" s="199"/>
      <c r="AM53" s="86"/>
      <c r="AN53" s="86"/>
      <c r="AO53" s="86"/>
      <c r="AP53" s="225"/>
      <c r="AQ53" s="86"/>
      <c r="AR53" s="86"/>
      <c r="AS53" s="239"/>
      <c r="AT53" s="86"/>
      <c r="AU53" s="86"/>
      <c r="AV53" s="202"/>
      <c r="AW53" s="86"/>
      <c r="AX53" s="86"/>
      <c r="AY53" s="86"/>
      <c r="AZ53" s="86"/>
      <c r="BA53" s="86"/>
      <c r="BB53" s="86"/>
      <c r="BC53" s="86"/>
      <c r="BD53" s="86"/>
      <c r="BE53" s="86"/>
      <c r="BF53" s="86"/>
      <c r="BG53" s="86"/>
      <c r="BH53" s="86"/>
      <c r="BI53" s="86"/>
      <c r="BJ53" s="202"/>
      <c r="BK53" s="202"/>
      <c r="BL53" s="202"/>
      <c r="BM53" s="86"/>
      <c r="BN53" s="86"/>
      <c r="BO53" s="86"/>
      <c r="BP53" s="86"/>
      <c r="BQ53" s="86"/>
      <c r="BR53" s="86"/>
      <c r="BS53" s="86"/>
      <c r="BT53" s="86"/>
      <c r="BU53" s="86"/>
      <c r="BV53" s="86"/>
      <c r="BW53" s="86"/>
      <c r="BX53" s="86"/>
      <c r="BY53" s="86"/>
      <c r="BZ53" s="86"/>
      <c r="CA53" s="86"/>
      <c r="CB53" s="86"/>
      <c r="CC53" s="86"/>
      <c r="CD53" s="86"/>
      <c r="CE53" s="86"/>
      <c r="CF53" s="86"/>
      <c r="CG53" s="86"/>
      <c r="CH53" s="86"/>
      <c r="CI53" s="86"/>
      <c r="CJ53" s="86"/>
      <c r="CK53" s="86"/>
      <c r="CL53" s="86"/>
      <c r="CM53" s="86"/>
      <c r="CN53" s="86"/>
      <c r="CO53" s="86"/>
    </row>
    <row r="54" spans="8:93" s="227" customFormat="1" x14ac:dyDescent="0.3">
      <c r="H54" s="237"/>
      <c r="J54" s="238"/>
      <c r="K54" s="199"/>
      <c r="L54" s="86"/>
      <c r="M54" s="86"/>
      <c r="N54" s="86"/>
      <c r="O54" s="202"/>
      <c r="P54" s="86"/>
      <c r="Q54" s="86"/>
      <c r="R54" s="86"/>
      <c r="S54" s="86"/>
      <c r="T54" s="86"/>
      <c r="U54" s="86"/>
      <c r="V54" s="86"/>
      <c r="W54" s="86"/>
      <c r="X54" s="86"/>
      <c r="Y54" s="86"/>
      <c r="Z54" s="86"/>
      <c r="AA54" s="86"/>
      <c r="AB54" s="86"/>
      <c r="AC54" s="86"/>
      <c r="AD54" s="86"/>
      <c r="AE54" s="86"/>
      <c r="AF54" s="86"/>
      <c r="AG54" s="86"/>
      <c r="AH54" s="86"/>
      <c r="AI54" s="86"/>
      <c r="AJ54" s="86"/>
      <c r="AK54" s="86"/>
      <c r="AL54" s="199"/>
      <c r="AM54" s="86"/>
      <c r="AN54" s="86"/>
      <c r="AO54" s="86"/>
      <c r="AP54" s="225"/>
      <c r="AQ54" s="86"/>
      <c r="AR54" s="86"/>
      <c r="AS54" s="239"/>
      <c r="AT54" s="86"/>
      <c r="AU54" s="86"/>
      <c r="AV54" s="202"/>
      <c r="AW54" s="86"/>
      <c r="AX54" s="86"/>
      <c r="AY54" s="86"/>
      <c r="AZ54" s="86"/>
      <c r="BA54" s="86"/>
      <c r="BB54" s="86"/>
      <c r="BC54" s="86"/>
      <c r="BD54" s="86"/>
      <c r="BE54" s="86"/>
      <c r="BF54" s="86"/>
      <c r="BG54" s="86"/>
      <c r="BH54" s="86"/>
      <c r="BI54" s="86"/>
      <c r="BJ54" s="202"/>
      <c r="BK54" s="202"/>
      <c r="BL54" s="202"/>
      <c r="BM54" s="86"/>
      <c r="BN54" s="86"/>
      <c r="BO54" s="86"/>
      <c r="BP54" s="86"/>
      <c r="BQ54" s="86"/>
      <c r="BR54" s="86"/>
      <c r="BS54" s="86"/>
      <c r="BT54" s="86"/>
      <c r="BU54" s="86"/>
      <c r="BV54" s="86"/>
      <c r="BW54" s="86"/>
      <c r="BX54" s="86"/>
      <c r="BY54" s="86"/>
      <c r="BZ54" s="86"/>
      <c r="CA54" s="86"/>
      <c r="CB54" s="86"/>
      <c r="CC54" s="86"/>
      <c r="CD54" s="86"/>
      <c r="CE54" s="86"/>
      <c r="CF54" s="86"/>
      <c r="CG54" s="86"/>
      <c r="CH54" s="86"/>
      <c r="CI54" s="86"/>
      <c r="CJ54" s="86"/>
      <c r="CK54" s="86"/>
      <c r="CL54" s="86"/>
      <c r="CM54" s="86"/>
      <c r="CN54" s="86"/>
      <c r="CO54" s="86"/>
    </row>
    <row r="55" spans="8:93" s="227" customFormat="1" x14ac:dyDescent="0.3">
      <c r="H55" s="237"/>
      <c r="J55" s="238"/>
      <c r="K55" s="199"/>
      <c r="L55" s="86"/>
      <c r="M55" s="86"/>
      <c r="N55" s="86"/>
      <c r="O55" s="202"/>
      <c r="P55" s="86"/>
      <c r="Q55" s="86"/>
      <c r="R55" s="86"/>
      <c r="S55" s="86"/>
      <c r="T55" s="86"/>
      <c r="U55" s="86"/>
      <c r="V55" s="86"/>
      <c r="W55" s="86"/>
      <c r="X55" s="86"/>
      <c r="Y55" s="86"/>
      <c r="Z55" s="86"/>
      <c r="AA55" s="86"/>
      <c r="AB55" s="86"/>
      <c r="AC55" s="86"/>
      <c r="AD55" s="86"/>
      <c r="AE55" s="86"/>
      <c r="AF55" s="86"/>
      <c r="AG55" s="86"/>
      <c r="AH55" s="86"/>
      <c r="AI55" s="86"/>
      <c r="AJ55" s="86"/>
      <c r="AK55" s="86"/>
      <c r="AL55" s="199"/>
      <c r="AM55" s="86"/>
      <c r="AN55" s="86"/>
      <c r="AO55" s="86"/>
      <c r="AP55" s="225"/>
      <c r="AQ55" s="86"/>
      <c r="AR55" s="86"/>
      <c r="AS55" s="239"/>
      <c r="AT55" s="86"/>
      <c r="AU55" s="86"/>
      <c r="AV55" s="202"/>
      <c r="AW55" s="86"/>
      <c r="AX55" s="86"/>
      <c r="AY55" s="86"/>
      <c r="AZ55" s="86"/>
      <c r="BA55" s="86"/>
      <c r="BB55" s="86"/>
      <c r="BC55" s="86"/>
      <c r="BD55" s="86"/>
      <c r="BE55" s="86"/>
      <c r="BF55" s="86"/>
      <c r="BG55" s="86"/>
      <c r="BH55" s="86"/>
      <c r="BI55" s="86"/>
      <c r="BJ55" s="202"/>
      <c r="BK55" s="202"/>
      <c r="BL55" s="202"/>
      <c r="BM55" s="86"/>
      <c r="BN55" s="86"/>
      <c r="BO55" s="86"/>
      <c r="BP55" s="86"/>
      <c r="BQ55" s="86"/>
      <c r="BR55" s="86"/>
      <c r="BS55" s="86"/>
      <c r="BT55" s="86"/>
      <c r="BU55" s="86"/>
      <c r="BV55" s="86"/>
      <c r="BW55" s="86"/>
      <c r="BX55" s="86"/>
      <c r="BY55" s="86"/>
      <c r="BZ55" s="86"/>
      <c r="CA55" s="86"/>
      <c r="CB55" s="86"/>
      <c r="CC55" s="86"/>
      <c r="CD55" s="86"/>
      <c r="CE55" s="86"/>
      <c r="CF55" s="86"/>
      <c r="CG55" s="86"/>
      <c r="CH55" s="86"/>
      <c r="CI55" s="86"/>
      <c r="CJ55" s="86"/>
      <c r="CK55" s="86"/>
      <c r="CL55" s="86"/>
      <c r="CM55" s="86"/>
      <c r="CN55" s="86"/>
      <c r="CO55" s="86"/>
    </row>
    <row r="56" spans="8:93" s="227" customFormat="1" x14ac:dyDescent="0.3">
      <c r="H56" s="237"/>
      <c r="J56" s="238"/>
      <c r="K56" s="199"/>
      <c r="L56" s="86"/>
      <c r="M56" s="86"/>
      <c r="N56" s="86"/>
      <c r="O56" s="202"/>
      <c r="P56" s="86"/>
      <c r="Q56" s="86"/>
      <c r="R56" s="86"/>
      <c r="S56" s="86"/>
      <c r="T56" s="86"/>
      <c r="U56" s="86"/>
      <c r="V56" s="86"/>
      <c r="W56" s="86"/>
      <c r="X56" s="86"/>
      <c r="Y56" s="86"/>
      <c r="Z56" s="86"/>
      <c r="AA56" s="86"/>
      <c r="AB56" s="86"/>
      <c r="AC56" s="86"/>
      <c r="AD56" s="86"/>
      <c r="AE56" s="86"/>
      <c r="AF56" s="86"/>
      <c r="AG56" s="86"/>
      <c r="AH56" s="86"/>
      <c r="AI56" s="86"/>
      <c r="AJ56" s="86"/>
      <c r="AK56" s="86"/>
      <c r="AL56" s="199"/>
      <c r="AM56" s="86"/>
      <c r="AN56" s="86"/>
      <c r="AO56" s="86"/>
      <c r="AP56" s="225"/>
      <c r="AQ56" s="86"/>
      <c r="AR56" s="86"/>
      <c r="AS56" s="239"/>
      <c r="AT56" s="86"/>
      <c r="AU56" s="86"/>
      <c r="AV56" s="202"/>
      <c r="AW56" s="86"/>
      <c r="AX56" s="86"/>
      <c r="AY56" s="86"/>
      <c r="AZ56" s="86"/>
      <c r="BA56" s="86"/>
      <c r="BB56" s="86"/>
      <c r="BC56" s="86"/>
      <c r="BD56" s="86"/>
      <c r="BE56" s="86"/>
      <c r="BF56" s="86"/>
      <c r="BG56" s="86"/>
      <c r="BH56" s="86"/>
      <c r="BI56" s="86"/>
      <c r="BJ56" s="202"/>
      <c r="BK56" s="202"/>
      <c r="BL56" s="202"/>
      <c r="BM56" s="86"/>
      <c r="BN56" s="86"/>
      <c r="BO56" s="86"/>
      <c r="BP56" s="86"/>
      <c r="BQ56" s="86"/>
      <c r="BR56" s="86"/>
      <c r="BS56" s="86"/>
      <c r="BT56" s="86"/>
      <c r="BU56" s="86"/>
      <c r="BV56" s="86"/>
      <c r="BW56" s="86"/>
      <c r="BX56" s="86"/>
      <c r="BY56" s="86"/>
      <c r="BZ56" s="86"/>
      <c r="CA56" s="86"/>
      <c r="CB56" s="86"/>
      <c r="CC56" s="86"/>
      <c r="CD56" s="86"/>
      <c r="CE56" s="86"/>
      <c r="CF56" s="86"/>
      <c r="CG56" s="86"/>
      <c r="CH56" s="86"/>
      <c r="CI56" s="86"/>
      <c r="CJ56" s="86"/>
      <c r="CK56" s="86"/>
      <c r="CL56" s="86"/>
      <c r="CM56" s="86"/>
      <c r="CN56" s="86"/>
      <c r="CO56" s="86"/>
    </row>
    <row r="57" spans="8:93" s="227" customFormat="1" x14ac:dyDescent="0.3">
      <c r="H57" s="237"/>
      <c r="J57" s="238"/>
      <c r="K57" s="199"/>
      <c r="L57" s="86"/>
      <c r="M57" s="86"/>
      <c r="N57" s="86"/>
      <c r="O57" s="202"/>
      <c r="P57" s="86"/>
      <c r="Q57" s="86"/>
      <c r="R57" s="86"/>
      <c r="S57" s="86"/>
      <c r="T57" s="86"/>
      <c r="U57" s="86"/>
      <c r="V57" s="86"/>
      <c r="W57" s="86"/>
      <c r="X57" s="86"/>
      <c r="Y57" s="86"/>
      <c r="Z57" s="86"/>
      <c r="AA57" s="86"/>
      <c r="AB57" s="86"/>
      <c r="AC57" s="86"/>
      <c r="AD57" s="86"/>
      <c r="AE57" s="86"/>
      <c r="AF57" s="86"/>
      <c r="AG57" s="86"/>
      <c r="AH57" s="86"/>
      <c r="AI57" s="86"/>
      <c r="AJ57" s="86"/>
      <c r="AK57" s="86"/>
      <c r="AL57" s="199"/>
      <c r="AM57" s="86"/>
      <c r="AN57" s="86"/>
      <c r="AO57" s="86"/>
      <c r="AP57" s="225"/>
      <c r="AQ57" s="86"/>
      <c r="AR57" s="86"/>
      <c r="AS57" s="239"/>
      <c r="AT57" s="86"/>
      <c r="AU57" s="86"/>
      <c r="AV57" s="202"/>
      <c r="AW57" s="86"/>
      <c r="AX57" s="86"/>
      <c r="AY57" s="86"/>
      <c r="AZ57" s="86"/>
      <c r="BA57" s="86"/>
      <c r="BB57" s="86"/>
      <c r="BC57" s="86"/>
      <c r="BD57" s="86"/>
      <c r="BE57" s="86"/>
      <c r="BF57" s="86"/>
      <c r="BG57" s="86"/>
      <c r="BH57" s="86"/>
      <c r="BI57" s="86"/>
      <c r="BJ57" s="202"/>
      <c r="BK57" s="202"/>
      <c r="BL57" s="202"/>
      <c r="BM57" s="86"/>
      <c r="BN57" s="86"/>
      <c r="BO57" s="86"/>
      <c r="BP57" s="86"/>
      <c r="BQ57" s="86"/>
      <c r="BR57" s="86"/>
      <c r="BS57" s="86"/>
      <c r="BT57" s="86"/>
      <c r="BU57" s="86"/>
      <c r="BV57" s="86"/>
      <c r="BW57" s="86"/>
      <c r="BX57" s="86"/>
      <c r="BY57" s="86"/>
      <c r="BZ57" s="86"/>
      <c r="CA57" s="86"/>
      <c r="CB57" s="86"/>
      <c r="CC57" s="86"/>
      <c r="CD57" s="86"/>
      <c r="CE57" s="86"/>
      <c r="CF57" s="86"/>
      <c r="CG57" s="86"/>
      <c r="CH57" s="86"/>
      <c r="CI57" s="86"/>
      <c r="CJ57" s="86"/>
      <c r="CK57" s="86"/>
      <c r="CL57" s="86"/>
      <c r="CM57" s="86"/>
      <c r="CN57" s="86"/>
      <c r="CO57" s="86"/>
    </row>
    <row r="58" spans="8:93" s="227" customFormat="1" x14ac:dyDescent="0.3">
      <c r="H58" s="237"/>
      <c r="J58" s="238"/>
      <c r="K58" s="199"/>
      <c r="L58" s="86"/>
      <c r="M58" s="86"/>
      <c r="N58" s="86"/>
      <c r="O58" s="202"/>
      <c r="P58" s="86"/>
      <c r="Q58" s="86"/>
      <c r="R58" s="86"/>
      <c r="S58" s="86"/>
      <c r="T58" s="86"/>
      <c r="U58" s="86"/>
      <c r="V58" s="86"/>
      <c r="W58" s="86"/>
      <c r="X58" s="86"/>
      <c r="Y58" s="86"/>
      <c r="Z58" s="86"/>
      <c r="AA58" s="86"/>
      <c r="AB58" s="86"/>
      <c r="AC58" s="86"/>
      <c r="AD58" s="86"/>
      <c r="AE58" s="86"/>
      <c r="AF58" s="86"/>
      <c r="AG58" s="86"/>
      <c r="AH58" s="86"/>
      <c r="AI58" s="86"/>
      <c r="AJ58" s="86"/>
      <c r="AK58" s="86"/>
      <c r="AL58" s="199"/>
      <c r="AM58" s="86"/>
      <c r="AN58" s="86"/>
      <c r="AO58" s="86"/>
      <c r="AP58" s="225"/>
      <c r="AQ58" s="86"/>
      <c r="AR58" s="86"/>
      <c r="AS58" s="239"/>
      <c r="AT58" s="86"/>
      <c r="AU58" s="86"/>
      <c r="AV58" s="202"/>
      <c r="AW58" s="86"/>
      <c r="AX58" s="86"/>
      <c r="AY58" s="86"/>
      <c r="AZ58" s="86"/>
      <c r="BA58" s="86"/>
      <c r="BB58" s="86"/>
      <c r="BC58" s="86"/>
      <c r="BD58" s="86"/>
      <c r="BE58" s="86"/>
      <c r="BF58" s="86"/>
      <c r="BG58" s="86"/>
      <c r="BH58" s="86"/>
      <c r="BI58" s="86"/>
      <c r="BJ58" s="202"/>
      <c r="BK58" s="202"/>
      <c r="BL58" s="202"/>
      <c r="BM58" s="86"/>
      <c r="BN58" s="86"/>
      <c r="BO58" s="86"/>
      <c r="BP58" s="86"/>
      <c r="BQ58" s="86"/>
      <c r="BR58" s="86"/>
      <c r="BS58" s="86"/>
      <c r="BT58" s="86"/>
      <c r="BU58" s="86"/>
      <c r="BV58" s="86"/>
      <c r="BW58" s="86"/>
      <c r="BX58" s="86"/>
      <c r="BY58" s="86"/>
      <c r="BZ58" s="86"/>
      <c r="CA58" s="86"/>
      <c r="CB58" s="86"/>
      <c r="CC58" s="86"/>
      <c r="CD58" s="86"/>
      <c r="CE58" s="86"/>
      <c r="CF58" s="86"/>
      <c r="CG58" s="86"/>
      <c r="CH58" s="86"/>
      <c r="CI58" s="86"/>
      <c r="CJ58" s="86"/>
      <c r="CK58" s="86"/>
      <c r="CL58" s="86"/>
      <c r="CM58" s="86"/>
      <c r="CN58" s="86"/>
      <c r="CO58" s="86"/>
    </row>
    <row r="59" spans="8:93" s="227" customFormat="1" x14ac:dyDescent="0.3">
      <c r="H59" s="237"/>
      <c r="J59" s="238"/>
      <c r="K59" s="199"/>
      <c r="L59" s="86"/>
      <c r="M59" s="86"/>
      <c r="N59" s="86"/>
      <c r="O59" s="202"/>
      <c r="P59" s="86"/>
      <c r="Q59" s="86"/>
      <c r="R59" s="86"/>
      <c r="S59" s="86"/>
      <c r="T59" s="86"/>
      <c r="U59" s="86"/>
      <c r="V59" s="86"/>
      <c r="W59" s="86"/>
      <c r="X59" s="86"/>
      <c r="Y59" s="86"/>
      <c r="Z59" s="86"/>
      <c r="AA59" s="86"/>
      <c r="AB59" s="86"/>
      <c r="AC59" s="86"/>
      <c r="AD59" s="86"/>
      <c r="AE59" s="86"/>
      <c r="AF59" s="86"/>
      <c r="AG59" s="86"/>
      <c r="AH59" s="86"/>
      <c r="AI59" s="86"/>
      <c r="AJ59" s="86"/>
      <c r="AK59" s="86"/>
      <c r="AL59" s="199"/>
      <c r="AM59" s="86"/>
      <c r="AN59" s="86"/>
      <c r="AO59" s="86"/>
      <c r="AP59" s="225"/>
      <c r="AQ59" s="86"/>
      <c r="AR59" s="86"/>
      <c r="AS59" s="239"/>
      <c r="AT59" s="86"/>
      <c r="AU59" s="86"/>
      <c r="AV59" s="202"/>
      <c r="AW59" s="86"/>
      <c r="AX59" s="86"/>
      <c r="AY59" s="86"/>
      <c r="AZ59" s="86"/>
      <c r="BA59" s="86"/>
      <c r="BB59" s="86"/>
      <c r="BC59" s="86"/>
      <c r="BD59" s="86"/>
      <c r="BE59" s="86"/>
      <c r="BF59" s="86"/>
      <c r="BG59" s="86"/>
      <c r="BH59" s="86"/>
      <c r="BI59" s="86"/>
      <c r="BJ59" s="202"/>
      <c r="BK59" s="202"/>
      <c r="BL59" s="202"/>
      <c r="BM59" s="86"/>
      <c r="BN59" s="86"/>
      <c r="BO59" s="86"/>
      <c r="BP59" s="86"/>
      <c r="BQ59" s="86"/>
      <c r="BR59" s="86"/>
      <c r="BS59" s="86"/>
      <c r="BT59" s="86"/>
      <c r="BU59" s="86"/>
      <c r="BV59" s="86"/>
      <c r="BW59" s="86"/>
      <c r="BX59" s="86"/>
      <c r="BY59" s="86"/>
      <c r="BZ59" s="86"/>
      <c r="CA59" s="86"/>
      <c r="CB59" s="86"/>
      <c r="CC59" s="86"/>
      <c r="CD59" s="86"/>
      <c r="CE59" s="86"/>
      <c r="CF59" s="86"/>
      <c r="CG59" s="86"/>
      <c r="CH59" s="86"/>
      <c r="CI59" s="86"/>
      <c r="CJ59" s="86"/>
      <c r="CK59" s="86"/>
      <c r="CL59" s="86"/>
      <c r="CM59" s="86"/>
      <c r="CN59" s="86"/>
      <c r="CO59" s="86"/>
    </row>
    <row r="60" spans="8:93" x14ac:dyDescent="0.3">
      <c r="AS60" s="107"/>
    </row>
    <row r="61" spans="8:93" x14ac:dyDescent="0.3">
      <c r="AS61" s="107"/>
    </row>
    <row r="62" spans="8:93" x14ac:dyDescent="0.3">
      <c r="AS62" s="107"/>
    </row>
    <row r="63" spans="8:93" x14ac:dyDescent="0.3">
      <c r="AS63" s="107"/>
    </row>
    <row r="64" spans="8:93" x14ac:dyDescent="0.3">
      <c r="AS64" s="107"/>
    </row>
    <row r="65" spans="45:45" x14ac:dyDescent="0.3">
      <c r="AS65" s="107"/>
    </row>
    <row r="66" spans="45:45" x14ac:dyDescent="0.3">
      <c r="AS66" s="107"/>
    </row>
  </sheetData>
  <pageMargins left="0.7" right="0.7" top="0.75" bottom="0.75" header="0.3" footer="0.3"/>
  <pageSetup orientation="portrait" verticalDpi="0" r:id="rId1"/>
  <headerFooter>
    <oddFooter>&amp;L&amp;F&amp;C&amp;A&amp;R&amp;D&amp;T</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37DBF8-D28B-498A-AC4D-793F7CDB11B6}">
  <sheetPr>
    <tabColor theme="7"/>
  </sheetPr>
  <dimension ref="B2:DQ66"/>
  <sheetViews>
    <sheetView zoomScale="80" zoomScaleNormal="80" workbookViewId="0"/>
  </sheetViews>
  <sheetFormatPr defaultColWidth="14.33203125" defaultRowHeight="14.4" x14ac:dyDescent="0.3"/>
  <cols>
    <col min="1" max="1" width="4.33203125" style="75" customWidth="1"/>
    <col min="2" max="7" width="14.33203125" style="75"/>
    <col min="8" max="8" width="14.33203125" style="76"/>
    <col min="9" max="9" width="14.33203125" style="75"/>
    <col min="10" max="10" width="14.33203125" style="77"/>
    <col min="11" max="11" width="14.33203125" style="78"/>
    <col min="12" max="12" width="15.6640625" style="79" customWidth="1"/>
    <col min="13" max="14" width="14.33203125" style="79"/>
    <col min="15" max="15" width="14.33203125" style="80"/>
    <col min="16" max="37" width="14.33203125" style="79"/>
    <col min="38" max="38" width="15.109375" style="78" bestFit="1" customWidth="1"/>
    <col min="39" max="41" width="14.33203125" style="79"/>
    <col min="42" max="42" width="14.33203125" style="81"/>
    <col min="43" max="47" width="14.33203125" style="79"/>
    <col min="48" max="48" width="14.33203125" style="80"/>
    <col min="49" max="61" width="14.33203125" style="79"/>
    <col min="62" max="62" width="14.33203125" style="80"/>
    <col min="63" max="63" width="16.33203125" style="80" bestFit="1" customWidth="1"/>
    <col min="64" max="64" width="14.33203125" style="80"/>
    <col min="65" max="93" width="14.33203125" style="79"/>
    <col min="94" max="16384" width="14.33203125" style="75"/>
  </cols>
  <sheetData>
    <row r="2" spans="2:121" x14ac:dyDescent="0.3">
      <c r="AY2" s="82" t="s">
        <v>90</v>
      </c>
      <c r="AZ2" s="83"/>
      <c r="BA2" s="83"/>
      <c r="BB2" s="84"/>
      <c r="BE2" s="82" t="s">
        <v>91</v>
      </c>
      <c r="BF2" s="85"/>
      <c r="BG2" s="86"/>
      <c r="BJ2" s="82" t="s">
        <v>153</v>
      </c>
      <c r="BK2" s="85"/>
      <c r="BN2" s="82" t="s">
        <v>92</v>
      </c>
      <c r="BO2" s="83"/>
      <c r="BP2" s="83"/>
      <c r="BQ2" s="84"/>
      <c r="BS2" s="82" t="s">
        <v>93</v>
      </c>
      <c r="BT2" s="84"/>
    </row>
    <row r="3" spans="2:121" s="87" customFormat="1" ht="28.8" x14ac:dyDescent="0.3">
      <c r="F3" s="88" t="s">
        <v>94</v>
      </c>
      <c r="H3" s="89"/>
      <c r="I3" s="90" t="s">
        <v>739</v>
      </c>
      <c r="J3" s="90" t="s">
        <v>95</v>
      </c>
      <c r="K3" s="90" t="s">
        <v>213</v>
      </c>
      <c r="L3" s="90" t="s">
        <v>214</v>
      </c>
      <c r="M3" s="91"/>
      <c r="N3" s="91"/>
      <c r="O3" s="92"/>
      <c r="P3" s="90" t="s">
        <v>736</v>
      </c>
      <c r="Q3" s="91"/>
      <c r="R3" s="91"/>
      <c r="S3" s="91"/>
      <c r="T3" s="91"/>
      <c r="U3" s="91"/>
      <c r="V3" s="91"/>
      <c r="W3" s="91"/>
      <c r="X3" s="91"/>
      <c r="Y3" s="91"/>
      <c r="Z3" s="91"/>
      <c r="AA3" s="91"/>
      <c r="AB3" s="93"/>
      <c r="AC3" s="93"/>
      <c r="AD3" s="93"/>
      <c r="AE3" s="93"/>
      <c r="AF3" s="93"/>
      <c r="AG3" s="90" t="s">
        <v>737</v>
      </c>
      <c r="AH3" s="90" t="s">
        <v>750</v>
      </c>
      <c r="AI3" s="90" t="s">
        <v>96</v>
      </c>
      <c r="AJ3" s="93"/>
      <c r="AK3" s="94"/>
      <c r="AL3" s="95"/>
      <c r="AM3" s="94"/>
      <c r="AN3" s="94"/>
      <c r="AO3" s="96"/>
      <c r="AP3" s="90" t="s">
        <v>97</v>
      </c>
      <c r="AQ3" s="96"/>
      <c r="AR3" s="91"/>
      <c r="AS3" s="91"/>
      <c r="AT3" s="91"/>
      <c r="AU3" s="91"/>
      <c r="AV3" s="92"/>
      <c r="AW3" s="91"/>
      <c r="AX3" s="91"/>
      <c r="AY3" s="97" t="s">
        <v>38</v>
      </c>
      <c r="AZ3" s="97" t="s">
        <v>222</v>
      </c>
      <c r="BA3" s="97" t="s">
        <v>98</v>
      </c>
      <c r="BB3" s="97" t="s">
        <v>223</v>
      </c>
      <c r="BD3" s="91"/>
      <c r="BE3" s="98" t="s">
        <v>38</v>
      </c>
      <c r="BF3" s="98" t="s">
        <v>222</v>
      </c>
      <c r="BG3" s="91"/>
      <c r="BH3" s="79"/>
      <c r="BI3" s="79"/>
      <c r="BJ3" s="97" t="s">
        <v>151</v>
      </c>
      <c r="BK3" s="97" t="s">
        <v>152</v>
      </c>
      <c r="BN3" s="97" t="s">
        <v>98</v>
      </c>
      <c r="BO3" s="97" t="s">
        <v>99</v>
      </c>
      <c r="BP3" s="97" t="s">
        <v>38</v>
      </c>
      <c r="BQ3" s="97" t="s">
        <v>222</v>
      </c>
      <c r="BR3" s="91"/>
      <c r="BS3" s="97" t="s">
        <v>38</v>
      </c>
      <c r="BT3" s="97" t="s">
        <v>222</v>
      </c>
      <c r="BU3" s="97" t="s">
        <v>100</v>
      </c>
      <c r="BV3" s="88" t="s">
        <v>101</v>
      </c>
      <c r="BW3" s="91"/>
      <c r="BX3" s="91"/>
      <c r="BY3" s="91"/>
      <c r="BZ3" s="91"/>
      <c r="CA3" s="91"/>
      <c r="CB3" s="91"/>
      <c r="CC3" s="91"/>
      <c r="CD3" s="91"/>
      <c r="CE3" s="91"/>
      <c r="CF3" s="91"/>
      <c r="CG3" s="91"/>
      <c r="CH3" s="91"/>
      <c r="CI3" s="91"/>
      <c r="CJ3" s="91"/>
      <c r="CK3" s="91"/>
      <c r="CL3" s="91"/>
      <c r="CM3" s="91"/>
      <c r="CN3" s="91"/>
      <c r="CO3" s="91"/>
    </row>
    <row r="4" spans="2:121" x14ac:dyDescent="0.3">
      <c r="F4" s="99">
        <f t="array" ref="F4">MAX(($F$12:$F$44&gt;0)*($B$12:$B$44))</f>
        <v>25</v>
      </c>
      <c r="I4" s="101">
        <f>AVERAGEIF(I12:I44,"&gt;0")</f>
        <v>39089.050000000025</v>
      </c>
      <c r="J4" s="100">
        <f>AVERAGEIF(J12:J44,"&gt;0")</f>
        <v>1.0000000000000004E-2</v>
      </c>
      <c r="K4" s="101">
        <f>AVERAGEIF(K12:K44,"&gt;0")</f>
        <v>7.2950962201957177</v>
      </c>
      <c r="L4" s="101">
        <f>AVERAGEIF(L12:L44,"&gt;0")</f>
        <v>10.986604606170388</v>
      </c>
      <c r="P4" s="101">
        <f>AVERAGEIF(P12:P44,"&gt;0")</f>
        <v>357214.25835282577</v>
      </c>
      <c r="AG4" s="101">
        <f>AVERAGEIF(AG12:AG44,"&gt;0")</f>
        <v>284581.30584865651</v>
      </c>
      <c r="AH4" s="101">
        <f>AVERAGEIF(AH12:AH44,"&gt;0")</f>
        <v>72632.952504169371</v>
      </c>
      <c r="AI4" s="100">
        <f>AVERAGEIF(AI12:AI44,"&gt;0")</f>
        <v>0.20352827182989144</v>
      </c>
      <c r="AP4" s="100">
        <f>AVERAGEIF(AP12:AP44,"&gt;0")</f>
        <v>9.3621576538991835E-2</v>
      </c>
      <c r="AY4" s="103">
        <f>IRR(BF11:BF44)</f>
        <v>0.21876663947048014</v>
      </c>
      <c r="AZ4" s="104">
        <f>NPV(AY4,BF11:BF44)</f>
        <v>1.9415021492322577E-8</v>
      </c>
      <c r="BA4" s="103">
        <f>XIRR(BG11:BG44,E11:E44,1)</f>
        <v>0.21862233057618141</v>
      </c>
      <c r="BB4" s="101">
        <f>XNPV(BA4,BG11:BG44,E11:E44)</f>
        <v>-1.9505000632307201E-3</v>
      </c>
      <c r="BE4" s="103">
        <f>IRR(BE11:BE44)</f>
        <v>0.24582184685441977</v>
      </c>
      <c r="BF4" s="105">
        <f>NPV(BE4,BE11:BE44)</f>
        <v>-3.3490397964347646E-11</v>
      </c>
      <c r="BJ4" s="106">
        <f>AVERAGEIF(BM12:BM44,"&gt;0")</f>
        <v>1.1899498994597766</v>
      </c>
      <c r="BK4" s="106">
        <f t="array" ref="BK4">MIN(IF(BM12:BM44&lt;&gt;0,BM12:BM44))</f>
        <v>1.0919426772746426</v>
      </c>
      <c r="BN4" s="103">
        <f>XIRR(BP11:BP44,D11:D44,1)</f>
        <v>0.20510638877749443</v>
      </c>
      <c r="BO4" s="106">
        <f>XNPV(BN4,BP11:BP44,D11:D44)</f>
        <v>-1.4892247988882445E-3</v>
      </c>
      <c r="BP4" s="103">
        <f>IFERROR(IRR(BP11:BP44),"NEG IRR")</f>
        <v>0.20523381936067775</v>
      </c>
      <c r="BQ4" s="105">
        <f>NPV(BP4,BP11:BP44)</f>
        <v>-4.2730411859178132E-11</v>
      </c>
      <c r="BS4" s="103">
        <f>IRR(BO11:BO44)</f>
        <v>0.26274933514487686</v>
      </c>
      <c r="BT4" s="105">
        <f>NPV(BS4,BO11:BO44)</f>
        <v>3.2523770936867566E-11</v>
      </c>
      <c r="BU4" s="105">
        <f>MATCH(1,$BU$12:$BU$44,0)</f>
        <v>8</v>
      </c>
      <c r="BV4" s="99">
        <f t="array" ref="BV4">MAX(($BV$12:$BV$44&gt;0)*($B$12:$B$44))</f>
        <v>25</v>
      </c>
    </row>
    <row r="5" spans="2:121" x14ac:dyDescent="0.3">
      <c r="H5" s="108"/>
      <c r="I5" s="102"/>
    </row>
    <row r="6" spans="2:121" x14ac:dyDescent="0.3">
      <c r="G6" s="109"/>
      <c r="H6" s="109"/>
      <c r="I6" s="109"/>
      <c r="K6" s="110"/>
      <c r="O6" s="112"/>
      <c r="P6" s="111"/>
      <c r="AS6" s="113"/>
      <c r="AV6" s="114"/>
    </row>
    <row r="7" spans="2:121" x14ac:dyDescent="0.3">
      <c r="G7" s="450" t="s">
        <v>102</v>
      </c>
      <c r="H7" s="451"/>
      <c r="I7" s="452"/>
      <c r="J7" s="453"/>
      <c r="K7" s="460" t="s">
        <v>103</v>
      </c>
      <c r="L7" s="461"/>
      <c r="M7" s="462"/>
      <c r="N7" s="463"/>
      <c r="O7" s="116"/>
      <c r="P7" s="116"/>
      <c r="Q7" s="117" t="s">
        <v>104</v>
      </c>
      <c r="R7" s="115"/>
      <c r="S7" s="115"/>
      <c r="T7" s="115"/>
      <c r="U7" s="115"/>
      <c r="V7" s="115"/>
      <c r="W7" s="115"/>
      <c r="X7" s="115"/>
      <c r="Y7" s="115"/>
      <c r="Z7" s="115"/>
      <c r="AA7" s="115"/>
      <c r="AB7" s="115"/>
      <c r="AC7" s="115"/>
      <c r="AD7" s="115"/>
      <c r="AE7" s="115"/>
      <c r="AF7" s="115"/>
      <c r="AG7" s="118"/>
      <c r="AH7" s="117" t="s">
        <v>105</v>
      </c>
      <c r="AI7" s="118"/>
      <c r="AJ7" s="105" t="s">
        <v>106</v>
      </c>
      <c r="AK7" s="105" t="s">
        <v>107</v>
      </c>
      <c r="AL7" s="119" t="s">
        <v>108</v>
      </c>
      <c r="AM7" s="105" t="s">
        <v>109</v>
      </c>
      <c r="AN7" s="120" t="s">
        <v>110</v>
      </c>
      <c r="AO7" s="121" t="s">
        <v>111</v>
      </c>
      <c r="AP7" s="123"/>
      <c r="AS7" s="425" t="s">
        <v>112</v>
      </c>
      <c r="AT7" s="426"/>
      <c r="AU7" s="427"/>
      <c r="AV7" s="430" t="s">
        <v>13</v>
      </c>
      <c r="AW7" s="431"/>
      <c r="AX7" s="432"/>
      <c r="AY7" s="124" t="s">
        <v>113</v>
      </c>
      <c r="AZ7" s="83"/>
      <c r="BA7" s="83"/>
      <c r="BB7" s="83"/>
      <c r="BC7" s="125" t="s">
        <v>114</v>
      </c>
      <c r="BD7" s="127" t="s">
        <v>110</v>
      </c>
      <c r="BE7" s="128" t="s">
        <v>115</v>
      </c>
      <c r="BF7" s="126"/>
      <c r="BG7" s="105" t="s">
        <v>116</v>
      </c>
      <c r="BH7" s="129" t="s">
        <v>117</v>
      </c>
      <c r="BI7" s="130"/>
      <c r="BJ7" s="131"/>
      <c r="BK7" s="131"/>
      <c r="BL7" s="131"/>
      <c r="BM7" s="132"/>
      <c r="BN7" s="133" t="s">
        <v>118</v>
      </c>
      <c r="BO7" s="133"/>
      <c r="BP7" s="134"/>
      <c r="BQ7" s="126"/>
      <c r="BR7" s="126"/>
      <c r="BS7" s="126"/>
      <c r="BT7" s="126"/>
      <c r="BU7" s="126"/>
      <c r="BV7" s="127"/>
      <c r="CI7" s="135"/>
      <c r="CS7" s="136"/>
      <c r="DD7" s="136"/>
      <c r="DJ7" s="136"/>
      <c r="DQ7" s="136"/>
    </row>
    <row r="8" spans="2:121" s="163" customFormat="1" ht="57.6" x14ac:dyDescent="0.3">
      <c r="B8" s="34" t="s">
        <v>51</v>
      </c>
      <c r="C8" s="137" t="s">
        <v>52</v>
      </c>
      <c r="D8" s="36" t="s">
        <v>56</v>
      </c>
      <c r="E8" s="138" t="s">
        <v>57</v>
      </c>
      <c r="F8" s="449" t="s">
        <v>119</v>
      </c>
      <c r="G8" s="142" t="s">
        <v>693</v>
      </c>
      <c r="H8" s="140" t="s">
        <v>208</v>
      </c>
      <c r="I8" s="141" t="s">
        <v>694</v>
      </c>
      <c r="J8" s="459" t="s">
        <v>212</v>
      </c>
      <c r="K8" s="464" t="s">
        <v>690</v>
      </c>
      <c r="L8" s="141" t="s">
        <v>691</v>
      </c>
      <c r="M8" s="141" t="s">
        <v>210</v>
      </c>
      <c r="N8" s="144" t="s">
        <v>211</v>
      </c>
      <c r="O8" s="143" t="s">
        <v>120</v>
      </c>
      <c r="P8" s="147" t="s">
        <v>121</v>
      </c>
      <c r="Q8" s="141" t="str">
        <f>Fruit_Inputs!L7</f>
        <v>Cost of Fresh Fruit (incl. Transport)</v>
      </c>
      <c r="R8" s="141" t="str">
        <f>Fruit_Inputs!L8</f>
        <v>Electricity Costs</v>
      </c>
      <c r="S8" s="141" t="str">
        <f>Fruit_Inputs!L9</f>
        <v>Equipment O&amp;M</v>
      </c>
      <c r="T8" s="141" t="str">
        <f>Fruit_Inputs!L10</f>
        <v>Labor (Non-payroll)</v>
      </c>
      <c r="U8" s="141" t="str">
        <f>Fruit_Inputs!L11</f>
        <v>Payroll</v>
      </c>
      <c r="V8" s="141" t="str">
        <f>Fruit_Inputs!L12</f>
        <v>Insurances</v>
      </c>
      <c r="W8" s="141" t="str">
        <f>Fruit_Inputs!L13</f>
        <v>Equipment Leases</v>
      </c>
      <c r="X8" s="141" t="str">
        <f>Fruit_Inputs!L14</f>
        <v>Office and Admin Expenses</v>
      </c>
      <c r="Y8" s="141" t="str">
        <f>Fruit_Inputs!L15</f>
        <v xml:space="preserve">Distribution/Marketing Expenses </v>
      </c>
      <c r="Z8" s="145" t="str">
        <f>Fruit_Inputs!L16</f>
        <v>Utilities, Property Tax</v>
      </c>
      <c r="AA8" s="145" t="str">
        <f>Fruit_Inputs!L17</f>
        <v>Packaging</v>
      </c>
      <c r="AB8" s="141" t="str">
        <f>Fruit_Inputs!L18</f>
        <v>Other 1</v>
      </c>
      <c r="AC8" s="141" t="str">
        <f>Fruit_Inputs!L19</f>
        <v>Other 2</v>
      </c>
      <c r="AD8" s="141" t="str">
        <f>Fruit_Inputs!L20</f>
        <v>Other 3</v>
      </c>
      <c r="AE8" s="141" t="str">
        <f>Fruit_Inputs!L21</f>
        <v>Other 4</v>
      </c>
      <c r="AF8" s="141" t="str">
        <f>Fruit_Inputs!L22</f>
        <v>Other 5</v>
      </c>
      <c r="AG8" s="142" t="s">
        <v>122</v>
      </c>
      <c r="AH8" s="142" t="s">
        <v>105</v>
      </c>
      <c r="AI8" s="144" t="s">
        <v>123</v>
      </c>
      <c r="AJ8" s="139" t="s">
        <v>124</v>
      </c>
      <c r="AK8" s="139" t="s">
        <v>107</v>
      </c>
      <c r="AL8" s="146" t="s">
        <v>125</v>
      </c>
      <c r="AM8" s="147" t="s">
        <v>126</v>
      </c>
      <c r="AN8" s="147" t="s">
        <v>110</v>
      </c>
      <c r="AO8" s="148" t="s">
        <v>111</v>
      </c>
      <c r="AP8" s="149" t="s">
        <v>127</v>
      </c>
      <c r="AQ8" s="150"/>
      <c r="AR8" s="150"/>
      <c r="AS8" s="428" t="s">
        <v>128</v>
      </c>
      <c r="AT8" s="429" t="s">
        <v>129</v>
      </c>
      <c r="AU8" s="156" t="s">
        <v>130</v>
      </c>
      <c r="AV8" s="433" t="s">
        <v>215</v>
      </c>
      <c r="AW8" s="429" t="s">
        <v>131</v>
      </c>
      <c r="AX8" s="156" t="s">
        <v>132</v>
      </c>
      <c r="AY8" s="152" t="s">
        <v>133</v>
      </c>
      <c r="AZ8" s="152" t="s">
        <v>134</v>
      </c>
      <c r="BA8" s="152" t="s">
        <v>131</v>
      </c>
      <c r="BB8" s="151" t="s">
        <v>135</v>
      </c>
      <c r="BC8" s="153" t="s">
        <v>136</v>
      </c>
      <c r="BD8" s="155" t="s">
        <v>137</v>
      </c>
      <c r="BE8" s="156" t="s">
        <v>138</v>
      </c>
      <c r="BF8" s="154" t="s">
        <v>139</v>
      </c>
      <c r="BG8" s="42" t="s">
        <v>116</v>
      </c>
      <c r="BH8" s="157" t="s">
        <v>140</v>
      </c>
      <c r="BI8" s="158" t="s">
        <v>141</v>
      </c>
      <c r="BJ8" s="159" t="s">
        <v>142</v>
      </c>
      <c r="BK8" s="159" t="s">
        <v>63</v>
      </c>
      <c r="BL8" s="159" t="s">
        <v>131</v>
      </c>
      <c r="BM8" s="160" t="s">
        <v>143</v>
      </c>
      <c r="BN8" s="152" t="s">
        <v>144</v>
      </c>
      <c r="BO8" s="152" t="s">
        <v>145</v>
      </c>
      <c r="BP8" s="41" t="s">
        <v>146</v>
      </c>
      <c r="BQ8" s="161" t="s">
        <v>147</v>
      </c>
      <c r="BR8" s="161" t="s">
        <v>64</v>
      </c>
      <c r="BS8" s="161" t="s">
        <v>65</v>
      </c>
      <c r="BT8" s="161" t="s">
        <v>148</v>
      </c>
      <c r="BU8" s="161" t="s">
        <v>100</v>
      </c>
      <c r="BV8" s="144" t="s">
        <v>149</v>
      </c>
      <c r="BW8" s="162"/>
      <c r="BX8" s="162"/>
      <c r="BY8" s="162"/>
      <c r="BZ8" s="162"/>
      <c r="CA8" s="162"/>
      <c r="CB8" s="162"/>
      <c r="CC8" s="162"/>
      <c r="CD8" s="162"/>
      <c r="CE8" s="162"/>
      <c r="CF8" s="162"/>
      <c r="CG8" s="162"/>
      <c r="CH8" s="162"/>
      <c r="CI8" s="102"/>
      <c r="CJ8" s="162"/>
      <c r="CK8" s="162"/>
      <c r="CL8" s="162"/>
      <c r="CM8" s="162"/>
      <c r="CN8" s="162"/>
      <c r="CO8" s="162"/>
      <c r="CS8" s="164"/>
      <c r="DD8" s="75"/>
      <c r="DJ8" s="75"/>
      <c r="DQ8" s="75"/>
    </row>
    <row r="9" spans="2:121" s="163" customFormat="1" x14ac:dyDescent="0.3">
      <c r="B9" s="165"/>
      <c r="C9" s="166"/>
      <c r="D9" s="167"/>
      <c r="E9" s="170"/>
      <c r="F9" s="171"/>
      <c r="G9" s="172">
        <f>SUM(G12:G44)</f>
        <v>983125</v>
      </c>
      <c r="H9" s="173"/>
      <c r="I9" s="172">
        <f>SUM(I12:I44)</f>
        <v>977226.2500000007</v>
      </c>
      <c r="J9" s="191"/>
      <c r="K9" s="174"/>
      <c r="L9" s="102"/>
      <c r="M9" s="102">
        <f t="shared" ref="M9:AH9" si="0">SUM(M12:M44)</f>
        <v>3563552.9903096259</v>
      </c>
      <c r="N9" s="175">
        <f t="shared" si="0"/>
        <v>5366803.4685110198</v>
      </c>
      <c r="O9" s="177">
        <f t="shared" si="0"/>
        <v>0</v>
      </c>
      <c r="P9" s="178">
        <f t="shared" si="0"/>
        <v>8930356.4588206448</v>
      </c>
      <c r="Q9" s="102">
        <f t="shared" si="0"/>
        <v>4784919.7738675661</v>
      </c>
      <c r="R9" s="102">
        <f t="shared" si="0"/>
        <v>220182.86831429001</v>
      </c>
      <c r="S9" s="102">
        <f t="shared" si="0"/>
        <v>781799.02749233053</v>
      </c>
      <c r="T9" s="102">
        <f t="shared" si="0"/>
        <v>561627.08750584116</v>
      </c>
      <c r="U9" s="102">
        <f t="shared" si="0"/>
        <v>520752.38882955507</v>
      </c>
      <c r="V9" s="102">
        <f t="shared" si="0"/>
        <v>2605.3915072127552</v>
      </c>
      <c r="W9" s="102">
        <f t="shared" si="0"/>
        <v>0</v>
      </c>
      <c r="X9" s="102">
        <f t="shared" si="0"/>
        <v>44932.99281230296</v>
      </c>
      <c r="Y9" s="102">
        <f t="shared" si="0"/>
        <v>44932.99281230296</v>
      </c>
      <c r="Z9" s="102">
        <f t="shared" si="0"/>
        <v>101173.5213188045</v>
      </c>
      <c r="AA9" s="102">
        <f t="shared" si="0"/>
        <v>51606.601756204509</v>
      </c>
      <c r="AB9" s="102">
        <f t="shared" si="0"/>
        <v>0</v>
      </c>
      <c r="AC9" s="102">
        <f t="shared" si="0"/>
        <v>0</v>
      </c>
      <c r="AD9" s="102">
        <f t="shared" si="0"/>
        <v>0</v>
      </c>
      <c r="AE9" s="102"/>
      <c r="AF9" s="102"/>
      <c r="AG9" s="178">
        <f t="shared" si="0"/>
        <v>7114532.646216413</v>
      </c>
      <c r="AH9" s="176">
        <f t="shared" si="0"/>
        <v>1815823.8126042341</v>
      </c>
      <c r="AI9" s="175"/>
      <c r="AJ9" s="178">
        <f t="shared" ref="AJ9:AO9" si="1">SUM(AJ12:AJ44)</f>
        <v>276809.65375209204</v>
      </c>
      <c r="AK9" s="178">
        <f t="shared" si="1"/>
        <v>1539014.1588521416</v>
      </c>
      <c r="AL9" s="178">
        <f t="shared" si="1"/>
        <v>317701.24951330078</v>
      </c>
      <c r="AM9" s="178">
        <f t="shared" si="1"/>
        <v>1221312.909338841</v>
      </c>
      <c r="AN9" s="178">
        <f t="shared" si="1"/>
        <v>366393.87280165224</v>
      </c>
      <c r="AO9" s="176">
        <f t="shared" si="1"/>
        <v>854919.03653718869</v>
      </c>
      <c r="AP9" s="179"/>
      <c r="AQ9" s="162"/>
      <c r="AR9" s="162"/>
      <c r="AS9" s="180">
        <f>SUM(AS12:AS44)</f>
        <v>8930356.4588206448</v>
      </c>
      <c r="AT9" s="181">
        <f>SUM(AT12:AT44)</f>
        <v>7114532.646216413</v>
      </c>
      <c r="AU9" s="183">
        <f>SUM(AU12:AU44)</f>
        <v>1815823.8126042341</v>
      </c>
      <c r="AV9" s="180">
        <f t="shared" ref="AV9:BA9" si="2">SUM(AV10:AV44)</f>
        <v>276809.6537520921</v>
      </c>
      <c r="AW9" s="181">
        <f t="shared" si="2"/>
        <v>276809.6537520921</v>
      </c>
      <c r="AX9" s="183">
        <f t="shared" si="2"/>
        <v>1539014.1588521418</v>
      </c>
      <c r="AY9" s="102">
        <f t="shared" si="2"/>
        <v>83042.896125627623</v>
      </c>
      <c r="AZ9" s="102">
        <f t="shared" si="2"/>
        <v>193766.75762646444</v>
      </c>
      <c r="BA9" s="102">
        <f t="shared" si="2"/>
        <v>276809.65375209204</v>
      </c>
      <c r="BB9" s="176">
        <f t="shared" ref="BB9:BL9" si="3">SUM(BB12:BB44)</f>
        <v>1815823.8126042341</v>
      </c>
      <c r="BC9" s="180">
        <f>SUM(BC10:BC44)</f>
        <v>0</v>
      </c>
      <c r="BD9" s="182">
        <f>SUM(BD10:BD44)</f>
        <v>366393.87280165224</v>
      </c>
      <c r="BE9" s="183">
        <f>SUM(BE12:BE44)</f>
        <v>1815823.8126042341</v>
      </c>
      <c r="BF9" s="183">
        <f>SUM(BF12:BF44)</f>
        <v>1449429.9398025819</v>
      </c>
      <c r="BG9" s="182">
        <f>SUM(BG12:BG44)</f>
        <v>1449429.9398025819</v>
      </c>
      <c r="BH9" s="180">
        <f t="shared" si="3"/>
        <v>1375925.723314425</v>
      </c>
      <c r="BI9" s="181">
        <f t="shared" si="3"/>
        <v>1182158.9656879604</v>
      </c>
      <c r="BJ9" s="181">
        <f t="shared" si="3"/>
        <v>317701.24951330078</v>
      </c>
      <c r="BK9" s="181">
        <f t="shared" si="3"/>
        <v>193766.75762646442</v>
      </c>
      <c r="BL9" s="181">
        <f t="shared" si="3"/>
        <v>511468.00713976513</v>
      </c>
      <c r="BM9" s="182"/>
      <c r="BN9" s="180">
        <f t="shared" ref="BN9:BS9" si="4">SUM(BN10:BN44)</f>
        <v>937961.93266281649</v>
      </c>
      <c r="BO9" s="181">
        <f t="shared" si="4"/>
        <v>1221312.9093388412</v>
      </c>
      <c r="BP9" s="181">
        <f t="shared" si="4"/>
        <v>854919.0365371888</v>
      </c>
      <c r="BQ9" s="181">
        <f t="shared" si="4"/>
        <v>0</v>
      </c>
      <c r="BR9" s="181">
        <f t="shared" si="4"/>
        <v>0</v>
      </c>
      <c r="BS9" s="181">
        <f t="shared" si="4"/>
        <v>0</v>
      </c>
      <c r="BT9" s="181"/>
      <c r="BU9" s="181"/>
      <c r="BV9" s="182">
        <f>SUM(BV11:BV44)</f>
        <v>-5.5706550483591855E-11</v>
      </c>
      <c r="BW9" s="162"/>
      <c r="BX9" s="162"/>
      <c r="BY9" s="162"/>
      <c r="BZ9" s="162"/>
      <c r="CA9" s="162"/>
      <c r="CB9" s="162"/>
      <c r="CC9" s="162"/>
      <c r="CD9" s="162"/>
      <c r="CE9" s="162"/>
      <c r="CF9" s="162"/>
      <c r="CG9" s="162"/>
      <c r="CH9" s="162"/>
      <c r="CI9" s="102"/>
      <c r="CJ9" s="162"/>
      <c r="CK9" s="162"/>
      <c r="CL9" s="162"/>
      <c r="CM9" s="162"/>
      <c r="CN9" s="162"/>
      <c r="CO9" s="162"/>
      <c r="CS9" s="164"/>
      <c r="DD9" s="75"/>
      <c r="DJ9" s="75"/>
      <c r="DQ9" s="75"/>
    </row>
    <row r="10" spans="2:121" s="163" customFormat="1" x14ac:dyDescent="0.3">
      <c r="B10" s="186"/>
      <c r="C10" s="187"/>
      <c r="D10" s="186"/>
      <c r="E10" s="169"/>
      <c r="F10" s="190"/>
      <c r="J10" s="191"/>
      <c r="K10" s="174"/>
      <c r="L10" s="102"/>
      <c r="M10" s="193"/>
      <c r="N10" s="194"/>
      <c r="O10" s="194"/>
      <c r="P10" s="195"/>
      <c r="Q10" s="162"/>
      <c r="R10" s="162"/>
      <c r="S10" s="162"/>
      <c r="T10" s="162"/>
      <c r="U10" s="162"/>
      <c r="V10" s="162"/>
      <c r="W10" s="162"/>
      <c r="X10" s="162"/>
      <c r="Y10" s="162"/>
      <c r="Z10" s="162"/>
      <c r="AA10" s="162"/>
      <c r="AB10" s="162"/>
      <c r="AC10" s="162"/>
      <c r="AD10" s="162"/>
      <c r="AE10" s="162"/>
      <c r="AF10" s="162"/>
      <c r="AG10" s="195"/>
      <c r="AH10" s="192"/>
      <c r="AI10" s="194"/>
      <c r="AJ10" s="195"/>
      <c r="AK10" s="195"/>
      <c r="AL10" s="195"/>
      <c r="AM10" s="195"/>
      <c r="AN10" s="195"/>
      <c r="AO10" s="192"/>
      <c r="AP10" s="179"/>
      <c r="AQ10" s="162"/>
      <c r="AR10" s="162"/>
      <c r="AS10" s="196"/>
      <c r="AT10" s="86"/>
      <c r="AU10" s="197"/>
      <c r="AV10" s="196"/>
      <c r="AW10" s="198"/>
      <c r="AX10" s="197"/>
      <c r="AY10" s="162"/>
      <c r="AZ10" s="162"/>
      <c r="BA10" s="79"/>
      <c r="BB10" s="196"/>
      <c r="BC10" s="196"/>
      <c r="BD10" s="200"/>
      <c r="BE10" s="197"/>
      <c r="BF10" s="200"/>
      <c r="BG10" s="200"/>
      <c r="BH10" s="196"/>
      <c r="BI10" s="86"/>
      <c r="BJ10" s="201"/>
      <c r="BK10" s="201"/>
      <c r="BL10" s="202"/>
      <c r="BM10" s="203"/>
      <c r="BN10" s="196"/>
      <c r="BO10" s="86"/>
      <c r="BP10" s="193"/>
      <c r="BQ10" s="86"/>
      <c r="BR10" s="86"/>
      <c r="BS10" s="86"/>
      <c r="BT10" s="86"/>
      <c r="BU10" s="86"/>
      <c r="BV10" s="175"/>
      <c r="BW10" s="162"/>
      <c r="BX10" s="162"/>
      <c r="BY10" s="162"/>
      <c r="BZ10" s="162"/>
      <c r="CA10" s="162"/>
      <c r="CB10" s="162"/>
      <c r="CC10" s="162"/>
      <c r="CD10" s="162"/>
      <c r="CE10" s="162"/>
      <c r="CF10" s="162"/>
      <c r="CG10" s="162"/>
      <c r="CH10" s="162"/>
      <c r="CI10" s="102"/>
      <c r="CJ10" s="162"/>
      <c r="CK10" s="162"/>
      <c r="CL10" s="162"/>
      <c r="CM10" s="162"/>
      <c r="CN10" s="162"/>
      <c r="CO10" s="162"/>
      <c r="CS10" s="164"/>
      <c r="DD10" s="75"/>
      <c r="DJ10" s="75"/>
      <c r="DQ10" s="75"/>
    </row>
    <row r="11" spans="2:121" s="163" customFormat="1" x14ac:dyDescent="0.3">
      <c r="B11" s="73">
        <v>0</v>
      </c>
      <c r="C11" s="74">
        <f>YEAR(D11)</f>
        <v>2021</v>
      </c>
      <c r="D11" s="205">
        <f>Fish_Inputs!G6</f>
        <v>44197</v>
      </c>
      <c r="E11" s="206">
        <f>EDATE(D11,12)-1</f>
        <v>44561</v>
      </c>
      <c r="F11" s="443">
        <v>0</v>
      </c>
      <c r="G11" s="172"/>
      <c r="H11" s="173"/>
      <c r="I11" s="102"/>
      <c r="J11" s="191"/>
      <c r="K11" s="174"/>
      <c r="L11" s="102"/>
      <c r="M11" s="102"/>
      <c r="N11" s="175"/>
      <c r="O11" s="207"/>
      <c r="P11" s="454"/>
      <c r="Q11" s="102"/>
      <c r="R11" s="102"/>
      <c r="S11" s="102"/>
      <c r="T11" s="102"/>
      <c r="U11" s="102"/>
      <c r="V11" s="102"/>
      <c r="W11" s="102"/>
      <c r="X11" s="102"/>
      <c r="Y11" s="102"/>
      <c r="Z11" s="193"/>
      <c r="AA11" s="193"/>
      <c r="AB11" s="102"/>
      <c r="AC11" s="102"/>
      <c r="AD11" s="102"/>
      <c r="AE11" s="102"/>
      <c r="AF11" s="102"/>
      <c r="AG11" s="340"/>
      <c r="AH11" s="176"/>
      <c r="AI11" s="175"/>
      <c r="AJ11" s="190"/>
      <c r="AK11" s="190"/>
      <c r="AL11" s="208"/>
      <c r="AM11" s="178"/>
      <c r="AN11" s="178"/>
      <c r="AO11" s="209"/>
      <c r="AP11" s="179"/>
      <c r="AQ11" s="162"/>
      <c r="AR11" s="162"/>
      <c r="AS11" s="196"/>
      <c r="AT11" s="86"/>
      <c r="AU11" s="197"/>
      <c r="AV11" s="680">
        <f>IF(B11=0,Fruit_Inputs!$C$29,0)</f>
        <v>276809.6537520921</v>
      </c>
      <c r="AW11" s="198">
        <f t="shared" ref="AW11:AW44" si="5">SUM(AV11:AV11)</f>
        <v>276809.6537520921</v>
      </c>
      <c r="AX11" s="197">
        <f t="shared" ref="AX11:AX44" si="6">AU11-AW11</f>
        <v>-276809.6537520921</v>
      </c>
      <c r="AY11" s="681">
        <f>IF(B11=0,Fruit_Inputs!$G$15+Fruit_Inputs!$G$16,0)</f>
        <v>83042.896125627623</v>
      </c>
      <c r="AZ11" s="681">
        <f>IF(B11=0,Fruit_Inputs!$G$14,0)</f>
        <v>193766.75762646444</v>
      </c>
      <c r="BA11" s="79">
        <f t="shared" ref="BA11:BA44" si="7">SUM(AY11:AZ11)</f>
        <v>276809.65375209204</v>
      </c>
      <c r="BB11" s="196">
        <f t="shared" ref="BB11:BB44" si="8">AX11+BA11</f>
        <v>0</v>
      </c>
      <c r="BC11" s="682">
        <f>Fruit_Inputs!$G$20*AVERAGE(BR11,BS11)</f>
        <v>0</v>
      </c>
      <c r="BD11" s="231">
        <f t="shared" ref="BD11:BD44" si="9">AN11</f>
        <v>0</v>
      </c>
      <c r="BE11" s="210">
        <f>AX11</f>
        <v>-276809.6537520921</v>
      </c>
      <c r="BF11" s="211">
        <f>AX11</f>
        <v>-276809.6537520921</v>
      </c>
      <c r="BG11" s="211">
        <f>AX11</f>
        <v>-276809.6537520921</v>
      </c>
      <c r="BH11" s="212"/>
      <c r="BI11" s="290">
        <f>Fruit_Inputs!G14</f>
        <v>193766.75762646444</v>
      </c>
      <c r="BJ11" s="201"/>
      <c r="BK11" s="201"/>
      <c r="BL11" s="202"/>
      <c r="BM11" s="203"/>
      <c r="BN11" s="196"/>
      <c r="BO11" s="683">
        <f>-Fruit_Inputs!G15</f>
        <v>-83042.896125627623</v>
      </c>
      <c r="BP11" s="683">
        <f>-Fruit_Inputs!G15</f>
        <v>-83042.896125627623</v>
      </c>
      <c r="BQ11" s="683">
        <f>BB11</f>
        <v>0</v>
      </c>
      <c r="BR11" s="86"/>
      <c r="BS11" s="683">
        <f t="shared" ref="BS11:BS44" si="10">BQ11+BR11</f>
        <v>0</v>
      </c>
      <c r="BT11" s="683">
        <f>-Fruit_Inputs!G15</f>
        <v>-83042.896125627623</v>
      </c>
      <c r="BU11" s="86"/>
      <c r="BV11" s="214">
        <f t="shared" ref="BV11:BV44" si="11">BP11/((1+$BP$4)^B11)</f>
        <v>-83042.896125627623</v>
      </c>
      <c r="BW11" s="162"/>
      <c r="BX11" s="162"/>
      <c r="BY11" s="162"/>
      <c r="BZ11" s="162"/>
      <c r="CA11" s="162"/>
      <c r="CB11" s="162"/>
      <c r="CC11" s="162"/>
      <c r="CD11" s="162"/>
      <c r="CE11" s="162"/>
      <c r="CF11" s="162"/>
      <c r="CG11" s="162"/>
      <c r="CH11" s="162"/>
      <c r="CI11" s="102"/>
      <c r="CJ11" s="162"/>
      <c r="CK11" s="162"/>
      <c r="CL11" s="162"/>
      <c r="CM11" s="162"/>
      <c r="CN11" s="162"/>
      <c r="CO11" s="162"/>
      <c r="CS11" s="164"/>
      <c r="DD11" s="75"/>
      <c r="DJ11" s="75"/>
      <c r="DQ11" s="75"/>
    </row>
    <row r="12" spans="2:121" s="162" customFormat="1" x14ac:dyDescent="0.3">
      <c r="B12" s="184">
        <f>B11+1</f>
        <v>1</v>
      </c>
      <c r="C12" s="346">
        <f t="shared" ref="C12:C44" si="12">YEAR(D12)</f>
        <v>2022</v>
      </c>
      <c r="D12" s="347">
        <f>EDATE(D11,12)</f>
        <v>44562</v>
      </c>
      <c r="E12" s="440">
        <f>EDATE(E11,12)</f>
        <v>44926</v>
      </c>
      <c r="F12" s="445">
        <f>IF(AND(B12&gt;0,B12&lt;=Fruit_Inputs!$J$17),1,0)</f>
        <v>1</v>
      </c>
      <c r="G12" s="447">
        <f>IF(F12=1,Fruit_Inputs!$G$31,0)</f>
        <v>39325</v>
      </c>
      <c r="H12" s="348">
        <f>IF(AND(F11=0,F12=1),100%,IF(AND(F11=0,F12=0),100%,H11-Fruit_Inputs!$G$44))*F12</f>
        <v>1</v>
      </c>
      <c r="I12" s="216">
        <f>H12*G12</f>
        <v>39325</v>
      </c>
      <c r="J12" s="219">
        <f>Fruit_Inputs!$J$11</f>
        <v>0.01</v>
      </c>
      <c r="K12" s="444">
        <f>IF(B12=1,Fruit_Inputs!$R$15,K11*(1+Fruit_CashFlows!J12))*F12</f>
        <v>6.4573918225434923</v>
      </c>
      <c r="L12" s="338">
        <f>IF(B12=1,Fruit_Inputs!$R$16,L11*(1+Fruit_CashFlows!J12))*F12</f>
        <v>9.7249999999999996</v>
      </c>
      <c r="M12" s="122">
        <f>K12*I12*Fruit_Inputs!$J$9</f>
        <v>126968.46671076142</v>
      </c>
      <c r="N12" s="222">
        <f>L12*I12*Fruit_Inputs!$J$10</f>
        <v>191217.8125</v>
      </c>
      <c r="O12" s="217">
        <f>BC11</f>
        <v>0</v>
      </c>
      <c r="P12" s="122">
        <f>SUM(M12:O12)+IF(B12=Fruit_Inputs!$J$17,Fruit_Inputs!$J$19,0)</f>
        <v>318186.27921076142</v>
      </c>
      <c r="Q12" s="218">
        <f>IF(B12=1,Fruit_Inputs!$O$7,Q11*(1+Fruit_Inputs!$N$23))*F12</f>
        <v>169418.47447473495</v>
      </c>
      <c r="R12" s="122">
        <f>IF(B12=1,Fruit_Inputs!$O$8,R11*(1+Fruit_Inputs!$N$23))*F12</f>
        <v>7795.9605214294043</v>
      </c>
      <c r="S12" s="122">
        <f>IF(B12=1,Fruit_Inputs!$O$9,S11*(1+Fruit_Inputs!$N$23))*F12</f>
        <v>27680.965375209213</v>
      </c>
      <c r="T12" s="122">
        <f>IF(B12=1,Fruit_Inputs!$O$10,T11*(1+Fruit_Inputs!$N$23))*F12</f>
        <v>19885.39179038733</v>
      </c>
      <c r="U12" s="122">
        <f>IF(B12=1,Fruit_Inputs!$O$11,U11*(1+Fruit_Inputs!$N$23))*F12</f>
        <v>18438.151414034357</v>
      </c>
      <c r="V12" s="122">
        <f>IF(B12=1,Fruit_Inputs!$O$12,V11*(1+Fruit_Inputs!$N$23))*F12</f>
        <v>92.248454607764188</v>
      </c>
      <c r="W12" s="122">
        <f>IF(B12=1,Fruit_Inputs!$O$13,W11*(1+Fruit_Inputs!$N$23))*F12</f>
        <v>0</v>
      </c>
      <c r="X12" s="122">
        <f>IF(B12=1,Fruit_Inputs!$O$14,X11*(1+Fruit_Inputs!$N$23))*F12</f>
        <v>1590.9313960538072</v>
      </c>
      <c r="Y12" s="122">
        <f>IF(B12=1,Fruit_Inputs!$O$15,Y11*(1+Fruit_Inputs!$N$23))*F12</f>
        <v>1590.9313960538072</v>
      </c>
      <c r="Z12" s="122">
        <f>IF(B12=1,Fruit_Inputs!$O$16,Z11*(1+Fruit_Inputs!$N$23))*F12</f>
        <v>3582.2259199999999</v>
      </c>
      <c r="AA12" s="122">
        <f>IF(B12=1,Fruit_Inputs!$O$17,AA11*(1+Fruit_Inputs!$N$23))*F12</f>
        <v>1827.2222222222219</v>
      </c>
      <c r="AB12" s="181">
        <f>IF(B12=1,Fruit_Inputs!$O$18,AB11*(1+Fruit_Inputs!$N$23))*F12</f>
        <v>0</v>
      </c>
      <c r="AC12" s="482">
        <f>IF(B12=1,Fruit_Inputs!$O$19,AC11*(1+Fruit_Inputs!$N$23))*F12</f>
        <v>0</v>
      </c>
      <c r="AD12" s="122">
        <f>IF(B12=1,Fruit_Inputs!$O$20,AD11*(1+Fruit_Inputs!$N$23))*F12</f>
        <v>0</v>
      </c>
      <c r="AE12" s="122">
        <f>IF(B12=1,Fruit_Inputs!$O$21,AE11*(1+Fruit_Inputs!$N$23))*F12</f>
        <v>0</v>
      </c>
      <c r="AF12" s="132">
        <f>IF(B12=1,Fruit_Inputs!$O$22,AF11*(1+Fruit_Inputs!$N$23))*F12</f>
        <v>0</v>
      </c>
      <c r="AG12" s="132">
        <f>SUM(Q12:AF12)*F12</f>
        <v>251902.50296473288</v>
      </c>
      <c r="AH12" s="122">
        <f t="shared" ref="AH12:AH44" si="13">P12-AG12</f>
        <v>66283.776246028545</v>
      </c>
      <c r="AI12" s="219">
        <f t="shared" ref="AI12:AI44" si="14">IFERROR(AH12/P12,0)</f>
        <v>0.2083175189402911</v>
      </c>
      <c r="AJ12" s="220">
        <f>Deprec!F11</f>
        <v>11072.386150083685</v>
      </c>
      <c r="AK12" s="122">
        <f t="shared" ref="AK12:AK44" si="15">AH12-AJ12</f>
        <v>55211.390095944858</v>
      </c>
      <c r="AL12" s="221">
        <f>BJ12</f>
        <v>44740.744335950636</v>
      </c>
      <c r="AM12" s="122">
        <f>AK12-AL12</f>
        <v>10470.645759994222</v>
      </c>
      <c r="AN12" s="438">
        <f>IF(AM12&lt;0,0,(AM12*Fruit_Inputs!$J$14))</f>
        <v>3141.1937279982667</v>
      </c>
      <c r="AO12" s="122">
        <f>AM12-AN12</f>
        <v>7329.4520319959556</v>
      </c>
      <c r="AP12" s="123">
        <f t="shared" ref="AP12:AP44" si="16">IFERROR(AO12/P12,0)</f>
        <v>2.3035097711240547E-2</v>
      </c>
      <c r="AQ12" s="185"/>
      <c r="AR12" s="185"/>
      <c r="AS12" s="218">
        <f t="shared" ref="AS12:AS44" si="17">P12</f>
        <v>318186.27921076142</v>
      </c>
      <c r="AT12" s="122">
        <f t="shared" ref="AT12:AT44" si="18">AG12</f>
        <v>251902.50296473288</v>
      </c>
      <c r="AU12" s="438">
        <f>AS12-AT12</f>
        <v>66283.776246028545</v>
      </c>
      <c r="AV12" s="218">
        <f>IF(B12=0,Fruit_Inputs!$C$29,0)</f>
        <v>0</v>
      </c>
      <c r="AW12" s="435">
        <f t="shared" si="5"/>
        <v>0</v>
      </c>
      <c r="AX12" s="438">
        <f t="shared" si="6"/>
        <v>66283.776246028545</v>
      </c>
      <c r="AY12" s="184">
        <f>IF(B12=0,Fruit_Inputs!$G$15+Fruit_Inputs!$G$16,0)</f>
        <v>0</v>
      </c>
      <c r="AZ12" s="185">
        <f>IF(B12=0,Fruit_Inputs!$G$14,0)</f>
        <v>0</v>
      </c>
      <c r="BA12" s="132">
        <f t="shared" si="7"/>
        <v>0</v>
      </c>
      <c r="BB12" s="218">
        <f t="shared" si="8"/>
        <v>66283.776246028545</v>
      </c>
      <c r="BC12" s="218">
        <f>Fruit_Inputs!$G$20*AVERAGE(BR12,BS12)</f>
        <v>0</v>
      </c>
      <c r="BD12" s="132">
        <f t="shared" si="9"/>
        <v>3141.1937279982667</v>
      </c>
      <c r="BE12" s="132">
        <f t="shared" ref="BE12:BE44" si="19">BG12+BD12-O12</f>
        <v>66283.776246028545</v>
      </c>
      <c r="BF12" s="122">
        <f t="shared" ref="BF12:BF44" si="20">BG12-O12</f>
        <v>63142.582518030278</v>
      </c>
      <c r="BG12" s="438">
        <f t="shared" ref="BG12:BG44" si="21">BB12-BD12</f>
        <v>63142.582518030278</v>
      </c>
      <c r="BH12" s="122">
        <f>BI11</f>
        <v>193766.75762646444</v>
      </c>
      <c r="BI12" s="122">
        <f>BH12-BK12</f>
        <v>187360.70124843856</v>
      </c>
      <c r="BJ12" s="122">
        <f>-Debt_Calc!W10</f>
        <v>44740.744335950636</v>
      </c>
      <c r="BK12" s="122">
        <f>Debt_Calc!X10</f>
        <v>6406.0563780258672</v>
      </c>
      <c r="BL12" s="122">
        <f t="shared" ref="BL12:BL44" si="22">SUM(BJ12:BK12)</f>
        <v>51146.800713976503</v>
      </c>
      <c r="BM12" s="217">
        <f>IFERROR(BG12/BL12,0)</f>
        <v>1.2345363079723533</v>
      </c>
      <c r="BN12" s="122">
        <f>BG12-BL12</f>
        <v>11995.781804053775</v>
      </c>
      <c r="BO12" s="122">
        <f t="shared" ref="BO12:BO44" si="23">BN12+BD12</f>
        <v>15136.975532052042</v>
      </c>
      <c r="BP12" s="122">
        <f>BN12+BR12</f>
        <v>11995.781804053775</v>
      </c>
      <c r="BQ12" s="122">
        <f t="shared" ref="BQ12:BQ44" si="24">BN12-BP12</f>
        <v>0</v>
      </c>
      <c r="BR12" s="122">
        <f t="shared" ref="BR12:BR44" si="25">BS11</f>
        <v>0</v>
      </c>
      <c r="BS12" s="122">
        <f t="shared" si="10"/>
        <v>0</v>
      </c>
      <c r="BT12" s="122">
        <f t="shared" ref="BT12:BT44" si="26">BP12+BT11</f>
        <v>-71047.114321573841</v>
      </c>
      <c r="BU12" s="122">
        <f>IF(BU11&gt;=1,2,IF(BT12&gt;0,1,0))</f>
        <v>0</v>
      </c>
      <c r="BV12" s="222">
        <f t="shared" si="11"/>
        <v>9953.0743423852782</v>
      </c>
      <c r="BW12" s="102"/>
      <c r="BX12" s="102"/>
      <c r="BY12" s="102"/>
      <c r="BZ12" s="102"/>
      <c r="CA12" s="102"/>
      <c r="CI12" s="102"/>
      <c r="CS12" s="349"/>
      <c r="CT12" s="102"/>
      <c r="CU12" s="102"/>
      <c r="CV12" s="102"/>
      <c r="CW12" s="102"/>
      <c r="CX12" s="102"/>
      <c r="CY12" s="102"/>
      <c r="CZ12" s="102"/>
      <c r="DA12" s="102"/>
      <c r="DB12" s="102"/>
      <c r="DC12" s="102"/>
      <c r="DD12" s="79"/>
      <c r="DJ12" s="79"/>
      <c r="DQ12" s="79"/>
    </row>
    <row r="13" spans="2:121" s="193" customFormat="1" x14ac:dyDescent="0.3">
      <c r="B13" s="192">
        <f t="shared" ref="B13:B44" si="27">B12+1</f>
        <v>2</v>
      </c>
      <c r="C13" s="350">
        <f t="shared" si="12"/>
        <v>2023</v>
      </c>
      <c r="D13" s="351">
        <f t="shared" ref="D13:E28" si="28">EDATE(D12,12)</f>
        <v>44927</v>
      </c>
      <c r="E13" s="441">
        <f t="shared" si="28"/>
        <v>45291</v>
      </c>
      <c r="F13" s="445">
        <f>IF(AND(B13&gt;0,B13&lt;=Fruit_Inputs!$J$17),1,0)</f>
        <v>1</v>
      </c>
      <c r="G13" s="447">
        <f>IF(F13=1,Fruit_Inputs!$G$31,0)</f>
        <v>39325</v>
      </c>
      <c r="H13" s="348">
        <f>IF(AND(F12=0,F13=1),100%,IF(AND(F12=0,F13=0),100%,H12-Fruit_Inputs!$G$44))*F13</f>
        <v>0.99950000000000006</v>
      </c>
      <c r="I13" s="216">
        <f t="shared" ref="I13:I44" si="29">H13*G13</f>
        <v>39305.337500000001</v>
      </c>
      <c r="J13" s="219">
        <f>Fruit_Inputs!$J$11</f>
        <v>0.01</v>
      </c>
      <c r="K13" s="444">
        <f>IF(B13=1,Fruit_Inputs!$R$15,K12*(1+Fruit_CashFlows!J13))*F13</f>
        <v>6.5219657407689269</v>
      </c>
      <c r="L13" s="338">
        <f>IF(B13=1,Fruit_Inputs!$R$16,L12*(1+Fruit_CashFlows!J13))*F13</f>
        <v>9.8222500000000004</v>
      </c>
      <c r="M13" s="122">
        <f>K13*I13*Fruit_Inputs!$J$9</f>
        <v>128174.0323021801</v>
      </c>
      <c r="N13" s="222">
        <f>L13*I13*Fruit_Inputs!$J$10</f>
        <v>193033.42562968752</v>
      </c>
      <c r="O13" s="423">
        <f t="shared" ref="O13:O44" si="30">BC12</f>
        <v>0</v>
      </c>
      <c r="P13" s="122">
        <f>SUM(M13:O13)+IF(B13=Fruit_Inputs!$J$17,Fruit_Inputs!$J$19,0)</f>
        <v>321207.45793186763</v>
      </c>
      <c r="Q13" s="218">
        <f>IF(B13=1,Fruit_Inputs!$O$7,Q12*(1+Fruit_Inputs!$N$23))*F13</f>
        <v>171112.6592194823</v>
      </c>
      <c r="R13" s="122">
        <f>IF(B13=1,Fruit_Inputs!$O$8,R12*(1+Fruit_Inputs!$N$23))*F13</f>
        <v>7873.9201266436985</v>
      </c>
      <c r="S13" s="122">
        <f>IF(B13=1,Fruit_Inputs!$O$9,S12*(1+Fruit_Inputs!$N$23))*F13</f>
        <v>27957.775028961307</v>
      </c>
      <c r="T13" s="122">
        <f>IF(B13=1,Fruit_Inputs!$O$10,T12*(1+Fruit_Inputs!$N$23))*F13</f>
        <v>20084.245708291204</v>
      </c>
      <c r="U13" s="122">
        <f>IF(B13=1,Fruit_Inputs!$O$11,U12*(1+Fruit_Inputs!$N$23))*F13</f>
        <v>18622.5329281747</v>
      </c>
      <c r="V13" s="122">
        <f>IF(B13=1,Fruit_Inputs!$O$12,V12*(1+Fruit_Inputs!$N$23))*F13</f>
        <v>93.170939153841829</v>
      </c>
      <c r="W13" s="122">
        <f>IF(B13=1,Fruit_Inputs!$O$13,W12*(1+Fruit_Inputs!$N$23))*F13</f>
        <v>0</v>
      </c>
      <c r="X13" s="122">
        <f>IF(B13=1,Fruit_Inputs!$O$14,X12*(1+Fruit_Inputs!$N$23))*F13</f>
        <v>1606.8407100143454</v>
      </c>
      <c r="Y13" s="122">
        <f>IF(B13=1,Fruit_Inputs!$O$15,Y12*(1+Fruit_Inputs!$N$23))*F13</f>
        <v>1606.8407100143454</v>
      </c>
      <c r="Z13" s="122">
        <f>IF(B13=1,Fruit_Inputs!$O$16,Z12*(1+Fruit_Inputs!$N$23))*F13</f>
        <v>3618.0481792</v>
      </c>
      <c r="AA13" s="122">
        <f>IF(B13=1,Fruit_Inputs!$O$17,AA12*(1+Fruit_Inputs!$N$23))*F13</f>
        <v>1845.4944444444441</v>
      </c>
      <c r="AB13" s="181">
        <f>IF(B13=1,Fruit_Inputs!$O$18,AB12*(1+Fruit_Inputs!$N$23))*F13</f>
        <v>0</v>
      </c>
      <c r="AC13" s="482">
        <f>IF(B13=1,Fruit_Inputs!$O$19,AC12*(1+Fruit_Inputs!$N$23))*F13</f>
        <v>0</v>
      </c>
      <c r="AD13" s="122">
        <f>IF(B13=1,Fruit_Inputs!$O$20,AD12*(1+Fruit_Inputs!$N$23))*F13</f>
        <v>0</v>
      </c>
      <c r="AE13" s="122">
        <f>IF(B13=1,Fruit_Inputs!$O$21,AE12*(1+Fruit_Inputs!$N$23))*F13</f>
        <v>0</v>
      </c>
      <c r="AF13" s="132">
        <f>IF(B13=1,Fruit_Inputs!$O$22,AF12*(1+Fruit_Inputs!$N$23))*F13</f>
        <v>0</v>
      </c>
      <c r="AG13" s="200">
        <f t="shared" ref="AG13:AG44" si="31">SUM(Q13:AF13)*F13</f>
        <v>254421.52799438022</v>
      </c>
      <c r="AH13" s="86">
        <f t="shared" si="13"/>
        <v>66785.92993748741</v>
      </c>
      <c r="AI13" s="225">
        <f t="shared" si="14"/>
        <v>0.20792147968013119</v>
      </c>
      <c r="AJ13" s="220">
        <f>Deprec!F12</f>
        <v>11072.386150083685</v>
      </c>
      <c r="AK13" s="86">
        <f t="shared" si="15"/>
        <v>55713.543787403723</v>
      </c>
      <c r="AL13" s="455">
        <f t="shared" ref="AL13:AL44" si="32">BJ13</f>
        <v>43261.585918264464</v>
      </c>
      <c r="AM13" s="86">
        <f t="shared" ref="AM13:AM44" si="33">AK13-AL13</f>
        <v>12451.95786913926</v>
      </c>
      <c r="AN13" s="438">
        <f>IF(AM13&lt;0,0,(AM13*Fruit_Inputs!$J$14))</f>
        <v>3735.587360741778</v>
      </c>
      <c r="AO13" s="86">
        <f t="shared" ref="AO13:AO44" si="34">AM13-AN13</f>
        <v>8716.3705083974819</v>
      </c>
      <c r="AP13" s="226">
        <f t="shared" si="16"/>
        <v>2.7136264408425845E-2</v>
      </c>
      <c r="AS13" s="196">
        <f t="shared" si="17"/>
        <v>321207.45793186763</v>
      </c>
      <c r="AT13" s="86">
        <f t="shared" si="18"/>
        <v>254421.52799438022</v>
      </c>
      <c r="AU13" s="197">
        <f t="shared" ref="AU13:AU44" si="35">AS13-AT13</f>
        <v>66785.92993748741</v>
      </c>
      <c r="AV13" s="218">
        <f>IF(B13=0,Fruit_Inputs!$C$29,0)</f>
        <v>0</v>
      </c>
      <c r="AW13" s="198">
        <f t="shared" si="5"/>
        <v>0</v>
      </c>
      <c r="AX13" s="197">
        <f t="shared" si="6"/>
        <v>66785.92993748741</v>
      </c>
      <c r="AY13" s="184">
        <f>IF(B13=0,Fruit_Inputs!$G$15+Fruit_Inputs!$G$16,0)</f>
        <v>0</v>
      </c>
      <c r="AZ13" s="185">
        <f>IF(B13=0,Fruit_Inputs!$G$14,0)</f>
        <v>0</v>
      </c>
      <c r="BA13" s="200">
        <f t="shared" si="7"/>
        <v>0</v>
      </c>
      <c r="BB13" s="196">
        <f t="shared" si="8"/>
        <v>66785.92993748741</v>
      </c>
      <c r="BC13" s="218">
        <f>Fruit_Inputs!$G$20*AVERAGE(BR13,BS13)</f>
        <v>0</v>
      </c>
      <c r="BD13" s="200">
        <f t="shared" si="9"/>
        <v>3735.587360741778</v>
      </c>
      <c r="BE13" s="200">
        <f t="shared" si="19"/>
        <v>66785.92993748741</v>
      </c>
      <c r="BF13" s="86">
        <f t="shared" si="20"/>
        <v>63050.342576745636</v>
      </c>
      <c r="BG13" s="197">
        <f t="shared" si="21"/>
        <v>63050.342576745636</v>
      </c>
      <c r="BH13" s="86">
        <f t="shared" ref="BH13:BH44" si="36">BI12</f>
        <v>187360.70124843856</v>
      </c>
      <c r="BI13" s="86">
        <f t="shared" ref="BI13:BI44" si="37">BH13-BK13</f>
        <v>179475.48645272653</v>
      </c>
      <c r="BJ13" s="122">
        <f>-Debt_Calc!W11</f>
        <v>43261.585918264464</v>
      </c>
      <c r="BK13" s="122">
        <f>Debt_Calc!X11</f>
        <v>7885.2147957120396</v>
      </c>
      <c r="BL13" s="86">
        <f t="shared" si="22"/>
        <v>51146.800713976503</v>
      </c>
      <c r="BM13" s="423">
        <f t="shared" ref="BM13:BM44" si="38">IFERROR(BG13/BL13,0)</f>
        <v>1.2327328727623885</v>
      </c>
      <c r="BN13" s="86">
        <f t="shared" ref="BN13:BN44" si="39">BG13-BL13</f>
        <v>11903.541862769132</v>
      </c>
      <c r="BO13" s="86">
        <f t="shared" si="23"/>
        <v>15639.12922351091</v>
      </c>
      <c r="BP13" s="86">
        <f t="shared" ref="BP13:BP44" si="40">BN13+BR13</f>
        <v>11903.541862769132</v>
      </c>
      <c r="BQ13" s="86">
        <f t="shared" si="24"/>
        <v>0</v>
      </c>
      <c r="BR13" s="86">
        <f t="shared" si="25"/>
        <v>0</v>
      </c>
      <c r="BS13" s="86">
        <f t="shared" si="10"/>
        <v>0</v>
      </c>
      <c r="BT13" s="86">
        <f t="shared" si="26"/>
        <v>-59143.572458804709</v>
      </c>
      <c r="BU13" s="86">
        <f t="shared" ref="BU13:BU44" si="41">IF(BU12&gt;=1,2,IF(BT13&gt;0,1,0))</f>
        <v>0</v>
      </c>
      <c r="BV13" s="214">
        <f t="shared" si="11"/>
        <v>8194.7099103228738</v>
      </c>
      <c r="BW13" s="102"/>
      <c r="BX13" s="102"/>
      <c r="BY13" s="102"/>
      <c r="BZ13" s="102"/>
      <c r="CA13" s="102"/>
      <c r="CI13" s="102"/>
      <c r="CS13" s="102"/>
      <c r="CT13" s="102"/>
      <c r="CU13" s="102"/>
      <c r="CV13" s="102"/>
      <c r="CW13" s="102"/>
      <c r="CX13" s="102"/>
      <c r="CY13" s="102"/>
      <c r="CZ13" s="102"/>
      <c r="DA13" s="102"/>
      <c r="DB13" s="102"/>
      <c r="DC13" s="102"/>
      <c r="DD13" s="86"/>
      <c r="DJ13" s="86"/>
      <c r="DQ13" s="86"/>
    </row>
    <row r="14" spans="2:121" s="193" customFormat="1" x14ac:dyDescent="0.3">
      <c r="B14" s="192">
        <f t="shared" si="27"/>
        <v>3</v>
      </c>
      <c r="C14" s="350">
        <f t="shared" si="12"/>
        <v>2024</v>
      </c>
      <c r="D14" s="351">
        <f t="shared" si="28"/>
        <v>45292</v>
      </c>
      <c r="E14" s="441">
        <f>EDATE(E13,12)</f>
        <v>45657</v>
      </c>
      <c r="F14" s="445">
        <f>IF(AND(B14&gt;0,B14&lt;=Fruit_Inputs!$J$17),1,0)</f>
        <v>1</v>
      </c>
      <c r="G14" s="447">
        <f>IF(F14=1,Fruit_Inputs!$G$31,0)</f>
        <v>39325</v>
      </c>
      <c r="H14" s="348">
        <f>IF(AND(F13=0,F14=1),100%,IF(AND(F13=0,F14=0),100%,H13-Fruit_Inputs!$G$44))*F14</f>
        <v>0.99900000000000011</v>
      </c>
      <c r="I14" s="216">
        <f t="shared" si="29"/>
        <v>39285.675000000003</v>
      </c>
      <c r="J14" s="219">
        <f>Fruit_Inputs!$J$11</f>
        <v>0.01</v>
      </c>
      <c r="K14" s="444">
        <f>IF(B14=1,Fruit_Inputs!$R$15,K13*(1+Fruit_CashFlows!J14))*F14</f>
        <v>6.587185398176616</v>
      </c>
      <c r="L14" s="338">
        <f>IF(B14=1,Fruit_Inputs!$R$16,L13*(1+Fruit_CashFlows!J14))*F14</f>
        <v>9.9204725000000007</v>
      </c>
      <c r="M14" s="122">
        <f>K14*I14*Fruit_Inputs!$J$9</f>
        <v>129391.01235875607</v>
      </c>
      <c r="N14" s="222">
        <f>L14*I14*Fruit_Inputs!$J$10</f>
        <v>194866.22924071879</v>
      </c>
      <c r="O14" s="423">
        <f t="shared" si="30"/>
        <v>0</v>
      </c>
      <c r="P14" s="122">
        <f>SUM(M14:O14)+IF(B14=Fruit_Inputs!$J$17,Fruit_Inputs!$J$19,0)</f>
        <v>324257.24159947486</v>
      </c>
      <c r="Q14" s="218">
        <f>IF(B14=1,Fruit_Inputs!$O$7,Q13*(1+Fruit_Inputs!$N$23))*F14</f>
        <v>172823.78581167714</v>
      </c>
      <c r="R14" s="122">
        <f>IF(B14=1,Fruit_Inputs!$O$8,R13*(1+Fruit_Inputs!$N$23))*F14</f>
        <v>7952.6593279101353</v>
      </c>
      <c r="S14" s="122">
        <f>IF(B14=1,Fruit_Inputs!$O$9,S13*(1+Fruit_Inputs!$N$23))*F14</f>
        <v>28237.352779250919</v>
      </c>
      <c r="T14" s="122">
        <f>IF(B14=1,Fruit_Inputs!$O$10,T13*(1+Fruit_Inputs!$N$23))*F14</f>
        <v>20285.088165374116</v>
      </c>
      <c r="U14" s="122">
        <f>IF(B14=1,Fruit_Inputs!$O$11,U13*(1+Fruit_Inputs!$N$23))*F14</f>
        <v>18808.758257456448</v>
      </c>
      <c r="V14" s="122">
        <f>IF(B14=1,Fruit_Inputs!$O$12,V13*(1+Fruit_Inputs!$N$23))*F14</f>
        <v>94.102648545380248</v>
      </c>
      <c r="W14" s="122">
        <f>IF(B14=1,Fruit_Inputs!$O$13,W13*(1+Fruit_Inputs!$N$23))*F14</f>
        <v>0</v>
      </c>
      <c r="X14" s="122">
        <f>IF(B14=1,Fruit_Inputs!$O$14,X13*(1+Fruit_Inputs!$N$23))*F14</f>
        <v>1622.9091171144889</v>
      </c>
      <c r="Y14" s="122">
        <f>IF(B14=1,Fruit_Inputs!$O$15,Y13*(1+Fruit_Inputs!$N$23))*F14</f>
        <v>1622.9091171144889</v>
      </c>
      <c r="Z14" s="122">
        <f>IF(B14=1,Fruit_Inputs!$O$16,Z13*(1+Fruit_Inputs!$N$23))*F14</f>
        <v>3654.2286609920002</v>
      </c>
      <c r="AA14" s="122">
        <f>IF(B14=1,Fruit_Inputs!$O$17,AA13*(1+Fruit_Inputs!$N$23))*F14</f>
        <v>1863.9493888888885</v>
      </c>
      <c r="AB14" s="181">
        <f>IF(B14=1,Fruit_Inputs!$O$18,AB13*(1+Fruit_Inputs!$N$23))*F14</f>
        <v>0</v>
      </c>
      <c r="AC14" s="482">
        <f>IF(B14=1,Fruit_Inputs!$O$19,AC13*(1+Fruit_Inputs!$N$23))*F14</f>
        <v>0</v>
      </c>
      <c r="AD14" s="122">
        <f>IF(B14=1,Fruit_Inputs!$O$20,AD13*(1+Fruit_Inputs!$N$23))*F14</f>
        <v>0</v>
      </c>
      <c r="AE14" s="122">
        <f>IF(B14=1,Fruit_Inputs!$O$21,AE13*(1+Fruit_Inputs!$N$23))*F14</f>
        <v>0</v>
      </c>
      <c r="AF14" s="132">
        <f>IF(B14=1,Fruit_Inputs!$O$22,AF13*(1+Fruit_Inputs!$N$23))*F14</f>
        <v>0</v>
      </c>
      <c r="AG14" s="200">
        <f t="shared" si="31"/>
        <v>256965.74327432402</v>
      </c>
      <c r="AH14" s="86">
        <f t="shared" si="13"/>
        <v>67291.498325150838</v>
      </c>
      <c r="AI14" s="225">
        <f t="shared" si="14"/>
        <v>0.2075250439842754</v>
      </c>
      <c r="AJ14" s="220">
        <f>Deprec!F13</f>
        <v>11072.386150083685</v>
      </c>
      <c r="AK14" s="86">
        <f t="shared" si="15"/>
        <v>56219.112175067152</v>
      </c>
      <c r="AL14" s="455">
        <f t="shared" si="32"/>
        <v>41440.889821934557</v>
      </c>
      <c r="AM14" s="86">
        <f t="shared" si="33"/>
        <v>14778.222353132594</v>
      </c>
      <c r="AN14" s="438">
        <f>IF(AM14&lt;0,0,(AM14*Fruit_Inputs!$J$14))</f>
        <v>4433.466705939778</v>
      </c>
      <c r="AO14" s="86">
        <f t="shared" si="34"/>
        <v>10344.755647192816</v>
      </c>
      <c r="AP14" s="226">
        <f t="shared" si="16"/>
        <v>3.1902928662949463E-2</v>
      </c>
      <c r="AS14" s="196">
        <f t="shared" si="17"/>
        <v>324257.24159947486</v>
      </c>
      <c r="AT14" s="86">
        <f t="shared" si="18"/>
        <v>256965.74327432402</v>
      </c>
      <c r="AU14" s="197">
        <f t="shared" si="35"/>
        <v>67291.498325150838</v>
      </c>
      <c r="AV14" s="218">
        <f>IF(B14=0,Fruit_Inputs!$C$29,0)</f>
        <v>0</v>
      </c>
      <c r="AW14" s="198">
        <f t="shared" si="5"/>
        <v>0</v>
      </c>
      <c r="AX14" s="197">
        <f t="shared" si="6"/>
        <v>67291.498325150838</v>
      </c>
      <c r="AY14" s="184">
        <f>IF(B14=0,Fruit_Inputs!$G$15+Fruit_Inputs!$G$16,0)</f>
        <v>0</v>
      </c>
      <c r="AZ14" s="185">
        <f>IF(B14=0,Fruit_Inputs!$G$14,0)</f>
        <v>0</v>
      </c>
      <c r="BA14" s="200">
        <f t="shared" si="7"/>
        <v>0</v>
      </c>
      <c r="BB14" s="196">
        <f t="shared" si="8"/>
        <v>67291.498325150838</v>
      </c>
      <c r="BC14" s="218">
        <f>Fruit_Inputs!$G$20*AVERAGE(BR14,BS14)</f>
        <v>0</v>
      </c>
      <c r="BD14" s="200">
        <f t="shared" si="9"/>
        <v>4433.466705939778</v>
      </c>
      <c r="BE14" s="200">
        <f t="shared" si="19"/>
        <v>67291.498325150838</v>
      </c>
      <c r="BF14" s="86">
        <f t="shared" si="20"/>
        <v>62858.031619211062</v>
      </c>
      <c r="BG14" s="197">
        <f t="shared" si="21"/>
        <v>62858.031619211062</v>
      </c>
      <c r="BH14" s="86">
        <f t="shared" si="36"/>
        <v>179475.48645272653</v>
      </c>
      <c r="BI14" s="86">
        <f t="shared" si="37"/>
        <v>169769.57556068458</v>
      </c>
      <c r="BJ14" s="122">
        <f>-Debt_Calc!W12</f>
        <v>41440.889821934557</v>
      </c>
      <c r="BK14" s="122">
        <f>Debt_Calc!X12</f>
        <v>9705.9108920419458</v>
      </c>
      <c r="BL14" s="86">
        <f t="shared" si="22"/>
        <v>51146.800713976503</v>
      </c>
      <c r="BM14" s="423">
        <f t="shared" si="38"/>
        <v>1.2289728925710561</v>
      </c>
      <c r="BN14" s="86">
        <f t="shared" si="39"/>
        <v>11711.230905234559</v>
      </c>
      <c r="BO14" s="86">
        <f t="shared" si="23"/>
        <v>16144.697611174337</v>
      </c>
      <c r="BP14" s="86">
        <f t="shared" si="40"/>
        <v>11711.230905234559</v>
      </c>
      <c r="BQ14" s="86">
        <f t="shared" si="24"/>
        <v>0</v>
      </c>
      <c r="BR14" s="86">
        <f t="shared" si="25"/>
        <v>0</v>
      </c>
      <c r="BS14" s="86">
        <f t="shared" si="10"/>
        <v>0</v>
      </c>
      <c r="BT14" s="86">
        <f t="shared" si="26"/>
        <v>-47432.34155357015</v>
      </c>
      <c r="BU14" s="86">
        <f t="shared" si="41"/>
        <v>0</v>
      </c>
      <c r="BV14" s="214">
        <f t="shared" si="11"/>
        <v>6689.4223195684253</v>
      </c>
      <c r="BW14" s="102"/>
      <c r="BX14" s="102"/>
      <c r="BY14" s="102"/>
      <c r="BZ14" s="102"/>
      <c r="CA14" s="102"/>
      <c r="CI14" s="102"/>
      <c r="CS14" s="102"/>
      <c r="CT14" s="102"/>
      <c r="CU14" s="102"/>
      <c r="CV14" s="102"/>
      <c r="CW14" s="102"/>
      <c r="CX14" s="102"/>
      <c r="CY14" s="102"/>
      <c r="CZ14" s="102"/>
      <c r="DA14" s="102"/>
      <c r="DB14" s="102"/>
      <c r="DC14" s="102"/>
      <c r="DD14" s="86"/>
      <c r="DJ14" s="86"/>
      <c r="DQ14" s="86"/>
    </row>
    <row r="15" spans="2:121" s="86" customFormat="1" x14ac:dyDescent="0.3">
      <c r="B15" s="192">
        <f t="shared" si="27"/>
        <v>4</v>
      </c>
      <c r="C15" s="350">
        <f t="shared" si="12"/>
        <v>2025</v>
      </c>
      <c r="D15" s="351">
        <f t="shared" si="28"/>
        <v>45658</v>
      </c>
      <c r="E15" s="441">
        <f t="shared" si="28"/>
        <v>46022</v>
      </c>
      <c r="F15" s="445">
        <f>IF(AND(B15&gt;0,B15&lt;=Fruit_Inputs!$J$17),1,0)</f>
        <v>1</v>
      </c>
      <c r="G15" s="447">
        <f>IF(F15=1,Fruit_Inputs!$G$31,0)</f>
        <v>39325</v>
      </c>
      <c r="H15" s="348">
        <f>IF(AND(F14=0,F15=1),100%,IF(AND(F14=0,F15=0),100%,H14-Fruit_Inputs!$G$44))*F15</f>
        <v>0.99850000000000017</v>
      </c>
      <c r="I15" s="216">
        <f t="shared" si="29"/>
        <v>39266.012500000004</v>
      </c>
      <c r="J15" s="219">
        <f>Fruit_Inputs!$J$11</f>
        <v>0.01</v>
      </c>
      <c r="K15" s="444">
        <f>IF(B15=1,Fruit_Inputs!$R$15,K14*(1+Fruit_CashFlows!J15))*F15</f>
        <v>6.6530572521583826</v>
      </c>
      <c r="L15" s="338">
        <f>IF(B15=1,Fruit_Inputs!$R$16,L14*(1+Fruit_CashFlows!J15))*F15</f>
        <v>10.019677225000001</v>
      </c>
      <c r="M15" s="122">
        <f>K15*I15*Fruit_Inputs!$J$9</f>
        <v>130619.51461323336</v>
      </c>
      <c r="N15" s="222">
        <f>L15*I15*Fruit_Inputs!$J$10</f>
        <v>196716.3855814077</v>
      </c>
      <c r="O15" s="423">
        <f t="shared" si="30"/>
        <v>0</v>
      </c>
      <c r="P15" s="122">
        <f>SUM(M15:O15)+IF(B15=Fruit_Inputs!$J$17,Fruit_Inputs!$J$19,0)</f>
        <v>327335.90019464109</v>
      </c>
      <c r="Q15" s="218">
        <f>IF(B15=1,Fruit_Inputs!$O$7,Q14*(1+Fruit_Inputs!$N$23))*F15</f>
        <v>174552.02366979391</v>
      </c>
      <c r="R15" s="122">
        <f>IF(B15=1,Fruit_Inputs!$O$8,R14*(1+Fruit_Inputs!$N$23))*F15</f>
        <v>8032.185921189237</v>
      </c>
      <c r="S15" s="122">
        <f>IF(B15=1,Fruit_Inputs!$O$9,S14*(1+Fruit_Inputs!$N$23))*F15</f>
        <v>28519.726307043427</v>
      </c>
      <c r="T15" s="122">
        <f>IF(B15=1,Fruit_Inputs!$O$10,T14*(1+Fruit_Inputs!$N$23))*F15</f>
        <v>20487.939047027856</v>
      </c>
      <c r="U15" s="122">
        <f>IF(B15=1,Fruit_Inputs!$O$11,U14*(1+Fruit_Inputs!$N$23))*F15</f>
        <v>18996.845840031012</v>
      </c>
      <c r="V15" s="122">
        <f>IF(B15=1,Fruit_Inputs!$O$12,V14*(1+Fruit_Inputs!$N$23))*F15</f>
        <v>95.043675030834052</v>
      </c>
      <c r="W15" s="122">
        <f>IF(B15=1,Fruit_Inputs!$O$13,W14*(1+Fruit_Inputs!$N$23))*F15</f>
        <v>0</v>
      </c>
      <c r="X15" s="122">
        <f>IF(B15=1,Fruit_Inputs!$O$14,X14*(1+Fruit_Inputs!$N$23))*F15</f>
        <v>1639.1382082856339</v>
      </c>
      <c r="Y15" s="122">
        <f>IF(B15=1,Fruit_Inputs!$O$15,Y14*(1+Fruit_Inputs!$N$23))*F15</f>
        <v>1639.1382082856339</v>
      </c>
      <c r="Z15" s="122">
        <f>IF(B15=1,Fruit_Inputs!$O$16,Z14*(1+Fruit_Inputs!$N$23))*F15</f>
        <v>3690.7709476019204</v>
      </c>
      <c r="AA15" s="122">
        <f>IF(B15=1,Fruit_Inputs!$O$17,AA14*(1+Fruit_Inputs!$N$23))*F15</f>
        <v>1882.5888827777774</v>
      </c>
      <c r="AB15" s="181">
        <f>IF(B15=1,Fruit_Inputs!$O$18,AB14*(1+Fruit_Inputs!$N$23))*F15</f>
        <v>0</v>
      </c>
      <c r="AC15" s="482">
        <f>IF(B15=1,Fruit_Inputs!$O$19,AC14*(1+Fruit_Inputs!$N$23))*F15</f>
        <v>0</v>
      </c>
      <c r="AD15" s="122">
        <f>IF(B15=1,Fruit_Inputs!$O$20,AD14*(1+Fruit_Inputs!$N$23))*F15</f>
        <v>0</v>
      </c>
      <c r="AE15" s="122">
        <f>IF(B15=1,Fruit_Inputs!$O$21,AE14*(1+Fruit_Inputs!$N$23))*F15</f>
        <v>0</v>
      </c>
      <c r="AF15" s="132">
        <f>IF(B15=1,Fruit_Inputs!$O$22,AF14*(1+Fruit_Inputs!$N$23))*F15</f>
        <v>0</v>
      </c>
      <c r="AG15" s="200">
        <f t="shared" si="31"/>
        <v>259535.40070706725</v>
      </c>
      <c r="AH15" s="86">
        <f t="shared" si="13"/>
        <v>67800.499487573834</v>
      </c>
      <c r="AI15" s="225">
        <f t="shared" si="14"/>
        <v>0.20712821125717704</v>
      </c>
      <c r="AJ15" s="220">
        <f>Deprec!F14</f>
        <v>11072.386150083685</v>
      </c>
      <c r="AK15" s="86">
        <f t="shared" si="15"/>
        <v>56728.113337490147</v>
      </c>
      <c r="AL15" s="455">
        <f t="shared" si="32"/>
        <v>39199.794996962068</v>
      </c>
      <c r="AM15" s="86">
        <f t="shared" si="33"/>
        <v>17528.31834052808</v>
      </c>
      <c r="AN15" s="438">
        <f>IF(AM15&lt;0,0,(AM15*Fruit_Inputs!$J$14))</f>
        <v>5258.4955021584237</v>
      </c>
      <c r="AO15" s="86">
        <f t="shared" si="34"/>
        <v>12269.822838369655</v>
      </c>
      <c r="AP15" s="226">
        <f t="shared" si="16"/>
        <v>3.7483889885202785E-2</v>
      </c>
      <c r="AS15" s="196">
        <f t="shared" si="17"/>
        <v>327335.90019464109</v>
      </c>
      <c r="AT15" s="86">
        <f t="shared" si="18"/>
        <v>259535.40070706725</v>
      </c>
      <c r="AU15" s="197">
        <f t="shared" si="35"/>
        <v>67800.499487573834</v>
      </c>
      <c r="AV15" s="218">
        <f>IF(B15=0,Fruit_Inputs!$C$29,0)</f>
        <v>0</v>
      </c>
      <c r="AW15" s="198">
        <f t="shared" si="5"/>
        <v>0</v>
      </c>
      <c r="AX15" s="197">
        <f t="shared" si="6"/>
        <v>67800.499487573834</v>
      </c>
      <c r="AY15" s="184">
        <f>IF(B15=0,Fruit_Inputs!$G$15+Fruit_Inputs!$G$16,0)</f>
        <v>0</v>
      </c>
      <c r="AZ15" s="185">
        <f>IF(B15=0,Fruit_Inputs!$G$14,0)</f>
        <v>0</v>
      </c>
      <c r="BA15" s="200">
        <f t="shared" si="7"/>
        <v>0</v>
      </c>
      <c r="BB15" s="196">
        <f t="shared" si="8"/>
        <v>67800.499487573834</v>
      </c>
      <c r="BC15" s="218">
        <f>Fruit_Inputs!$G$20*AVERAGE(BR15,BS15)</f>
        <v>0</v>
      </c>
      <c r="BD15" s="200">
        <f t="shared" si="9"/>
        <v>5258.4955021584237</v>
      </c>
      <c r="BE15" s="200">
        <f t="shared" si="19"/>
        <v>67800.499487573834</v>
      </c>
      <c r="BF15" s="86">
        <f t="shared" si="20"/>
        <v>62542.003985415409</v>
      </c>
      <c r="BG15" s="197">
        <f t="shared" si="21"/>
        <v>62542.003985415409</v>
      </c>
      <c r="BH15" s="86">
        <f t="shared" si="36"/>
        <v>169769.57556068458</v>
      </c>
      <c r="BI15" s="86">
        <f t="shared" si="37"/>
        <v>157822.56984367012</v>
      </c>
      <c r="BJ15" s="122">
        <f>-Debt_Calc!W13</f>
        <v>39199.794996962068</v>
      </c>
      <c r="BK15" s="122">
        <f>Debt_Calc!X13</f>
        <v>11947.005717014443</v>
      </c>
      <c r="BL15" s="86">
        <f t="shared" si="22"/>
        <v>51146.80071397651</v>
      </c>
      <c r="BM15" s="423">
        <f t="shared" si="38"/>
        <v>1.2227940577390799</v>
      </c>
      <c r="BN15" s="86">
        <f t="shared" si="39"/>
        <v>11395.203271438899</v>
      </c>
      <c r="BO15" s="86">
        <f t="shared" si="23"/>
        <v>16653.698773597323</v>
      </c>
      <c r="BP15" s="86">
        <f t="shared" si="40"/>
        <v>11395.203271438899</v>
      </c>
      <c r="BQ15" s="86">
        <f t="shared" si="24"/>
        <v>0</v>
      </c>
      <c r="BR15" s="86">
        <f t="shared" si="25"/>
        <v>0</v>
      </c>
      <c r="BS15" s="86">
        <f t="shared" si="10"/>
        <v>0</v>
      </c>
      <c r="BT15" s="86">
        <f t="shared" si="26"/>
        <v>-36037.138282131251</v>
      </c>
      <c r="BU15" s="86">
        <f t="shared" si="41"/>
        <v>0</v>
      </c>
      <c r="BV15" s="214">
        <f t="shared" si="11"/>
        <v>5400.5356595371313</v>
      </c>
    </row>
    <row r="16" spans="2:121" s="86" customFormat="1" x14ac:dyDescent="0.3">
      <c r="B16" s="192">
        <f t="shared" si="27"/>
        <v>5</v>
      </c>
      <c r="C16" s="350">
        <f t="shared" si="12"/>
        <v>2026</v>
      </c>
      <c r="D16" s="351">
        <f t="shared" si="28"/>
        <v>46023</v>
      </c>
      <c r="E16" s="441">
        <f t="shared" si="28"/>
        <v>46387</v>
      </c>
      <c r="F16" s="445">
        <f>IF(AND(B16&gt;0,B16&lt;=Fruit_Inputs!$J$17),1,0)</f>
        <v>1</v>
      </c>
      <c r="G16" s="447">
        <f>IF(F16=1,Fruit_Inputs!$G$31,0)</f>
        <v>39325</v>
      </c>
      <c r="H16" s="348">
        <f>IF(AND(F15=0,F16=1),100%,IF(AND(F15=0,F16=0),100%,H15-Fruit_Inputs!$G$44))*F16</f>
        <v>0.99800000000000022</v>
      </c>
      <c r="I16" s="216">
        <f t="shared" si="29"/>
        <v>39246.350000000006</v>
      </c>
      <c r="J16" s="219">
        <f>Fruit_Inputs!$J$11</f>
        <v>0.01</v>
      </c>
      <c r="K16" s="444">
        <f>IF(B16=1,Fruit_Inputs!$R$15,K15*(1+Fruit_CashFlows!J16))*F16</f>
        <v>6.7195878246799667</v>
      </c>
      <c r="L16" s="338">
        <f>IF(B16=1,Fruit_Inputs!$R$16,L15*(1+Fruit_CashFlows!J16))*F16</f>
        <v>10.11987399725</v>
      </c>
      <c r="M16" s="122">
        <f>K16*I16*Fruit_Inputs!$J$9</f>
        <v>131859.64781156433</v>
      </c>
      <c r="N16" s="222">
        <f>L16*I16*Fruit_Inputs!$J$10</f>
        <v>198584.0584259863</v>
      </c>
      <c r="O16" s="423">
        <f t="shared" si="30"/>
        <v>0</v>
      </c>
      <c r="P16" s="122">
        <f>SUM(M16:O16)+IF(B16=Fruit_Inputs!$J$17,Fruit_Inputs!$J$19,0)</f>
        <v>330443.70623755059</v>
      </c>
      <c r="Q16" s="218">
        <f>IF(B16=1,Fruit_Inputs!$O$7,Q15*(1+Fruit_Inputs!$N$23))*F16</f>
        <v>176297.54390649186</v>
      </c>
      <c r="R16" s="122">
        <f>IF(B16=1,Fruit_Inputs!$O$8,R15*(1+Fruit_Inputs!$N$23))*F16</f>
        <v>8112.5077804011298</v>
      </c>
      <c r="S16" s="122">
        <f>IF(B16=1,Fruit_Inputs!$O$9,S15*(1+Fruit_Inputs!$N$23))*F16</f>
        <v>28804.92357011386</v>
      </c>
      <c r="T16" s="122">
        <f>IF(B16=1,Fruit_Inputs!$O$10,T15*(1+Fruit_Inputs!$N$23))*F16</f>
        <v>20692.818437498136</v>
      </c>
      <c r="U16" s="122">
        <f>IF(B16=1,Fruit_Inputs!$O$11,U15*(1+Fruit_Inputs!$N$23))*F16</f>
        <v>19186.814298431324</v>
      </c>
      <c r="V16" s="122">
        <f>IF(B16=1,Fruit_Inputs!$O$12,V15*(1+Fruit_Inputs!$N$23))*F16</f>
        <v>95.994111781142394</v>
      </c>
      <c r="W16" s="122">
        <f>IF(B16=1,Fruit_Inputs!$O$13,W15*(1+Fruit_Inputs!$N$23))*F16</f>
        <v>0</v>
      </c>
      <c r="X16" s="122">
        <f>IF(B16=1,Fruit_Inputs!$O$14,X15*(1+Fruit_Inputs!$N$23))*F16</f>
        <v>1655.5295903684903</v>
      </c>
      <c r="Y16" s="122">
        <f>IF(B16=1,Fruit_Inputs!$O$15,Y15*(1+Fruit_Inputs!$N$23))*F16</f>
        <v>1655.5295903684903</v>
      </c>
      <c r="Z16" s="122">
        <f>IF(B16=1,Fruit_Inputs!$O$16,Z15*(1+Fruit_Inputs!$N$23))*F16</f>
        <v>3727.6786570779395</v>
      </c>
      <c r="AA16" s="122">
        <f>IF(B16=1,Fruit_Inputs!$O$17,AA15*(1+Fruit_Inputs!$N$23))*F16</f>
        <v>1901.4147716055552</v>
      </c>
      <c r="AB16" s="181">
        <f>IF(B16=1,Fruit_Inputs!$O$18,AB15*(1+Fruit_Inputs!$N$23))*F16</f>
        <v>0</v>
      </c>
      <c r="AC16" s="482">
        <f>IF(B16=1,Fruit_Inputs!$O$19,AC15*(1+Fruit_Inputs!$N$23))*F16</f>
        <v>0</v>
      </c>
      <c r="AD16" s="122">
        <f>IF(B16=1,Fruit_Inputs!$O$20,AD15*(1+Fruit_Inputs!$N$23))*F16</f>
        <v>0</v>
      </c>
      <c r="AE16" s="122">
        <f>IF(B16=1,Fruit_Inputs!$O$21,AE15*(1+Fruit_Inputs!$N$23))*F16</f>
        <v>0</v>
      </c>
      <c r="AF16" s="132">
        <f>IF(B16=1,Fruit_Inputs!$O$22,AF15*(1+Fruit_Inputs!$N$23))*F16</f>
        <v>0</v>
      </c>
      <c r="AG16" s="200">
        <f t="shared" si="31"/>
        <v>262130.75471413799</v>
      </c>
      <c r="AH16" s="86">
        <f t="shared" si="13"/>
        <v>68312.951523412601</v>
      </c>
      <c r="AI16" s="225">
        <f t="shared" si="14"/>
        <v>0.20673098090209513</v>
      </c>
      <c r="AJ16" s="220">
        <f>Deprec!F15</f>
        <v>11072.386150083685</v>
      </c>
      <c r="AK16" s="86">
        <f t="shared" si="15"/>
        <v>57240.565373328915</v>
      </c>
      <c r="AL16" s="455">
        <f t="shared" si="32"/>
        <v>36441.23137690343</v>
      </c>
      <c r="AM16" s="86">
        <f t="shared" si="33"/>
        <v>20799.333996425485</v>
      </c>
      <c r="AN16" s="438">
        <f>IF(AM16&lt;0,0,(AM16*Fruit_Inputs!$J$14))</f>
        <v>6239.8001989276454</v>
      </c>
      <c r="AO16" s="86">
        <f t="shared" si="34"/>
        <v>14559.533797497839</v>
      </c>
      <c r="AP16" s="226">
        <f t="shared" si="16"/>
        <v>4.4060557131722848E-2</v>
      </c>
      <c r="AS16" s="196">
        <f t="shared" si="17"/>
        <v>330443.70623755059</v>
      </c>
      <c r="AT16" s="86">
        <f t="shared" si="18"/>
        <v>262130.75471413799</v>
      </c>
      <c r="AU16" s="197">
        <f t="shared" si="35"/>
        <v>68312.951523412601</v>
      </c>
      <c r="AV16" s="218">
        <f>IF(B16=0,Fruit_Inputs!$C$29,0)</f>
        <v>0</v>
      </c>
      <c r="AW16" s="198">
        <f t="shared" si="5"/>
        <v>0</v>
      </c>
      <c r="AX16" s="197">
        <f t="shared" si="6"/>
        <v>68312.951523412601</v>
      </c>
      <c r="AY16" s="184">
        <f>IF(B16=0,Fruit_Inputs!$G$15+Fruit_Inputs!$G$16,0)</f>
        <v>0</v>
      </c>
      <c r="AZ16" s="185">
        <f>IF(B16=0,Fruit_Inputs!$G$14,0)</f>
        <v>0</v>
      </c>
      <c r="BA16" s="200">
        <f t="shared" si="7"/>
        <v>0</v>
      </c>
      <c r="BB16" s="196">
        <f t="shared" si="8"/>
        <v>68312.951523412601</v>
      </c>
      <c r="BC16" s="218">
        <f>Fruit_Inputs!$G$20*AVERAGE(BR16,BS16)</f>
        <v>0</v>
      </c>
      <c r="BD16" s="200">
        <f t="shared" si="9"/>
        <v>6239.8001989276454</v>
      </c>
      <c r="BE16" s="200">
        <f t="shared" si="19"/>
        <v>68312.951523412601</v>
      </c>
      <c r="BF16" s="86">
        <f t="shared" si="20"/>
        <v>62073.151324484956</v>
      </c>
      <c r="BG16" s="197">
        <f t="shared" si="21"/>
        <v>62073.151324484956</v>
      </c>
      <c r="BH16" s="86">
        <f t="shared" si="36"/>
        <v>157822.56984367012</v>
      </c>
      <c r="BI16" s="86">
        <f t="shared" si="37"/>
        <v>143117.00050659705</v>
      </c>
      <c r="BJ16" s="122">
        <f>-Debt_Calc!W14</f>
        <v>36441.23137690343</v>
      </c>
      <c r="BK16" s="122">
        <f>Debt_Calc!X14</f>
        <v>14705.569337073081</v>
      </c>
      <c r="BL16" s="86">
        <f t="shared" si="22"/>
        <v>51146.80071397651</v>
      </c>
      <c r="BM16" s="423">
        <f t="shared" si="38"/>
        <v>1.2136272544515709</v>
      </c>
      <c r="BN16" s="86">
        <f t="shared" si="39"/>
        <v>10926.350610508445</v>
      </c>
      <c r="BO16" s="86">
        <f t="shared" si="23"/>
        <v>17166.150809436091</v>
      </c>
      <c r="BP16" s="86">
        <f t="shared" si="40"/>
        <v>10926.350610508445</v>
      </c>
      <c r="BQ16" s="86">
        <f t="shared" si="24"/>
        <v>0</v>
      </c>
      <c r="BR16" s="86">
        <f t="shared" si="25"/>
        <v>0</v>
      </c>
      <c r="BS16" s="86">
        <f t="shared" si="10"/>
        <v>0</v>
      </c>
      <c r="BT16" s="86">
        <f t="shared" si="26"/>
        <v>-25110.787671622806</v>
      </c>
      <c r="BU16" s="86">
        <f t="shared" si="41"/>
        <v>0</v>
      </c>
      <c r="BV16" s="214">
        <f t="shared" si="11"/>
        <v>4296.5372758811964</v>
      </c>
    </row>
    <row r="17" spans="2:74" s="86" customFormat="1" x14ac:dyDescent="0.3">
      <c r="B17" s="192">
        <f t="shared" si="27"/>
        <v>6</v>
      </c>
      <c r="C17" s="350">
        <f t="shared" si="12"/>
        <v>2027</v>
      </c>
      <c r="D17" s="351">
        <f t="shared" si="28"/>
        <v>46388</v>
      </c>
      <c r="E17" s="441">
        <f t="shared" si="28"/>
        <v>46752</v>
      </c>
      <c r="F17" s="445">
        <f>IF(AND(B17&gt;0,B17&lt;=Fruit_Inputs!$J$17),1,0)</f>
        <v>1</v>
      </c>
      <c r="G17" s="447">
        <f>IF(F17=1,Fruit_Inputs!$G$31,0)</f>
        <v>39325</v>
      </c>
      <c r="H17" s="348">
        <f>IF(AND(F16=0,F17=1),100%,IF(AND(F16=0,F17=0),100%,H16-Fruit_Inputs!$G$44))*F17</f>
        <v>0.99750000000000028</v>
      </c>
      <c r="I17" s="216">
        <f t="shared" si="29"/>
        <v>39226.687500000007</v>
      </c>
      <c r="J17" s="219">
        <f>Fruit_Inputs!$J$11</f>
        <v>0.01</v>
      </c>
      <c r="K17" s="444">
        <f>IF(B17=1,Fruit_Inputs!$R$15,K16*(1+Fruit_CashFlows!J17))*F17</f>
        <v>6.7867837029267664</v>
      </c>
      <c r="L17" s="338">
        <f>IF(B17=1,Fruit_Inputs!$R$16,L16*(1+Fruit_CashFlows!J17))*F17</f>
        <v>10.221072737222499</v>
      </c>
      <c r="M17" s="122">
        <f>K17*I17*Fruit_Inputs!$J$9</f>
        <v>133111.52172240056</v>
      </c>
      <c r="N17" s="222">
        <f>L17*I17*Fruit_Inputs!$J$10</f>
        <v>200469.41308889835</v>
      </c>
      <c r="O17" s="423">
        <f t="shared" si="30"/>
        <v>0</v>
      </c>
      <c r="P17" s="122">
        <f>SUM(M17:O17)+IF(B17=Fruit_Inputs!$J$17,Fruit_Inputs!$J$19,0)</f>
        <v>333580.93481129891</v>
      </c>
      <c r="Q17" s="218">
        <f>IF(B17=1,Fruit_Inputs!$O$7,Q16*(1+Fruit_Inputs!$N$23))*F17</f>
        <v>178060.51934555679</v>
      </c>
      <c r="R17" s="122">
        <f>IF(B17=1,Fruit_Inputs!$O$8,R16*(1+Fruit_Inputs!$N$23))*F17</f>
        <v>8193.632858205141</v>
      </c>
      <c r="S17" s="122">
        <f>IF(B17=1,Fruit_Inputs!$O$9,S16*(1+Fruit_Inputs!$N$23))*F17</f>
        <v>29092.972805814999</v>
      </c>
      <c r="T17" s="122">
        <f>IF(B17=1,Fruit_Inputs!$O$10,T16*(1+Fruit_Inputs!$N$23))*F17</f>
        <v>20899.746621873117</v>
      </c>
      <c r="U17" s="122">
        <f>IF(B17=1,Fruit_Inputs!$O$11,U16*(1+Fruit_Inputs!$N$23))*F17</f>
        <v>19378.682441415636</v>
      </c>
      <c r="V17" s="122">
        <f>IF(B17=1,Fruit_Inputs!$O$12,V16*(1+Fruit_Inputs!$N$23))*F17</f>
        <v>96.954052898953819</v>
      </c>
      <c r="W17" s="122">
        <f>IF(B17=1,Fruit_Inputs!$O$13,W16*(1+Fruit_Inputs!$N$23))*F17</f>
        <v>0</v>
      </c>
      <c r="X17" s="122">
        <f>IF(B17=1,Fruit_Inputs!$O$14,X16*(1+Fruit_Inputs!$N$23))*F17</f>
        <v>1672.0848862721753</v>
      </c>
      <c r="Y17" s="122">
        <f>IF(B17=1,Fruit_Inputs!$O$15,Y16*(1+Fruit_Inputs!$N$23))*F17</f>
        <v>1672.0848862721753</v>
      </c>
      <c r="Z17" s="122">
        <f>IF(B17=1,Fruit_Inputs!$O$16,Z16*(1+Fruit_Inputs!$N$23))*F17</f>
        <v>3764.9554436487188</v>
      </c>
      <c r="AA17" s="122">
        <f>IF(B17=1,Fruit_Inputs!$O$17,AA16*(1+Fruit_Inputs!$N$23))*F17</f>
        <v>1920.4289193216107</v>
      </c>
      <c r="AB17" s="181">
        <f>IF(B17=1,Fruit_Inputs!$O$18,AB16*(1+Fruit_Inputs!$N$23))*F17</f>
        <v>0</v>
      </c>
      <c r="AC17" s="482">
        <f>IF(B17=1,Fruit_Inputs!$O$19,AC16*(1+Fruit_Inputs!$N$23))*F17</f>
        <v>0</v>
      </c>
      <c r="AD17" s="122">
        <f>IF(B17=1,Fruit_Inputs!$O$20,AD16*(1+Fruit_Inputs!$N$23))*F17</f>
        <v>0</v>
      </c>
      <c r="AE17" s="122">
        <f>IF(B17=1,Fruit_Inputs!$O$21,AE16*(1+Fruit_Inputs!$N$23))*F17</f>
        <v>0</v>
      </c>
      <c r="AF17" s="132">
        <f>IF(B17=1,Fruit_Inputs!$O$22,AF16*(1+Fruit_Inputs!$N$23))*F17</f>
        <v>0</v>
      </c>
      <c r="AG17" s="200">
        <f t="shared" si="31"/>
        <v>264752.06226127932</v>
      </c>
      <c r="AH17" s="86">
        <f t="shared" si="13"/>
        <v>68828.872550019587</v>
      </c>
      <c r="AI17" s="225">
        <f t="shared" si="14"/>
        <v>0.20633335232109387</v>
      </c>
      <c r="AJ17" s="220">
        <f>Deprec!F16</f>
        <v>11072.386150083685</v>
      </c>
      <c r="AK17" s="86">
        <f t="shared" si="15"/>
        <v>57756.4863999359</v>
      </c>
      <c r="AL17" s="455">
        <f t="shared" si="32"/>
        <v>33045.71541697326</v>
      </c>
      <c r="AM17" s="86">
        <f t="shared" si="33"/>
        <v>24710.77098296264</v>
      </c>
      <c r="AN17" s="438">
        <f>IF(AM17&lt;0,0,(AM17*Fruit_Inputs!$J$14))</f>
        <v>7413.231294888792</v>
      </c>
      <c r="AO17" s="86">
        <f t="shared" si="34"/>
        <v>17297.539688073848</v>
      </c>
      <c r="AP17" s="226">
        <f t="shared" si="16"/>
        <v>5.1854101607631667E-2</v>
      </c>
      <c r="AS17" s="196">
        <f t="shared" si="17"/>
        <v>333580.93481129891</v>
      </c>
      <c r="AT17" s="86">
        <f t="shared" si="18"/>
        <v>264752.06226127932</v>
      </c>
      <c r="AU17" s="197">
        <f t="shared" si="35"/>
        <v>68828.872550019587</v>
      </c>
      <c r="AV17" s="218">
        <f>IF(B17=0,Fruit_Inputs!$C$29,0)</f>
        <v>0</v>
      </c>
      <c r="AW17" s="198">
        <f t="shared" si="5"/>
        <v>0</v>
      </c>
      <c r="AX17" s="197">
        <f t="shared" si="6"/>
        <v>68828.872550019587</v>
      </c>
      <c r="AY17" s="184">
        <f>IF(B17=0,Fruit_Inputs!$G$15+Fruit_Inputs!$G$16,0)</f>
        <v>0</v>
      </c>
      <c r="AZ17" s="185">
        <f>IF(B17=0,Fruit_Inputs!$G$14,0)</f>
        <v>0</v>
      </c>
      <c r="BA17" s="200">
        <f t="shared" si="7"/>
        <v>0</v>
      </c>
      <c r="BB17" s="196">
        <f t="shared" si="8"/>
        <v>68828.872550019587</v>
      </c>
      <c r="BC17" s="218">
        <f>Fruit_Inputs!$G$20*AVERAGE(BR17,BS17)</f>
        <v>0</v>
      </c>
      <c r="BD17" s="200">
        <f t="shared" si="9"/>
        <v>7413.231294888792</v>
      </c>
      <c r="BE17" s="200">
        <f t="shared" si="19"/>
        <v>68828.872550019587</v>
      </c>
      <c r="BF17" s="86">
        <f t="shared" si="20"/>
        <v>61415.641255130795</v>
      </c>
      <c r="BG17" s="197">
        <f t="shared" si="21"/>
        <v>61415.641255130795</v>
      </c>
      <c r="BH17" s="86">
        <f t="shared" si="36"/>
        <v>143117.00050659705</v>
      </c>
      <c r="BI17" s="86">
        <f t="shared" si="37"/>
        <v>125015.9152095938</v>
      </c>
      <c r="BJ17" s="122">
        <f>-Debt_Calc!W15</f>
        <v>33045.71541697326</v>
      </c>
      <c r="BK17" s="122">
        <f>Debt_Calc!X15</f>
        <v>18101.08529700325</v>
      </c>
      <c r="BL17" s="86">
        <f t="shared" si="22"/>
        <v>51146.80071397651</v>
      </c>
      <c r="BM17" s="423">
        <f t="shared" si="38"/>
        <v>1.200771903575744</v>
      </c>
      <c r="BN17" s="86">
        <f t="shared" si="39"/>
        <v>10268.840541154284</v>
      </c>
      <c r="BO17" s="86">
        <f t="shared" si="23"/>
        <v>17682.071836043076</v>
      </c>
      <c r="BP17" s="86">
        <f t="shared" si="40"/>
        <v>10268.840541154284</v>
      </c>
      <c r="BQ17" s="86">
        <f t="shared" si="24"/>
        <v>0</v>
      </c>
      <c r="BR17" s="86">
        <f t="shared" si="25"/>
        <v>0</v>
      </c>
      <c r="BS17" s="86">
        <f t="shared" si="10"/>
        <v>0</v>
      </c>
      <c r="BT17" s="86">
        <f t="shared" si="26"/>
        <v>-14841.947130468521</v>
      </c>
      <c r="BU17" s="86">
        <f t="shared" si="41"/>
        <v>0</v>
      </c>
      <c r="BV17" s="214">
        <f t="shared" si="11"/>
        <v>3350.3760237219708</v>
      </c>
    </row>
    <row r="18" spans="2:74" s="86" customFormat="1" x14ac:dyDescent="0.3">
      <c r="B18" s="192">
        <f t="shared" si="27"/>
        <v>7</v>
      </c>
      <c r="C18" s="350">
        <f t="shared" si="12"/>
        <v>2028</v>
      </c>
      <c r="D18" s="351">
        <f t="shared" si="28"/>
        <v>46753</v>
      </c>
      <c r="E18" s="441">
        <f t="shared" si="28"/>
        <v>47118</v>
      </c>
      <c r="F18" s="445">
        <f>IF(AND(B18&gt;0,B18&lt;=Fruit_Inputs!$J$17),1,0)</f>
        <v>1</v>
      </c>
      <c r="G18" s="447">
        <f>IF(F18=1,Fruit_Inputs!$G$31,0)</f>
        <v>39325</v>
      </c>
      <c r="H18" s="348">
        <f>IF(AND(F17=0,F18=1),100%,IF(AND(F17=0,F18=0),100%,H17-Fruit_Inputs!$G$44))*F18</f>
        <v>0.99700000000000033</v>
      </c>
      <c r="I18" s="216">
        <f t="shared" si="29"/>
        <v>39207.025000000016</v>
      </c>
      <c r="J18" s="219">
        <f>Fruit_Inputs!$J$11</f>
        <v>0.01</v>
      </c>
      <c r="K18" s="444">
        <f>IF(B18=1,Fruit_Inputs!$R$15,K17*(1+Fruit_CashFlows!J18))*F18</f>
        <v>6.8546515399560342</v>
      </c>
      <c r="L18" s="338">
        <f>IF(B18=1,Fruit_Inputs!$R$16,L17*(1+Fruit_CashFlows!J18))*F18</f>
        <v>10.323283464594725</v>
      </c>
      <c r="M18" s="122">
        <f>K18*I18*Fruit_Inputs!$J$9</f>
        <v>134375.24714667242</v>
      </c>
      <c r="N18" s="222">
        <f>L18*I18*Fruit_Inputs!$J$10</f>
        <v>202372.61643922608</v>
      </c>
      <c r="O18" s="423">
        <f t="shared" si="30"/>
        <v>0</v>
      </c>
      <c r="P18" s="122">
        <f>SUM(M18:O18)+IF(B18=Fruit_Inputs!$J$17,Fruit_Inputs!$J$19,0)</f>
        <v>336747.86358589854</v>
      </c>
      <c r="Q18" s="218">
        <f>IF(B18=1,Fruit_Inputs!$O$7,Q17*(1+Fruit_Inputs!$N$23))*F18</f>
        <v>179841.12453901235</v>
      </c>
      <c r="R18" s="122">
        <f>IF(B18=1,Fruit_Inputs!$O$8,R17*(1+Fruit_Inputs!$N$23))*F18</f>
        <v>8275.5691867871919</v>
      </c>
      <c r="S18" s="122">
        <f>IF(B18=1,Fruit_Inputs!$O$9,S17*(1+Fruit_Inputs!$N$23))*F18</f>
        <v>29383.902533873148</v>
      </c>
      <c r="T18" s="122">
        <f>IF(B18=1,Fruit_Inputs!$O$10,T17*(1+Fruit_Inputs!$N$23))*F18</f>
        <v>21108.744088091848</v>
      </c>
      <c r="U18" s="122">
        <f>IF(B18=1,Fruit_Inputs!$O$11,U17*(1+Fruit_Inputs!$N$23))*F18</f>
        <v>19572.469265829794</v>
      </c>
      <c r="V18" s="122">
        <f>IF(B18=1,Fruit_Inputs!$O$12,V17*(1+Fruit_Inputs!$N$23))*F18</f>
        <v>97.923593427943359</v>
      </c>
      <c r="W18" s="122">
        <f>IF(B18=1,Fruit_Inputs!$O$13,W17*(1+Fruit_Inputs!$N$23))*F18</f>
        <v>0</v>
      </c>
      <c r="X18" s="122">
        <f>IF(B18=1,Fruit_Inputs!$O$14,X17*(1+Fruit_Inputs!$N$23))*F18</f>
        <v>1688.8057351348971</v>
      </c>
      <c r="Y18" s="122">
        <f>IF(B18=1,Fruit_Inputs!$O$15,Y17*(1+Fruit_Inputs!$N$23))*F18</f>
        <v>1688.8057351348971</v>
      </c>
      <c r="Z18" s="122">
        <f>IF(B18=1,Fruit_Inputs!$O$16,Z17*(1+Fruit_Inputs!$N$23))*F18</f>
        <v>3802.6049980852058</v>
      </c>
      <c r="AA18" s="122">
        <f>IF(B18=1,Fruit_Inputs!$O$17,AA17*(1+Fruit_Inputs!$N$23))*F18</f>
        <v>1939.6332085148267</v>
      </c>
      <c r="AB18" s="181">
        <f>IF(B18=1,Fruit_Inputs!$O$18,AB17*(1+Fruit_Inputs!$N$23))*F18</f>
        <v>0</v>
      </c>
      <c r="AC18" s="482">
        <f>IF(B18=1,Fruit_Inputs!$O$19,AC17*(1+Fruit_Inputs!$N$23))*F18</f>
        <v>0</v>
      </c>
      <c r="AD18" s="122">
        <f>IF(B18=1,Fruit_Inputs!$O$20,AD17*(1+Fruit_Inputs!$N$23))*F18</f>
        <v>0</v>
      </c>
      <c r="AE18" s="122">
        <f>IF(B18=1,Fruit_Inputs!$O$21,AE17*(1+Fruit_Inputs!$N$23))*F18</f>
        <v>0</v>
      </c>
      <c r="AF18" s="132">
        <f>IF(B18=1,Fruit_Inputs!$O$22,AF17*(1+Fruit_Inputs!$N$23))*F18</f>
        <v>0</v>
      </c>
      <c r="AG18" s="200">
        <f t="shared" si="31"/>
        <v>267399.58288389212</v>
      </c>
      <c r="AH18" s="86">
        <f t="shared" si="13"/>
        <v>69348.280702006421</v>
      </c>
      <c r="AI18" s="225">
        <f t="shared" si="14"/>
        <v>0.20593532491503655</v>
      </c>
      <c r="AJ18" s="220">
        <f>Deprec!F17</f>
        <v>11072.386150083685</v>
      </c>
      <c r="AK18" s="86">
        <f t="shared" si="15"/>
        <v>58275.894551922735</v>
      </c>
      <c r="AL18" s="455">
        <f t="shared" si="32"/>
        <v>28866.174821895209</v>
      </c>
      <c r="AM18" s="86">
        <f t="shared" si="33"/>
        <v>29409.719730027526</v>
      </c>
      <c r="AN18" s="438">
        <f>IF(AM18&lt;0,0,(AM18*Fruit_Inputs!$J$14))</f>
        <v>8822.9159190082573</v>
      </c>
      <c r="AO18" s="86">
        <f t="shared" si="34"/>
        <v>20586.803811019268</v>
      </c>
      <c r="AP18" s="226">
        <f t="shared" si="16"/>
        <v>6.1134177933003964E-2</v>
      </c>
      <c r="AS18" s="196">
        <f t="shared" si="17"/>
        <v>336747.86358589854</v>
      </c>
      <c r="AT18" s="86">
        <f t="shared" si="18"/>
        <v>267399.58288389212</v>
      </c>
      <c r="AU18" s="197">
        <f t="shared" si="35"/>
        <v>69348.280702006421</v>
      </c>
      <c r="AV18" s="218">
        <f>IF(B18=0,Fruit_Inputs!$C$29,0)</f>
        <v>0</v>
      </c>
      <c r="AW18" s="198">
        <f t="shared" si="5"/>
        <v>0</v>
      </c>
      <c r="AX18" s="197">
        <f t="shared" si="6"/>
        <v>69348.280702006421</v>
      </c>
      <c r="AY18" s="184">
        <f>IF(B18=0,Fruit_Inputs!$G$15+Fruit_Inputs!$G$16,0)</f>
        <v>0</v>
      </c>
      <c r="AZ18" s="185">
        <f>IF(B18=0,Fruit_Inputs!$G$14,0)</f>
        <v>0</v>
      </c>
      <c r="BA18" s="200">
        <f t="shared" si="7"/>
        <v>0</v>
      </c>
      <c r="BB18" s="196">
        <f t="shared" si="8"/>
        <v>69348.280702006421</v>
      </c>
      <c r="BC18" s="218">
        <f>Fruit_Inputs!$G$20*AVERAGE(BR18,BS18)</f>
        <v>0</v>
      </c>
      <c r="BD18" s="200">
        <f t="shared" si="9"/>
        <v>8822.9159190082573</v>
      </c>
      <c r="BE18" s="200">
        <f t="shared" si="19"/>
        <v>69348.280702006421</v>
      </c>
      <c r="BF18" s="86">
        <f t="shared" si="20"/>
        <v>60525.364782998164</v>
      </c>
      <c r="BG18" s="197">
        <f t="shared" si="21"/>
        <v>60525.364782998164</v>
      </c>
      <c r="BH18" s="86">
        <f t="shared" si="36"/>
        <v>125015.9152095938</v>
      </c>
      <c r="BI18" s="86">
        <f t="shared" si="37"/>
        <v>102735.28931751251</v>
      </c>
      <c r="BJ18" s="122">
        <f>-Debt_Calc!W16</f>
        <v>28866.174821895209</v>
      </c>
      <c r="BK18" s="122">
        <f>Debt_Calc!X16</f>
        <v>22280.625892081302</v>
      </c>
      <c r="BL18" s="86">
        <f t="shared" si="22"/>
        <v>51146.80071397651</v>
      </c>
      <c r="BM18" s="423">
        <f t="shared" si="38"/>
        <v>1.1833656052402677</v>
      </c>
      <c r="BN18" s="86">
        <f t="shared" si="39"/>
        <v>9378.5640690216533</v>
      </c>
      <c r="BO18" s="86">
        <f t="shared" si="23"/>
        <v>18201.479988029911</v>
      </c>
      <c r="BP18" s="86">
        <f t="shared" si="40"/>
        <v>9378.5640690216533</v>
      </c>
      <c r="BQ18" s="86">
        <f t="shared" si="24"/>
        <v>0</v>
      </c>
      <c r="BR18" s="86">
        <f t="shared" si="25"/>
        <v>0</v>
      </c>
      <c r="BS18" s="86">
        <f t="shared" si="10"/>
        <v>0</v>
      </c>
      <c r="BT18" s="86">
        <f t="shared" si="26"/>
        <v>-5463.3830614468679</v>
      </c>
      <c r="BU18" s="86">
        <f t="shared" si="41"/>
        <v>0</v>
      </c>
      <c r="BV18" s="214">
        <f t="shared" si="11"/>
        <v>2538.8508144560642</v>
      </c>
    </row>
    <row r="19" spans="2:74" s="86" customFormat="1" x14ac:dyDescent="0.3">
      <c r="B19" s="192">
        <f t="shared" si="27"/>
        <v>8</v>
      </c>
      <c r="C19" s="350">
        <f t="shared" si="12"/>
        <v>2029</v>
      </c>
      <c r="D19" s="351">
        <f t="shared" si="28"/>
        <v>47119</v>
      </c>
      <c r="E19" s="441">
        <f t="shared" si="28"/>
        <v>47483</v>
      </c>
      <c r="F19" s="445">
        <f>IF(AND(B19&gt;0,B19&lt;=Fruit_Inputs!$J$17),1,0)</f>
        <v>1</v>
      </c>
      <c r="G19" s="447">
        <f>IF(F19=1,Fruit_Inputs!$G$31,0)</f>
        <v>39325</v>
      </c>
      <c r="H19" s="348">
        <f>IF(AND(F18=0,F19=1),100%,IF(AND(F18=0,F19=0),100%,H18-Fruit_Inputs!$G$44))*F19</f>
        <v>0.99650000000000039</v>
      </c>
      <c r="I19" s="216">
        <f t="shared" si="29"/>
        <v>39187.362500000017</v>
      </c>
      <c r="J19" s="219">
        <f>Fruit_Inputs!$J$11</f>
        <v>0.01</v>
      </c>
      <c r="K19" s="444">
        <f>IF(B19=1,Fruit_Inputs!$R$15,K18*(1+Fruit_CashFlows!J19))*F19</f>
        <v>6.923198055355595</v>
      </c>
      <c r="L19" s="338">
        <f>IF(B19=1,Fruit_Inputs!$R$16,L18*(1+Fruit_CashFlows!J19))*F19</f>
        <v>10.426516299240673</v>
      </c>
      <c r="M19" s="122">
        <f>K19*I19*Fruit_Inputs!$J$9</f>
        <v>135650.93592725744</v>
      </c>
      <c r="N19" s="222">
        <f>L19*I19*Fruit_Inputs!$J$10</f>
        <v>204293.83691525145</v>
      </c>
      <c r="O19" s="423">
        <f t="shared" si="30"/>
        <v>0</v>
      </c>
      <c r="P19" s="122">
        <f>SUM(M19:O19)+IF(B19=Fruit_Inputs!$J$17,Fruit_Inputs!$J$19,0)</f>
        <v>339944.77284250886</v>
      </c>
      <c r="Q19" s="218">
        <f>IF(B19=1,Fruit_Inputs!$O$7,Q18*(1+Fruit_Inputs!$N$23))*F19</f>
        <v>181639.53578440248</v>
      </c>
      <c r="R19" s="122">
        <f>IF(B19=1,Fruit_Inputs!$O$8,R18*(1+Fruit_Inputs!$N$23))*F19</f>
        <v>8358.3248786550648</v>
      </c>
      <c r="S19" s="122">
        <f>IF(B19=1,Fruit_Inputs!$O$9,S18*(1+Fruit_Inputs!$N$23))*F19</f>
        <v>29677.741559211881</v>
      </c>
      <c r="T19" s="122">
        <f>IF(B19=1,Fruit_Inputs!$O$10,T18*(1+Fruit_Inputs!$N$23))*F19</f>
        <v>21319.831528972765</v>
      </c>
      <c r="U19" s="122">
        <f>IF(B19=1,Fruit_Inputs!$O$11,U18*(1+Fruit_Inputs!$N$23))*F19</f>
        <v>19768.193958488093</v>
      </c>
      <c r="V19" s="122">
        <f>IF(B19=1,Fruit_Inputs!$O$12,V18*(1+Fruit_Inputs!$N$23))*F19</f>
        <v>98.902829362222789</v>
      </c>
      <c r="W19" s="122">
        <f>IF(B19=1,Fruit_Inputs!$O$13,W18*(1+Fruit_Inputs!$N$23))*F19</f>
        <v>0</v>
      </c>
      <c r="X19" s="122">
        <f>IF(B19=1,Fruit_Inputs!$O$14,X18*(1+Fruit_Inputs!$N$23))*F19</f>
        <v>1705.6937924862461</v>
      </c>
      <c r="Y19" s="122">
        <f>IF(B19=1,Fruit_Inputs!$O$15,Y18*(1+Fruit_Inputs!$N$23))*F19</f>
        <v>1705.6937924862461</v>
      </c>
      <c r="Z19" s="122">
        <f>IF(B19=1,Fruit_Inputs!$O$16,Z18*(1+Fruit_Inputs!$N$23))*F19</f>
        <v>3840.6310480660577</v>
      </c>
      <c r="AA19" s="122">
        <f>IF(B19=1,Fruit_Inputs!$O$17,AA18*(1+Fruit_Inputs!$N$23))*F19</f>
        <v>1959.029540599975</v>
      </c>
      <c r="AB19" s="181">
        <f>IF(B19=1,Fruit_Inputs!$O$18,AB18*(1+Fruit_Inputs!$N$23))*F19</f>
        <v>0</v>
      </c>
      <c r="AC19" s="482">
        <f>IF(B19=1,Fruit_Inputs!$O$19,AC18*(1+Fruit_Inputs!$N$23))*F19</f>
        <v>0</v>
      </c>
      <c r="AD19" s="122">
        <f>IF(B19=1,Fruit_Inputs!$O$20,AD18*(1+Fruit_Inputs!$N$23))*F19</f>
        <v>0</v>
      </c>
      <c r="AE19" s="122">
        <f>IF(B19=1,Fruit_Inputs!$O$21,AE18*(1+Fruit_Inputs!$N$23))*F19</f>
        <v>0</v>
      </c>
      <c r="AF19" s="132">
        <f>IF(B19=1,Fruit_Inputs!$O$22,AF18*(1+Fruit_Inputs!$N$23))*F19</f>
        <v>0</v>
      </c>
      <c r="AG19" s="200">
        <f t="shared" si="31"/>
        <v>270073.57871273108</v>
      </c>
      <c r="AH19" s="86">
        <f t="shared" si="13"/>
        <v>69871.194129777781</v>
      </c>
      <c r="AI19" s="225">
        <f t="shared" si="14"/>
        <v>0.20553689808358377</v>
      </c>
      <c r="AJ19" s="220">
        <f>Deprec!F18</f>
        <v>11072.386150083685</v>
      </c>
      <c r="AK19" s="86">
        <f t="shared" si="15"/>
        <v>58798.807979694095</v>
      </c>
      <c r="AL19" s="455">
        <f t="shared" si="32"/>
        <v>23721.578303413637</v>
      </c>
      <c r="AM19" s="86">
        <f t="shared" si="33"/>
        <v>35077.229676280462</v>
      </c>
      <c r="AN19" s="438">
        <f>IF(AM19&lt;0,0,(AM19*Fruit_Inputs!$J$14))</f>
        <v>10523.168902884137</v>
      </c>
      <c r="AO19" s="86">
        <f t="shared" si="34"/>
        <v>24554.060773396326</v>
      </c>
      <c r="AP19" s="226">
        <f t="shared" si="16"/>
        <v>7.2229558254663442E-2</v>
      </c>
      <c r="AS19" s="196">
        <f t="shared" si="17"/>
        <v>339944.77284250886</v>
      </c>
      <c r="AT19" s="86">
        <f t="shared" si="18"/>
        <v>270073.57871273108</v>
      </c>
      <c r="AU19" s="197">
        <f t="shared" si="35"/>
        <v>69871.194129777781</v>
      </c>
      <c r="AV19" s="218">
        <f>IF(B19=0,Fruit_Inputs!$C$29,0)</f>
        <v>0</v>
      </c>
      <c r="AW19" s="198">
        <f t="shared" si="5"/>
        <v>0</v>
      </c>
      <c r="AX19" s="197">
        <f t="shared" si="6"/>
        <v>69871.194129777781</v>
      </c>
      <c r="AY19" s="184">
        <f>IF(B19=0,Fruit_Inputs!$G$15+Fruit_Inputs!$G$16,0)</f>
        <v>0</v>
      </c>
      <c r="AZ19" s="185">
        <f>IF(B19=0,Fruit_Inputs!$G$14,0)</f>
        <v>0</v>
      </c>
      <c r="BA19" s="200">
        <f t="shared" si="7"/>
        <v>0</v>
      </c>
      <c r="BB19" s="196">
        <f t="shared" si="8"/>
        <v>69871.194129777781</v>
      </c>
      <c r="BC19" s="218">
        <f>Fruit_Inputs!$G$20*AVERAGE(BR19,BS19)</f>
        <v>0</v>
      </c>
      <c r="BD19" s="200">
        <f t="shared" si="9"/>
        <v>10523.168902884137</v>
      </c>
      <c r="BE19" s="200">
        <f t="shared" si="19"/>
        <v>69871.194129777781</v>
      </c>
      <c r="BF19" s="86">
        <f t="shared" si="20"/>
        <v>59348.025226893646</v>
      </c>
      <c r="BG19" s="197">
        <f t="shared" si="21"/>
        <v>59348.025226893646</v>
      </c>
      <c r="BH19" s="86">
        <f t="shared" si="36"/>
        <v>102735.28931751251</v>
      </c>
      <c r="BI19" s="86">
        <f t="shared" si="37"/>
        <v>75310.066906949622</v>
      </c>
      <c r="BJ19" s="122">
        <f>-Debt_Calc!W17</f>
        <v>23721.578303413637</v>
      </c>
      <c r="BK19" s="122">
        <f>Debt_Calc!X17</f>
        <v>27425.222410562881</v>
      </c>
      <c r="BL19" s="86">
        <f t="shared" si="22"/>
        <v>51146.800713976518</v>
      </c>
      <c r="BM19" s="423">
        <f t="shared" si="38"/>
        <v>1.1603467743521256</v>
      </c>
      <c r="BN19" s="86">
        <f t="shared" si="39"/>
        <v>8201.2245129171279</v>
      </c>
      <c r="BO19" s="86">
        <f t="shared" si="23"/>
        <v>18724.393415801263</v>
      </c>
      <c r="BP19" s="86">
        <f t="shared" si="40"/>
        <v>8201.2245129171279</v>
      </c>
      <c r="BQ19" s="86">
        <f t="shared" si="24"/>
        <v>0</v>
      </c>
      <c r="BR19" s="86">
        <f t="shared" si="25"/>
        <v>0</v>
      </c>
      <c r="BS19" s="86">
        <f t="shared" si="10"/>
        <v>0</v>
      </c>
      <c r="BT19" s="86">
        <f t="shared" si="26"/>
        <v>2737.8414514702599</v>
      </c>
      <c r="BU19" s="86">
        <f t="shared" si="41"/>
        <v>1</v>
      </c>
      <c r="BV19" s="214">
        <f t="shared" si="11"/>
        <v>1842.0788825268455</v>
      </c>
    </row>
    <row r="20" spans="2:74" s="86" customFormat="1" x14ac:dyDescent="0.3">
      <c r="B20" s="192">
        <f t="shared" si="27"/>
        <v>9</v>
      </c>
      <c r="C20" s="350">
        <f t="shared" si="12"/>
        <v>2030</v>
      </c>
      <c r="D20" s="351">
        <f t="shared" si="28"/>
        <v>47484</v>
      </c>
      <c r="E20" s="441">
        <f t="shared" si="28"/>
        <v>47848</v>
      </c>
      <c r="F20" s="445">
        <f>IF(AND(B20&gt;0,B20&lt;=Fruit_Inputs!$J$17),1,0)</f>
        <v>1</v>
      </c>
      <c r="G20" s="447">
        <f>IF(F20=1,Fruit_Inputs!$G$31,0)</f>
        <v>39325</v>
      </c>
      <c r="H20" s="348">
        <f>IF(AND(F19=0,F20=1),100%,IF(AND(F19=0,F20=0),100%,H19-Fruit_Inputs!$G$44))*F20</f>
        <v>0.99600000000000044</v>
      </c>
      <c r="I20" s="216">
        <f t="shared" si="29"/>
        <v>39167.700000000019</v>
      </c>
      <c r="J20" s="219">
        <f>Fruit_Inputs!$J$11</f>
        <v>0.01</v>
      </c>
      <c r="K20" s="444">
        <f>IF(B20=1,Fruit_Inputs!$R$15,K19*(1+Fruit_CashFlows!J20))*F20</f>
        <v>6.9924300359091509</v>
      </c>
      <c r="L20" s="338">
        <f>IF(B20=1,Fruit_Inputs!$R$16,L19*(1+Fruit_CashFlows!J20))*F20</f>
        <v>10.53078146223308</v>
      </c>
      <c r="M20" s="122">
        <f>K20*I20*Fruit_Inputs!$J$9</f>
        <v>136938.7009587395</v>
      </c>
      <c r="N20" s="222">
        <f>L20*I20*Fruit_Inputs!$J$10</f>
        <v>206233.24453915338</v>
      </c>
      <c r="O20" s="423">
        <f t="shared" si="30"/>
        <v>0</v>
      </c>
      <c r="P20" s="122">
        <f>SUM(M20:O20)+IF(B20=Fruit_Inputs!$J$17,Fruit_Inputs!$J$19,0)</f>
        <v>343171.94549789291</v>
      </c>
      <c r="Q20" s="218">
        <f>IF(B20=1,Fruit_Inputs!$O$7,Q19*(1+Fruit_Inputs!$N$23))*F20</f>
        <v>183455.9311422465</v>
      </c>
      <c r="R20" s="122">
        <f>IF(B20=1,Fruit_Inputs!$O$8,R19*(1+Fruit_Inputs!$N$23))*F20</f>
        <v>8441.9081274416149</v>
      </c>
      <c r="S20" s="122">
        <f>IF(B20=1,Fruit_Inputs!$O$9,S19*(1+Fruit_Inputs!$N$23))*F20</f>
        <v>29974.518974803999</v>
      </c>
      <c r="T20" s="122">
        <f>IF(B20=1,Fruit_Inputs!$O$10,T19*(1+Fruit_Inputs!$N$23))*F20</f>
        <v>21533.029844262492</v>
      </c>
      <c r="U20" s="122">
        <f>IF(B20=1,Fruit_Inputs!$O$11,U19*(1+Fruit_Inputs!$N$23))*F20</f>
        <v>19965.875898072973</v>
      </c>
      <c r="V20" s="122">
        <f>IF(B20=1,Fruit_Inputs!$O$12,V19*(1+Fruit_Inputs!$N$23))*F20</f>
        <v>99.891857655845016</v>
      </c>
      <c r="W20" s="122">
        <f>IF(B20=1,Fruit_Inputs!$O$13,W19*(1+Fruit_Inputs!$N$23))*F20</f>
        <v>0</v>
      </c>
      <c r="X20" s="122">
        <f>IF(B20=1,Fruit_Inputs!$O$14,X19*(1+Fruit_Inputs!$N$23))*F20</f>
        <v>1722.7507304111086</v>
      </c>
      <c r="Y20" s="122">
        <f>IF(B20=1,Fruit_Inputs!$O$15,Y19*(1+Fruit_Inputs!$N$23))*F20</f>
        <v>1722.7507304111086</v>
      </c>
      <c r="Z20" s="122">
        <f>IF(B20=1,Fruit_Inputs!$O$16,Z19*(1+Fruit_Inputs!$N$23))*F20</f>
        <v>3879.0373585467182</v>
      </c>
      <c r="AA20" s="122">
        <f>IF(B20=1,Fruit_Inputs!$O$17,AA19*(1+Fruit_Inputs!$N$23))*F20</f>
        <v>1978.6198360059748</v>
      </c>
      <c r="AB20" s="181">
        <f>IF(B20=1,Fruit_Inputs!$O$18,AB19*(1+Fruit_Inputs!$N$23))*F20</f>
        <v>0</v>
      </c>
      <c r="AC20" s="482">
        <f>IF(B20=1,Fruit_Inputs!$O$19,AC19*(1+Fruit_Inputs!$N$23))*F20</f>
        <v>0</v>
      </c>
      <c r="AD20" s="122">
        <f>IF(B20=1,Fruit_Inputs!$O$20,AD19*(1+Fruit_Inputs!$N$23))*F20</f>
        <v>0</v>
      </c>
      <c r="AE20" s="122">
        <f>IF(B20=1,Fruit_Inputs!$O$21,AE19*(1+Fruit_Inputs!$N$23))*F20</f>
        <v>0</v>
      </c>
      <c r="AF20" s="132">
        <f>IF(B20=1,Fruit_Inputs!$O$22,AF19*(1+Fruit_Inputs!$N$23))*F20</f>
        <v>0</v>
      </c>
      <c r="AG20" s="200">
        <f t="shared" si="31"/>
        <v>272774.3144998583</v>
      </c>
      <c r="AH20" s="86">
        <f t="shared" si="13"/>
        <v>70397.630998034612</v>
      </c>
      <c r="AI20" s="225">
        <f t="shared" si="14"/>
        <v>0.20513807122519243</v>
      </c>
      <c r="AJ20" s="220">
        <f>Deprec!F19</f>
        <v>11072.386150083685</v>
      </c>
      <c r="AK20" s="86">
        <f t="shared" si="15"/>
        <v>59325.244847950926</v>
      </c>
      <c r="AL20" s="455">
        <f t="shared" si="32"/>
        <v>17389.094448814667</v>
      </c>
      <c r="AM20" s="86">
        <f t="shared" si="33"/>
        <v>41936.150399136255</v>
      </c>
      <c r="AN20" s="438">
        <f>IF(AM20&lt;0,0,(AM20*Fruit_Inputs!$J$14))</f>
        <v>12580.845119740876</v>
      </c>
      <c r="AO20" s="86">
        <f t="shared" si="34"/>
        <v>29355.305279395379</v>
      </c>
      <c r="AP20" s="226">
        <f t="shared" si="16"/>
        <v>8.5541098753877082E-2</v>
      </c>
      <c r="AS20" s="196">
        <f t="shared" si="17"/>
        <v>343171.94549789291</v>
      </c>
      <c r="AT20" s="86">
        <f t="shared" si="18"/>
        <v>272774.3144998583</v>
      </c>
      <c r="AU20" s="197">
        <f t="shared" si="35"/>
        <v>70397.630998034612</v>
      </c>
      <c r="AV20" s="218">
        <f>IF(B20=0,Fruit_Inputs!$C$29,0)</f>
        <v>0</v>
      </c>
      <c r="AW20" s="198">
        <f t="shared" si="5"/>
        <v>0</v>
      </c>
      <c r="AX20" s="197">
        <f t="shared" si="6"/>
        <v>70397.630998034612</v>
      </c>
      <c r="AY20" s="184">
        <f>IF(B20=0,Fruit_Inputs!$G$15+Fruit_Inputs!$G$16,0)</f>
        <v>0</v>
      </c>
      <c r="AZ20" s="185">
        <f>IF(B20=0,Fruit_Inputs!$G$14,0)</f>
        <v>0</v>
      </c>
      <c r="BA20" s="200">
        <f t="shared" si="7"/>
        <v>0</v>
      </c>
      <c r="BB20" s="196">
        <f t="shared" si="8"/>
        <v>70397.630998034612</v>
      </c>
      <c r="BC20" s="218">
        <f>Fruit_Inputs!$G$20*AVERAGE(BR20,BS20)</f>
        <v>0</v>
      </c>
      <c r="BD20" s="200">
        <f t="shared" si="9"/>
        <v>12580.845119740876</v>
      </c>
      <c r="BE20" s="200">
        <f t="shared" si="19"/>
        <v>70397.630998034612</v>
      </c>
      <c r="BF20" s="86">
        <f t="shared" si="20"/>
        <v>57816.78587829374</v>
      </c>
      <c r="BG20" s="197">
        <f t="shared" si="21"/>
        <v>57816.78587829374</v>
      </c>
      <c r="BH20" s="86">
        <f t="shared" si="36"/>
        <v>75310.066906949622</v>
      </c>
      <c r="BI20" s="86">
        <f t="shared" si="37"/>
        <v>41552.36064178776</v>
      </c>
      <c r="BJ20" s="122">
        <f>-Debt_Calc!W18</f>
        <v>17389.094448814667</v>
      </c>
      <c r="BK20" s="122">
        <f>Debt_Calc!X18</f>
        <v>33757.706265161862</v>
      </c>
      <c r="BL20" s="86">
        <f t="shared" si="22"/>
        <v>51146.800713976525</v>
      </c>
      <c r="BM20" s="423">
        <f t="shared" si="38"/>
        <v>1.1304086486585379</v>
      </c>
      <c r="BN20" s="86">
        <f t="shared" si="39"/>
        <v>6669.9851643172151</v>
      </c>
      <c r="BO20" s="86">
        <f t="shared" si="23"/>
        <v>19250.830284058091</v>
      </c>
      <c r="BP20" s="86">
        <f t="shared" si="40"/>
        <v>6669.9851643172151</v>
      </c>
      <c r="BQ20" s="86">
        <f t="shared" si="24"/>
        <v>0</v>
      </c>
      <c r="BR20" s="86">
        <f t="shared" si="25"/>
        <v>0</v>
      </c>
      <c r="BS20" s="86">
        <f t="shared" si="10"/>
        <v>0</v>
      </c>
      <c r="BT20" s="86">
        <f t="shared" si="26"/>
        <v>9407.826615787475</v>
      </c>
      <c r="BU20" s="86">
        <f t="shared" si="41"/>
        <v>2</v>
      </c>
      <c r="BV20" s="214">
        <f t="shared" si="11"/>
        <v>1243.0342095899318</v>
      </c>
    </row>
    <row r="21" spans="2:74" s="86" customFormat="1" x14ac:dyDescent="0.3">
      <c r="B21" s="192">
        <f t="shared" si="27"/>
        <v>10</v>
      </c>
      <c r="C21" s="350">
        <f t="shared" si="12"/>
        <v>2031</v>
      </c>
      <c r="D21" s="351">
        <f t="shared" si="28"/>
        <v>47849</v>
      </c>
      <c r="E21" s="441">
        <f t="shared" si="28"/>
        <v>48213</v>
      </c>
      <c r="F21" s="445">
        <f>IF(AND(B21&gt;0,B21&lt;=Fruit_Inputs!$J$17),1,0)</f>
        <v>1</v>
      </c>
      <c r="G21" s="447">
        <f>IF(F21=1,Fruit_Inputs!$G$31,0)</f>
        <v>39325</v>
      </c>
      <c r="H21" s="348">
        <f>IF(AND(F20=0,F21=1),100%,IF(AND(F20=0,F21=0),100%,H20-Fruit_Inputs!$G$44))*F21</f>
        <v>0.9955000000000005</v>
      </c>
      <c r="I21" s="216">
        <f t="shared" si="29"/>
        <v>39148.03750000002</v>
      </c>
      <c r="J21" s="219">
        <f>Fruit_Inputs!$J$11</f>
        <v>0.01</v>
      </c>
      <c r="K21" s="444">
        <f>IF(B21=1,Fruit_Inputs!$R$15,K20*(1+Fruit_CashFlows!J21))*F21</f>
        <v>7.0623543362682426</v>
      </c>
      <c r="L21" s="338">
        <f>IF(B21=1,Fruit_Inputs!$R$16,L20*(1+Fruit_CashFlows!J21))*F21</f>
        <v>10.63608927685541</v>
      </c>
      <c r="M21" s="122">
        <f>K21*I21*Fruit_Inputs!$J$9</f>
        <v>138238.65619725845</v>
      </c>
      <c r="N21" s="222">
        <f>L21*I21*Fruit_Inputs!$J$10</f>
        <v>208191.01093184185</v>
      </c>
      <c r="O21" s="423">
        <f t="shared" si="30"/>
        <v>0</v>
      </c>
      <c r="P21" s="122">
        <f>SUM(M21:O21)+IF(B21=Fruit_Inputs!$J$17,Fruit_Inputs!$J$19,0)</f>
        <v>346429.6671291003</v>
      </c>
      <c r="Q21" s="218">
        <f>IF(B21=1,Fruit_Inputs!$O$7,Q20*(1+Fruit_Inputs!$N$23))*F21</f>
        <v>185290.49045366896</v>
      </c>
      <c r="R21" s="122">
        <f>IF(B21=1,Fruit_Inputs!$O$8,R20*(1+Fruit_Inputs!$N$23))*F21</f>
        <v>8526.3272087160312</v>
      </c>
      <c r="S21" s="122">
        <f>IF(B21=1,Fruit_Inputs!$O$9,S20*(1+Fruit_Inputs!$N$23))*F21</f>
        <v>30274.264164552038</v>
      </c>
      <c r="T21" s="122">
        <f>IF(B21=1,Fruit_Inputs!$O$10,T20*(1+Fruit_Inputs!$N$23))*F21</f>
        <v>21748.360142705118</v>
      </c>
      <c r="U21" s="122">
        <f>IF(B21=1,Fruit_Inputs!$O$11,U20*(1+Fruit_Inputs!$N$23))*F21</f>
        <v>20165.534657053704</v>
      </c>
      <c r="V21" s="122">
        <f>IF(B21=1,Fruit_Inputs!$O$12,V20*(1+Fruit_Inputs!$N$23))*F21</f>
        <v>100.89077623240347</v>
      </c>
      <c r="W21" s="122">
        <f>IF(B21=1,Fruit_Inputs!$O$13,W20*(1+Fruit_Inputs!$N$23))*F21</f>
        <v>0</v>
      </c>
      <c r="X21" s="122">
        <f>IF(B21=1,Fruit_Inputs!$O$14,X20*(1+Fruit_Inputs!$N$23))*F21</f>
        <v>1739.9782377152198</v>
      </c>
      <c r="Y21" s="122">
        <f>IF(B21=1,Fruit_Inputs!$O$15,Y20*(1+Fruit_Inputs!$N$23))*F21</f>
        <v>1739.9782377152198</v>
      </c>
      <c r="Z21" s="122">
        <f>IF(B21=1,Fruit_Inputs!$O$16,Z20*(1+Fruit_Inputs!$N$23))*F21</f>
        <v>3917.8277321321852</v>
      </c>
      <c r="AA21" s="122">
        <f>IF(B21=1,Fruit_Inputs!$O$17,AA20*(1+Fruit_Inputs!$N$23))*F21</f>
        <v>1998.4060343660346</v>
      </c>
      <c r="AB21" s="181">
        <f>IF(B21=1,Fruit_Inputs!$O$18,AB20*(1+Fruit_Inputs!$N$23))*F21</f>
        <v>0</v>
      </c>
      <c r="AC21" s="482">
        <f>IF(B21=1,Fruit_Inputs!$O$19,AC20*(1+Fruit_Inputs!$N$23))*F21</f>
        <v>0</v>
      </c>
      <c r="AD21" s="122">
        <f>IF(B21=1,Fruit_Inputs!$O$20,AD20*(1+Fruit_Inputs!$N$23))*F21</f>
        <v>0</v>
      </c>
      <c r="AE21" s="122">
        <f>IF(B21=1,Fruit_Inputs!$O$21,AE20*(1+Fruit_Inputs!$N$23))*F21</f>
        <v>0</v>
      </c>
      <c r="AF21" s="132">
        <f>IF(B21=1,Fruit_Inputs!$O$22,AF20*(1+Fruit_Inputs!$N$23))*F21</f>
        <v>0</v>
      </c>
      <c r="AG21" s="200">
        <f t="shared" si="31"/>
        <v>275502.05764485686</v>
      </c>
      <c r="AH21" s="86">
        <f t="shared" si="13"/>
        <v>70927.60948424344</v>
      </c>
      <c r="AI21" s="225">
        <f t="shared" si="14"/>
        <v>0.20473884373710868</v>
      </c>
      <c r="AJ21" s="220">
        <f>Deprec!F20</f>
        <v>11072.386150083685</v>
      </c>
      <c r="AK21" s="86">
        <f t="shared" si="15"/>
        <v>59855.223334159753</v>
      </c>
      <c r="AL21" s="455">
        <f t="shared" si="32"/>
        <v>9594.4400721887941</v>
      </c>
      <c r="AM21" s="86">
        <f t="shared" si="33"/>
        <v>50260.783261970959</v>
      </c>
      <c r="AN21" s="438">
        <f>IF(AM21&lt;0,0,(AM21*Fruit_Inputs!$J$14))</f>
        <v>15078.234978591287</v>
      </c>
      <c r="AO21" s="86">
        <f t="shared" si="34"/>
        <v>35182.54828337967</v>
      </c>
      <c r="AP21" s="226">
        <f t="shared" si="16"/>
        <v>0.10155755012248578</v>
      </c>
      <c r="AS21" s="196">
        <f t="shared" si="17"/>
        <v>346429.6671291003</v>
      </c>
      <c r="AT21" s="86">
        <f t="shared" si="18"/>
        <v>275502.05764485686</v>
      </c>
      <c r="AU21" s="197">
        <f t="shared" si="35"/>
        <v>70927.60948424344</v>
      </c>
      <c r="AV21" s="218">
        <f>IF(B21=0,Fruit_Inputs!$C$29,0)</f>
        <v>0</v>
      </c>
      <c r="AW21" s="198">
        <f t="shared" si="5"/>
        <v>0</v>
      </c>
      <c r="AX21" s="197">
        <f t="shared" si="6"/>
        <v>70927.60948424344</v>
      </c>
      <c r="AY21" s="184">
        <f>IF(B21=0,Fruit_Inputs!$G$15+Fruit_Inputs!$G$16,0)</f>
        <v>0</v>
      </c>
      <c r="AZ21" s="185">
        <f>IF(B21=0,Fruit_Inputs!$G$14,0)</f>
        <v>0</v>
      </c>
      <c r="BA21" s="200">
        <f t="shared" si="7"/>
        <v>0</v>
      </c>
      <c r="BB21" s="196">
        <f t="shared" si="8"/>
        <v>70927.60948424344</v>
      </c>
      <c r="BC21" s="218">
        <f>Fruit_Inputs!$G$20*AVERAGE(BR21,BS21)</f>
        <v>0</v>
      </c>
      <c r="BD21" s="200">
        <f t="shared" si="9"/>
        <v>15078.234978591287</v>
      </c>
      <c r="BE21" s="200">
        <f t="shared" si="19"/>
        <v>70927.60948424344</v>
      </c>
      <c r="BF21" s="86">
        <f t="shared" si="20"/>
        <v>55849.374505652151</v>
      </c>
      <c r="BG21" s="197">
        <f t="shared" si="21"/>
        <v>55849.374505652151</v>
      </c>
      <c r="BH21" s="86">
        <f t="shared" si="36"/>
        <v>41552.36064178776</v>
      </c>
      <c r="BI21" s="86">
        <f t="shared" si="37"/>
        <v>0</v>
      </c>
      <c r="BJ21" s="122">
        <f>-Debt_Calc!W19</f>
        <v>9594.4400721887941</v>
      </c>
      <c r="BK21" s="122">
        <f>Debt_Calc!X19</f>
        <v>41552.360641787753</v>
      </c>
      <c r="BL21" s="86">
        <f t="shared" si="22"/>
        <v>51146.800713976547</v>
      </c>
      <c r="BM21" s="423">
        <f t="shared" si="38"/>
        <v>1.0919426772746426</v>
      </c>
      <c r="BN21" s="86">
        <f t="shared" si="39"/>
        <v>4702.5737916756043</v>
      </c>
      <c r="BO21" s="86">
        <f t="shared" si="23"/>
        <v>19780.808770266893</v>
      </c>
      <c r="BP21" s="86">
        <f t="shared" si="40"/>
        <v>4702.5737916756043</v>
      </c>
      <c r="BQ21" s="86">
        <f t="shared" si="24"/>
        <v>0</v>
      </c>
      <c r="BR21" s="86">
        <f t="shared" si="25"/>
        <v>0</v>
      </c>
      <c r="BS21" s="86">
        <f t="shared" si="10"/>
        <v>0</v>
      </c>
      <c r="BT21" s="86">
        <f t="shared" si="26"/>
        <v>14110.400407463079</v>
      </c>
      <c r="BU21" s="86">
        <f t="shared" si="41"/>
        <v>2</v>
      </c>
      <c r="BV21" s="214">
        <f t="shared" si="11"/>
        <v>727.14751214401451</v>
      </c>
    </row>
    <row r="22" spans="2:74" s="86" customFormat="1" x14ac:dyDescent="0.3">
      <c r="B22" s="192">
        <f t="shared" si="27"/>
        <v>11</v>
      </c>
      <c r="C22" s="350">
        <f t="shared" si="12"/>
        <v>2032</v>
      </c>
      <c r="D22" s="351">
        <f t="shared" si="28"/>
        <v>48214</v>
      </c>
      <c r="E22" s="441">
        <f t="shared" si="28"/>
        <v>48579</v>
      </c>
      <c r="F22" s="445">
        <f>IF(AND(B22&gt;0,B22&lt;=Fruit_Inputs!$J$17),1,0)</f>
        <v>1</v>
      </c>
      <c r="G22" s="447">
        <f>IF(F22=1,Fruit_Inputs!$G$31,0)</f>
        <v>39325</v>
      </c>
      <c r="H22" s="348">
        <f>IF(AND(F21=0,F22=1),100%,IF(AND(F21=0,F22=0),100%,H21-Fruit_Inputs!$G$44))*F22</f>
        <v>0.99500000000000055</v>
      </c>
      <c r="I22" s="216">
        <f t="shared" si="29"/>
        <v>39128.375000000022</v>
      </c>
      <c r="J22" s="219">
        <f>Fruit_Inputs!$J$11</f>
        <v>0.01</v>
      </c>
      <c r="K22" s="444">
        <f>IF(B22=1,Fruit_Inputs!$R$15,K21*(1+Fruit_CashFlows!J22))*F22</f>
        <v>7.1329778796309249</v>
      </c>
      <c r="L22" s="338">
        <f>IF(B22=1,Fruit_Inputs!$R$16,L21*(1+Fruit_CashFlows!J22))*F22</f>
        <v>10.742450169623964</v>
      </c>
      <c r="M22" s="122">
        <f>K22*I22*Fruit_Inputs!$J$9</f>
        <v>139550.91667045193</v>
      </c>
      <c r="N22" s="222">
        <f>L22*I22*Fruit_Inputs!$J$10</f>
        <v>210167.30932793015</v>
      </c>
      <c r="O22" s="423">
        <f t="shared" si="30"/>
        <v>0</v>
      </c>
      <c r="P22" s="122">
        <f>SUM(M22:O22)+IF(B22=Fruit_Inputs!$J$17,Fruit_Inputs!$J$19,0)</f>
        <v>349718.22599838208</v>
      </c>
      <c r="Q22" s="218">
        <f>IF(B22=1,Fruit_Inputs!$O$7,Q21*(1+Fruit_Inputs!$N$23))*F22</f>
        <v>187143.39535820566</v>
      </c>
      <c r="R22" s="122">
        <f>IF(B22=1,Fruit_Inputs!$O$8,R21*(1+Fruit_Inputs!$N$23))*F22</f>
        <v>8611.5904808031919</v>
      </c>
      <c r="S22" s="122">
        <f>IF(B22=1,Fruit_Inputs!$O$9,S21*(1+Fruit_Inputs!$N$23))*F22</f>
        <v>30577.006806197558</v>
      </c>
      <c r="T22" s="122">
        <f>IF(B22=1,Fruit_Inputs!$O$10,T21*(1+Fruit_Inputs!$N$23))*F22</f>
        <v>21965.843744132169</v>
      </c>
      <c r="U22" s="122">
        <f>IF(B22=1,Fruit_Inputs!$O$11,U21*(1+Fruit_Inputs!$N$23))*F22</f>
        <v>20367.19000362424</v>
      </c>
      <c r="V22" s="122">
        <f>IF(B22=1,Fruit_Inputs!$O$12,V21*(1+Fruit_Inputs!$N$23))*F22</f>
        <v>101.8996839947275</v>
      </c>
      <c r="W22" s="122">
        <f>IF(B22=1,Fruit_Inputs!$O$13,W21*(1+Fruit_Inputs!$N$23))*F22</f>
        <v>0</v>
      </c>
      <c r="X22" s="122">
        <f>IF(B22=1,Fruit_Inputs!$O$14,X21*(1+Fruit_Inputs!$N$23))*F22</f>
        <v>1757.378020092372</v>
      </c>
      <c r="Y22" s="122">
        <f>IF(B22=1,Fruit_Inputs!$O$15,Y21*(1+Fruit_Inputs!$N$23))*F22</f>
        <v>1757.378020092372</v>
      </c>
      <c r="Z22" s="122">
        <f>IF(B22=1,Fruit_Inputs!$O$16,Z21*(1+Fruit_Inputs!$N$23))*F22</f>
        <v>3957.006009453507</v>
      </c>
      <c r="AA22" s="122">
        <f>IF(B22=1,Fruit_Inputs!$O$17,AA21*(1+Fruit_Inputs!$N$23))*F22</f>
        <v>2018.3900947096949</v>
      </c>
      <c r="AB22" s="181">
        <f>IF(B22=1,Fruit_Inputs!$O$18,AB21*(1+Fruit_Inputs!$N$23))*F22</f>
        <v>0</v>
      </c>
      <c r="AC22" s="482">
        <f>IF(B22=1,Fruit_Inputs!$O$19,AC21*(1+Fruit_Inputs!$N$23))*F22</f>
        <v>0</v>
      </c>
      <c r="AD22" s="122">
        <f>IF(B22=1,Fruit_Inputs!$O$20,AD21*(1+Fruit_Inputs!$N$23))*F22</f>
        <v>0</v>
      </c>
      <c r="AE22" s="122">
        <f>IF(B22=1,Fruit_Inputs!$O$21,AE21*(1+Fruit_Inputs!$N$23))*F22</f>
        <v>0</v>
      </c>
      <c r="AF22" s="132">
        <f>IF(B22=1,Fruit_Inputs!$O$22,AF21*(1+Fruit_Inputs!$N$23))*F22</f>
        <v>0</v>
      </c>
      <c r="AG22" s="200">
        <f t="shared" si="31"/>
        <v>278257.07822130545</v>
      </c>
      <c r="AH22" s="86">
        <f t="shared" si="13"/>
        <v>71461.147777076636</v>
      </c>
      <c r="AI22" s="225">
        <f t="shared" si="14"/>
        <v>0.2043392150153685</v>
      </c>
      <c r="AJ22" s="220">
        <f>Deprec!F21</f>
        <v>11072.386150083685</v>
      </c>
      <c r="AK22" s="86">
        <f t="shared" si="15"/>
        <v>60388.761626992949</v>
      </c>
      <c r="AL22" s="455">
        <f t="shared" si="32"/>
        <v>0</v>
      </c>
      <c r="AM22" s="86">
        <f t="shared" si="33"/>
        <v>60388.761626992949</v>
      </c>
      <c r="AN22" s="438">
        <f>IF(AM22&lt;0,0,(AM22*Fruit_Inputs!$J$14))</f>
        <v>18116.628488097886</v>
      </c>
      <c r="AO22" s="86">
        <f t="shared" si="34"/>
        <v>42272.133138895064</v>
      </c>
      <c r="AP22" s="226">
        <f t="shared" si="16"/>
        <v>0.12087483578591249</v>
      </c>
      <c r="AS22" s="196">
        <f t="shared" si="17"/>
        <v>349718.22599838208</v>
      </c>
      <c r="AT22" s="86">
        <f t="shared" si="18"/>
        <v>278257.07822130545</v>
      </c>
      <c r="AU22" s="197">
        <f t="shared" si="35"/>
        <v>71461.147777076636</v>
      </c>
      <c r="AV22" s="218">
        <f>IF(B22=0,Fruit_Inputs!$C$29,0)</f>
        <v>0</v>
      </c>
      <c r="AW22" s="198">
        <f t="shared" si="5"/>
        <v>0</v>
      </c>
      <c r="AX22" s="197">
        <f t="shared" si="6"/>
        <v>71461.147777076636</v>
      </c>
      <c r="AY22" s="184">
        <f>IF(B22=0,Fruit_Inputs!$G$15+Fruit_Inputs!$G$16,0)</f>
        <v>0</v>
      </c>
      <c r="AZ22" s="185">
        <f>IF(B22=0,Fruit_Inputs!$G$14,0)</f>
        <v>0</v>
      </c>
      <c r="BA22" s="200">
        <f t="shared" si="7"/>
        <v>0</v>
      </c>
      <c r="BB22" s="196">
        <f t="shared" si="8"/>
        <v>71461.147777076636</v>
      </c>
      <c r="BC22" s="218">
        <f>Fruit_Inputs!$G$20*AVERAGE(BR22,BS22)</f>
        <v>0</v>
      </c>
      <c r="BD22" s="200">
        <f t="shared" si="9"/>
        <v>18116.628488097886</v>
      </c>
      <c r="BE22" s="200">
        <f t="shared" si="19"/>
        <v>71461.147777076636</v>
      </c>
      <c r="BF22" s="86">
        <f t="shared" si="20"/>
        <v>53344.51928897875</v>
      </c>
      <c r="BG22" s="197">
        <f t="shared" si="21"/>
        <v>53344.51928897875</v>
      </c>
      <c r="BH22" s="86">
        <f t="shared" si="36"/>
        <v>0</v>
      </c>
      <c r="BI22" s="86">
        <f t="shared" si="37"/>
        <v>0</v>
      </c>
      <c r="BJ22" s="122">
        <f>-Debt_Calc!W20</f>
        <v>0</v>
      </c>
      <c r="BK22" s="122">
        <f>Debt_Calc!X20</f>
        <v>0</v>
      </c>
      <c r="BL22" s="86">
        <f t="shared" si="22"/>
        <v>0</v>
      </c>
      <c r="BM22" s="423">
        <f t="shared" si="38"/>
        <v>0</v>
      </c>
      <c r="BN22" s="86">
        <f t="shared" si="39"/>
        <v>53344.51928897875</v>
      </c>
      <c r="BO22" s="86">
        <f t="shared" si="23"/>
        <v>71461.147777076636</v>
      </c>
      <c r="BP22" s="86">
        <f t="shared" si="40"/>
        <v>53344.51928897875</v>
      </c>
      <c r="BQ22" s="86">
        <f t="shared" si="24"/>
        <v>0</v>
      </c>
      <c r="BR22" s="86">
        <f t="shared" si="25"/>
        <v>0</v>
      </c>
      <c r="BS22" s="86">
        <f t="shared" si="10"/>
        <v>0</v>
      </c>
      <c r="BT22" s="86">
        <f t="shared" si="26"/>
        <v>67454.919696441822</v>
      </c>
      <c r="BU22" s="86">
        <f t="shared" si="41"/>
        <v>2</v>
      </c>
      <c r="BV22" s="214">
        <f t="shared" si="11"/>
        <v>6843.9274903045434</v>
      </c>
    </row>
    <row r="23" spans="2:74" s="86" customFormat="1" x14ac:dyDescent="0.3">
      <c r="B23" s="192">
        <f t="shared" si="27"/>
        <v>12</v>
      </c>
      <c r="C23" s="350">
        <f t="shared" si="12"/>
        <v>2033</v>
      </c>
      <c r="D23" s="351">
        <f t="shared" si="28"/>
        <v>48580</v>
      </c>
      <c r="E23" s="441">
        <f t="shared" si="28"/>
        <v>48944</v>
      </c>
      <c r="F23" s="445">
        <f>IF(AND(B23&gt;0,B23&lt;=Fruit_Inputs!$J$17),1,0)</f>
        <v>1</v>
      </c>
      <c r="G23" s="447">
        <f>IF(F23=1,Fruit_Inputs!$G$31,0)</f>
        <v>39325</v>
      </c>
      <c r="H23" s="348">
        <f>IF(AND(F22=0,F23=1),100%,IF(AND(F22=0,F23=0),100%,H22-Fruit_Inputs!$G$44))*F23</f>
        <v>0.99450000000000061</v>
      </c>
      <c r="I23" s="216">
        <f t="shared" si="29"/>
        <v>39108.712500000023</v>
      </c>
      <c r="J23" s="219">
        <f>Fruit_Inputs!$J$11</f>
        <v>0.01</v>
      </c>
      <c r="K23" s="444">
        <f>IF(B23=1,Fruit_Inputs!$R$15,K22*(1+Fruit_CashFlows!J23))*F23</f>
        <v>7.2043076584272345</v>
      </c>
      <c r="L23" s="338">
        <f>IF(B23=1,Fruit_Inputs!$R$16,L22*(1+Fruit_CashFlows!J23))*F23</f>
        <v>10.849874671320205</v>
      </c>
      <c r="M23" s="122">
        <f>K23*I23*Fruit_Inputs!$J$9</f>
        <v>140875.59848748954</v>
      </c>
      <c r="N23" s="222">
        <f>L23*I23*Fruit_Inputs!$J$10</f>
        <v>212162.31459084706</v>
      </c>
      <c r="O23" s="423">
        <f t="shared" si="30"/>
        <v>0</v>
      </c>
      <c r="P23" s="122">
        <f>SUM(M23:O23)+IF(B23=Fruit_Inputs!$J$17,Fruit_Inputs!$J$19,0)</f>
        <v>353037.91307833663</v>
      </c>
      <c r="Q23" s="218">
        <f>IF(B23=1,Fruit_Inputs!$O$7,Q22*(1+Fruit_Inputs!$N$23))*F23</f>
        <v>189014.8293117877</v>
      </c>
      <c r="R23" s="122">
        <f>IF(B23=1,Fruit_Inputs!$O$8,R22*(1+Fruit_Inputs!$N$23))*F23</f>
        <v>8697.7063856112236</v>
      </c>
      <c r="S23" s="122">
        <f>IF(B23=1,Fruit_Inputs!$O$9,S22*(1+Fruit_Inputs!$N$23))*F23</f>
        <v>30882.776874259533</v>
      </c>
      <c r="T23" s="122">
        <f>IF(B23=1,Fruit_Inputs!$O$10,T22*(1+Fruit_Inputs!$N$23))*F23</f>
        <v>22185.502181573491</v>
      </c>
      <c r="U23" s="122">
        <f>IF(B23=1,Fruit_Inputs!$O$11,U22*(1+Fruit_Inputs!$N$23))*F23</f>
        <v>20570.861903660483</v>
      </c>
      <c r="V23" s="122">
        <f>IF(B23=1,Fruit_Inputs!$O$12,V22*(1+Fruit_Inputs!$N$23))*F23</f>
        <v>102.91868083467477</v>
      </c>
      <c r="W23" s="122">
        <f>IF(B23=1,Fruit_Inputs!$O$13,W22*(1+Fruit_Inputs!$N$23))*F23</f>
        <v>0</v>
      </c>
      <c r="X23" s="122">
        <f>IF(B23=1,Fruit_Inputs!$O$14,X22*(1+Fruit_Inputs!$N$23))*F23</f>
        <v>1774.9518002932957</v>
      </c>
      <c r="Y23" s="122">
        <f>IF(B23=1,Fruit_Inputs!$O$15,Y22*(1+Fruit_Inputs!$N$23))*F23</f>
        <v>1774.9518002932957</v>
      </c>
      <c r="Z23" s="122">
        <f>IF(B23=1,Fruit_Inputs!$O$16,Z22*(1+Fruit_Inputs!$N$23))*F23</f>
        <v>3996.5760695480421</v>
      </c>
      <c r="AA23" s="122">
        <f>IF(B23=1,Fruit_Inputs!$O$17,AA22*(1+Fruit_Inputs!$N$23))*F23</f>
        <v>2038.573995656792</v>
      </c>
      <c r="AB23" s="181">
        <f>IF(B23=1,Fruit_Inputs!$O$18,AB22*(1+Fruit_Inputs!$N$23))*F23</f>
        <v>0</v>
      </c>
      <c r="AC23" s="482">
        <f>IF(B23=1,Fruit_Inputs!$O$19,AC22*(1+Fruit_Inputs!$N$23))*F23</f>
        <v>0</v>
      </c>
      <c r="AD23" s="122">
        <f>IF(B23=1,Fruit_Inputs!$O$20,AD22*(1+Fruit_Inputs!$N$23))*F23</f>
        <v>0</v>
      </c>
      <c r="AE23" s="122">
        <f>IF(B23=1,Fruit_Inputs!$O$21,AE22*(1+Fruit_Inputs!$N$23))*F23</f>
        <v>0</v>
      </c>
      <c r="AF23" s="132">
        <f>IF(B23=1,Fruit_Inputs!$O$22,AF22*(1+Fruit_Inputs!$N$23))*F23</f>
        <v>0</v>
      </c>
      <c r="AG23" s="200">
        <f t="shared" si="31"/>
        <v>281039.64900351851</v>
      </c>
      <c r="AH23" s="86">
        <f t="shared" si="13"/>
        <v>71998.264074818115</v>
      </c>
      <c r="AI23" s="225">
        <f t="shared" si="14"/>
        <v>0.20393918445479312</v>
      </c>
      <c r="AJ23" s="220">
        <f>Deprec!F22</f>
        <v>11072.386150083685</v>
      </c>
      <c r="AK23" s="86">
        <f t="shared" si="15"/>
        <v>60925.877924734428</v>
      </c>
      <c r="AL23" s="455">
        <f t="shared" si="32"/>
        <v>0</v>
      </c>
      <c r="AM23" s="86">
        <f t="shared" si="33"/>
        <v>60925.877924734428</v>
      </c>
      <c r="AN23" s="438">
        <f>IF(AM23&lt;0,0,(AM23*Fruit_Inputs!$J$14))</f>
        <v>18277.763377420328</v>
      </c>
      <c r="AO23" s="86">
        <f t="shared" si="34"/>
        <v>42648.1145473141</v>
      </c>
      <c r="AP23" s="226">
        <f t="shared" si="16"/>
        <v>0.12080321395354154</v>
      </c>
      <c r="AS23" s="196">
        <f t="shared" si="17"/>
        <v>353037.91307833663</v>
      </c>
      <c r="AT23" s="86">
        <f t="shared" si="18"/>
        <v>281039.64900351851</v>
      </c>
      <c r="AU23" s="197">
        <f t="shared" si="35"/>
        <v>71998.264074818115</v>
      </c>
      <c r="AV23" s="218">
        <f>IF(B23=0,Fruit_Inputs!$C$29,0)</f>
        <v>0</v>
      </c>
      <c r="AW23" s="198">
        <f t="shared" si="5"/>
        <v>0</v>
      </c>
      <c r="AX23" s="197">
        <f t="shared" si="6"/>
        <v>71998.264074818115</v>
      </c>
      <c r="AY23" s="184">
        <f>IF(B23=0,Fruit_Inputs!$G$15+Fruit_Inputs!$G$16,0)</f>
        <v>0</v>
      </c>
      <c r="AZ23" s="185">
        <f>IF(B23=0,Fruit_Inputs!$G$14,0)</f>
        <v>0</v>
      </c>
      <c r="BA23" s="200">
        <f t="shared" si="7"/>
        <v>0</v>
      </c>
      <c r="BB23" s="196">
        <f t="shared" si="8"/>
        <v>71998.264074818115</v>
      </c>
      <c r="BC23" s="218">
        <f>Fruit_Inputs!$G$20*AVERAGE(BR23,BS23)</f>
        <v>0</v>
      </c>
      <c r="BD23" s="200">
        <f t="shared" si="9"/>
        <v>18277.763377420328</v>
      </c>
      <c r="BE23" s="200">
        <f t="shared" si="19"/>
        <v>71998.264074818115</v>
      </c>
      <c r="BF23" s="86">
        <f t="shared" si="20"/>
        <v>53720.500697397787</v>
      </c>
      <c r="BG23" s="197">
        <f t="shared" si="21"/>
        <v>53720.500697397787</v>
      </c>
      <c r="BH23" s="86">
        <f t="shared" si="36"/>
        <v>0</v>
      </c>
      <c r="BI23" s="86">
        <f t="shared" si="37"/>
        <v>0</v>
      </c>
      <c r="BJ23" s="122">
        <f>-Debt_Calc!W21</f>
        <v>0</v>
      </c>
      <c r="BK23" s="122">
        <f>Debt_Calc!X21</f>
        <v>0</v>
      </c>
      <c r="BL23" s="86">
        <f t="shared" si="22"/>
        <v>0</v>
      </c>
      <c r="BM23" s="423">
        <f t="shared" si="38"/>
        <v>0</v>
      </c>
      <c r="BN23" s="86">
        <f t="shared" si="39"/>
        <v>53720.500697397787</v>
      </c>
      <c r="BO23" s="86">
        <f t="shared" si="23"/>
        <v>71998.264074818115</v>
      </c>
      <c r="BP23" s="86">
        <f t="shared" si="40"/>
        <v>53720.500697397787</v>
      </c>
      <c r="BQ23" s="86">
        <f t="shared" si="24"/>
        <v>0</v>
      </c>
      <c r="BR23" s="86">
        <f t="shared" si="25"/>
        <v>0</v>
      </c>
      <c r="BS23" s="86">
        <f t="shared" si="10"/>
        <v>0</v>
      </c>
      <c r="BT23" s="86">
        <f t="shared" si="26"/>
        <v>121175.42039383961</v>
      </c>
      <c r="BU23" s="86">
        <f t="shared" si="41"/>
        <v>2</v>
      </c>
      <c r="BV23" s="214">
        <f t="shared" si="11"/>
        <v>5718.5291065937308</v>
      </c>
    </row>
    <row r="24" spans="2:74" s="86" customFormat="1" x14ac:dyDescent="0.3">
      <c r="B24" s="192">
        <f t="shared" si="27"/>
        <v>13</v>
      </c>
      <c r="C24" s="350">
        <f t="shared" si="12"/>
        <v>2034</v>
      </c>
      <c r="D24" s="351">
        <f t="shared" si="28"/>
        <v>48945</v>
      </c>
      <c r="E24" s="441">
        <f t="shared" si="28"/>
        <v>49309</v>
      </c>
      <c r="F24" s="445">
        <f>IF(AND(B24&gt;0,B24&lt;=Fruit_Inputs!$J$17),1,0)</f>
        <v>1</v>
      </c>
      <c r="G24" s="447">
        <f>IF(F24=1,Fruit_Inputs!$G$31,0)</f>
        <v>39325</v>
      </c>
      <c r="H24" s="348">
        <f>IF(AND(F23=0,F24=1),100%,IF(AND(F23=0,F24=0),100%,H23-Fruit_Inputs!$G$44))*F24</f>
        <v>0.99400000000000066</v>
      </c>
      <c r="I24" s="216">
        <f t="shared" si="29"/>
        <v>39089.050000000025</v>
      </c>
      <c r="J24" s="219">
        <f>Fruit_Inputs!$J$11</f>
        <v>0.01</v>
      </c>
      <c r="K24" s="444">
        <f>IF(B24=1,Fruit_Inputs!$R$15,K23*(1+Fruit_CashFlows!J24))*F24</f>
        <v>7.2763507350115066</v>
      </c>
      <c r="L24" s="338">
        <f>IF(B24=1,Fruit_Inputs!$R$16,L23*(1+Fruit_CashFlows!J24))*F24</f>
        <v>10.958373418033407</v>
      </c>
      <c r="M24" s="122">
        <f>K24*I24*Fruit_Inputs!$J$9</f>
        <v>142212.81884920085</v>
      </c>
      <c r="N24" s="222">
        <f>L24*I24*Fruit_Inputs!$J$10</f>
        <v>214176.20322808952</v>
      </c>
      <c r="O24" s="423">
        <f t="shared" si="30"/>
        <v>0</v>
      </c>
      <c r="P24" s="122">
        <f>SUM(M24:O24)+IF(B24=Fruit_Inputs!$J$17,Fruit_Inputs!$J$19,0)</f>
        <v>356389.02207729034</v>
      </c>
      <c r="Q24" s="218">
        <f>IF(B24=1,Fruit_Inputs!$O$7,Q23*(1+Fruit_Inputs!$N$23))*F24</f>
        <v>190904.97760490558</v>
      </c>
      <c r="R24" s="122">
        <f>IF(B24=1,Fruit_Inputs!$O$8,R23*(1+Fruit_Inputs!$N$23))*F24</f>
        <v>8784.6834494673367</v>
      </c>
      <c r="S24" s="122">
        <f>IF(B24=1,Fruit_Inputs!$O$9,S23*(1+Fruit_Inputs!$N$23))*F24</f>
        <v>31191.604643002127</v>
      </c>
      <c r="T24" s="122">
        <f>IF(B24=1,Fruit_Inputs!$O$10,T23*(1+Fruit_Inputs!$N$23))*F24</f>
        <v>22407.357203389227</v>
      </c>
      <c r="U24" s="122">
        <f>IF(B24=1,Fruit_Inputs!$O$11,U23*(1+Fruit_Inputs!$N$23))*F24</f>
        <v>20776.570522697089</v>
      </c>
      <c r="V24" s="122">
        <f>IF(B24=1,Fruit_Inputs!$O$12,V23*(1+Fruit_Inputs!$N$23))*F24</f>
        <v>103.94786764302152</v>
      </c>
      <c r="W24" s="122">
        <f>IF(B24=1,Fruit_Inputs!$O$13,W23*(1+Fruit_Inputs!$N$23))*F24</f>
        <v>0</v>
      </c>
      <c r="X24" s="122">
        <f>IF(B24=1,Fruit_Inputs!$O$14,X23*(1+Fruit_Inputs!$N$23))*F24</f>
        <v>1792.7013182962287</v>
      </c>
      <c r="Y24" s="122">
        <f>IF(B24=1,Fruit_Inputs!$O$15,Y23*(1+Fruit_Inputs!$N$23))*F24</f>
        <v>1792.7013182962287</v>
      </c>
      <c r="Z24" s="122">
        <f>IF(B24=1,Fruit_Inputs!$O$16,Z23*(1+Fruit_Inputs!$N$23))*F24</f>
        <v>4036.5418302435228</v>
      </c>
      <c r="AA24" s="122">
        <f>IF(B24=1,Fruit_Inputs!$O$17,AA23*(1+Fruit_Inputs!$N$23))*F24</f>
        <v>2058.95973561336</v>
      </c>
      <c r="AB24" s="181">
        <f>IF(B24=1,Fruit_Inputs!$O$18,AB23*(1+Fruit_Inputs!$N$23))*F24</f>
        <v>0</v>
      </c>
      <c r="AC24" s="482">
        <f>IF(B24=1,Fruit_Inputs!$O$19,AC23*(1+Fruit_Inputs!$N$23))*F24</f>
        <v>0</v>
      </c>
      <c r="AD24" s="122">
        <f>IF(B24=1,Fruit_Inputs!$O$20,AD23*(1+Fruit_Inputs!$N$23))*F24</f>
        <v>0</v>
      </c>
      <c r="AE24" s="122">
        <f>IF(B24=1,Fruit_Inputs!$O$21,AE23*(1+Fruit_Inputs!$N$23))*F24</f>
        <v>0</v>
      </c>
      <c r="AF24" s="132">
        <f>IF(B24=1,Fruit_Inputs!$O$22,AF23*(1+Fruit_Inputs!$N$23))*F24</f>
        <v>0</v>
      </c>
      <c r="AG24" s="200">
        <f t="shared" si="31"/>
        <v>283850.0454935538</v>
      </c>
      <c r="AH24" s="86">
        <f t="shared" si="13"/>
        <v>72538.976583736541</v>
      </c>
      <c r="AI24" s="225">
        <f t="shared" si="14"/>
        <v>0.20353875144898531</v>
      </c>
      <c r="AJ24" s="220">
        <f>Deprec!F23</f>
        <v>11072.386150083685</v>
      </c>
      <c r="AK24" s="86">
        <f t="shared" si="15"/>
        <v>61466.590433652855</v>
      </c>
      <c r="AL24" s="455">
        <f t="shared" si="32"/>
        <v>0</v>
      </c>
      <c r="AM24" s="86">
        <f t="shared" si="33"/>
        <v>61466.590433652855</v>
      </c>
      <c r="AN24" s="438">
        <f>IF(AM24&lt;0,0,(AM24*Fruit_Inputs!$J$14))</f>
        <v>18439.977130095856</v>
      </c>
      <c r="AO24" s="86">
        <f t="shared" si="34"/>
        <v>43026.613303556995</v>
      </c>
      <c r="AP24" s="226">
        <f t="shared" si="16"/>
        <v>0.12072934528894042</v>
      </c>
      <c r="AS24" s="196">
        <f t="shared" si="17"/>
        <v>356389.02207729034</v>
      </c>
      <c r="AT24" s="86">
        <f t="shared" si="18"/>
        <v>283850.0454935538</v>
      </c>
      <c r="AU24" s="197">
        <f t="shared" si="35"/>
        <v>72538.976583736541</v>
      </c>
      <c r="AV24" s="218">
        <f>IF(B24=0,Fruit_Inputs!$C$29,0)</f>
        <v>0</v>
      </c>
      <c r="AW24" s="198">
        <f t="shared" si="5"/>
        <v>0</v>
      </c>
      <c r="AX24" s="197">
        <f t="shared" si="6"/>
        <v>72538.976583736541</v>
      </c>
      <c r="AY24" s="184">
        <f>IF(B24=0,Fruit_Inputs!$G$15+Fruit_Inputs!$G$16,0)</f>
        <v>0</v>
      </c>
      <c r="AZ24" s="185">
        <f>IF(B24=0,Fruit_Inputs!$G$14,0)</f>
        <v>0</v>
      </c>
      <c r="BA24" s="200">
        <f t="shared" si="7"/>
        <v>0</v>
      </c>
      <c r="BB24" s="196">
        <f t="shared" si="8"/>
        <v>72538.976583736541</v>
      </c>
      <c r="BC24" s="218">
        <f>Fruit_Inputs!$G$20*AVERAGE(BR24,BS24)</f>
        <v>0</v>
      </c>
      <c r="BD24" s="200">
        <f t="shared" si="9"/>
        <v>18439.977130095856</v>
      </c>
      <c r="BE24" s="200">
        <f t="shared" si="19"/>
        <v>72538.976583736541</v>
      </c>
      <c r="BF24" s="86">
        <f t="shared" si="20"/>
        <v>54098.999453640688</v>
      </c>
      <c r="BG24" s="197">
        <f t="shared" si="21"/>
        <v>54098.999453640688</v>
      </c>
      <c r="BH24" s="86">
        <f t="shared" si="36"/>
        <v>0</v>
      </c>
      <c r="BI24" s="86">
        <f t="shared" si="37"/>
        <v>0</v>
      </c>
      <c r="BJ24" s="122">
        <f>-Debt_Calc!W22</f>
        <v>0</v>
      </c>
      <c r="BK24" s="122">
        <f>Debt_Calc!X22</f>
        <v>0</v>
      </c>
      <c r="BL24" s="86">
        <f t="shared" si="22"/>
        <v>0</v>
      </c>
      <c r="BM24" s="423">
        <f t="shared" si="38"/>
        <v>0</v>
      </c>
      <c r="BN24" s="86">
        <f t="shared" si="39"/>
        <v>54098.999453640688</v>
      </c>
      <c r="BO24" s="86">
        <f t="shared" si="23"/>
        <v>72538.976583736541</v>
      </c>
      <c r="BP24" s="86">
        <f t="shared" si="40"/>
        <v>54098.999453640688</v>
      </c>
      <c r="BQ24" s="86">
        <f t="shared" si="24"/>
        <v>0</v>
      </c>
      <c r="BR24" s="86">
        <f t="shared" si="25"/>
        <v>0</v>
      </c>
      <c r="BS24" s="86">
        <f t="shared" si="10"/>
        <v>0</v>
      </c>
      <c r="BT24" s="86">
        <f t="shared" si="26"/>
        <v>175274.41984748031</v>
      </c>
      <c r="BU24" s="86">
        <f t="shared" si="41"/>
        <v>2</v>
      </c>
      <c r="BV24" s="214">
        <f t="shared" si="11"/>
        <v>4778.176714349579</v>
      </c>
    </row>
    <row r="25" spans="2:74" s="86" customFormat="1" x14ac:dyDescent="0.3">
      <c r="B25" s="192">
        <f t="shared" si="27"/>
        <v>14</v>
      </c>
      <c r="C25" s="350">
        <f t="shared" si="12"/>
        <v>2035</v>
      </c>
      <c r="D25" s="351">
        <f t="shared" si="28"/>
        <v>49310</v>
      </c>
      <c r="E25" s="441">
        <f t="shared" si="28"/>
        <v>49674</v>
      </c>
      <c r="F25" s="445">
        <f>IF(AND(B25&gt;0,B25&lt;=Fruit_Inputs!$J$17),1,0)</f>
        <v>1</v>
      </c>
      <c r="G25" s="447">
        <f>IF(F25=1,Fruit_Inputs!$G$31,0)</f>
        <v>39325</v>
      </c>
      <c r="H25" s="348">
        <f>IF(AND(F24=0,F25=1),100%,IF(AND(F24=0,F25=0),100%,H24-Fruit_Inputs!$G$44))*F25</f>
        <v>0.99350000000000072</v>
      </c>
      <c r="I25" s="216">
        <f t="shared" si="29"/>
        <v>39069.387500000026</v>
      </c>
      <c r="J25" s="219">
        <f>Fruit_Inputs!$J$11</f>
        <v>0.01</v>
      </c>
      <c r="K25" s="444">
        <f>IF(B25=1,Fruit_Inputs!$R$15,K24*(1+Fruit_CashFlows!J25))*F25</f>
        <v>7.3491142423616216</v>
      </c>
      <c r="L25" s="338">
        <f>IF(B25=1,Fruit_Inputs!$R$16,L24*(1+Fruit_CashFlows!J25))*F25</f>
        <v>11.067957152213742</v>
      </c>
      <c r="M25" s="122">
        <f>K25*I25*Fruit_Inputs!$J$9</f>
        <v>143562.69605829765</v>
      </c>
      <c r="N25" s="222">
        <f>L25*I25*Fruit_Inputs!$J$10</f>
        <v>216209.15340661773</v>
      </c>
      <c r="O25" s="423">
        <f t="shared" si="30"/>
        <v>0</v>
      </c>
      <c r="P25" s="122">
        <f>SUM(M25:O25)+IF(B25=Fruit_Inputs!$J$17,Fruit_Inputs!$J$19,0)</f>
        <v>359771.84946491534</v>
      </c>
      <c r="Q25" s="218">
        <f>IF(B25=1,Fruit_Inputs!$O$7,Q24*(1+Fruit_Inputs!$N$23))*F25</f>
        <v>192814.02738095465</v>
      </c>
      <c r="R25" s="122">
        <f>IF(B25=1,Fruit_Inputs!$O$8,R24*(1+Fruit_Inputs!$N$23))*F25</f>
        <v>8872.5302839620108</v>
      </c>
      <c r="S25" s="122">
        <f>IF(B25=1,Fruit_Inputs!$O$9,S24*(1+Fruit_Inputs!$N$23))*F25</f>
        <v>31503.520689432149</v>
      </c>
      <c r="T25" s="122">
        <f>IF(B25=1,Fruit_Inputs!$O$10,T24*(1+Fruit_Inputs!$N$23))*F25</f>
        <v>22631.430775423119</v>
      </c>
      <c r="U25" s="122">
        <f>IF(B25=1,Fruit_Inputs!$O$11,U24*(1+Fruit_Inputs!$N$23))*F25</f>
        <v>20984.336227924061</v>
      </c>
      <c r="V25" s="122">
        <f>IF(B25=1,Fruit_Inputs!$O$12,V24*(1+Fruit_Inputs!$N$23))*F25</f>
        <v>104.98734631945175</v>
      </c>
      <c r="W25" s="122">
        <f>IF(B25=1,Fruit_Inputs!$O$13,W24*(1+Fruit_Inputs!$N$23))*F25</f>
        <v>0</v>
      </c>
      <c r="X25" s="122">
        <f>IF(B25=1,Fruit_Inputs!$O$14,X24*(1+Fruit_Inputs!$N$23))*F25</f>
        <v>1810.628331479191</v>
      </c>
      <c r="Y25" s="122">
        <f>IF(B25=1,Fruit_Inputs!$O$15,Y24*(1+Fruit_Inputs!$N$23))*F25</f>
        <v>1810.628331479191</v>
      </c>
      <c r="Z25" s="122">
        <f>IF(B25=1,Fruit_Inputs!$O$16,Z24*(1+Fruit_Inputs!$N$23))*F25</f>
        <v>4076.9072485459578</v>
      </c>
      <c r="AA25" s="122">
        <f>IF(B25=1,Fruit_Inputs!$O$17,AA24*(1+Fruit_Inputs!$N$23))*F25</f>
        <v>2079.5493329694937</v>
      </c>
      <c r="AB25" s="181">
        <f>IF(B25=1,Fruit_Inputs!$O$18,AB24*(1+Fruit_Inputs!$N$23))*F25</f>
        <v>0</v>
      </c>
      <c r="AC25" s="482">
        <f>IF(B25=1,Fruit_Inputs!$O$19,AC24*(1+Fruit_Inputs!$N$23))*F25</f>
        <v>0</v>
      </c>
      <c r="AD25" s="122">
        <f>IF(B25=1,Fruit_Inputs!$O$20,AD24*(1+Fruit_Inputs!$N$23))*F25</f>
        <v>0</v>
      </c>
      <c r="AE25" s="122">
        <f>IF(B25=1,Fruit_Inputs!$O$21,AE24*(1+Fruit_Inputs!$N$23))*F25</f>
        <v>0</v>
      </c>
      <c r="AF25" s="132">
        <f>IF(B25=1,Fruit_Inputs!$O$22,AF24*(1+Fruit_Inputs!$N$23))*F25</f>
        <v>0</v>
      </c>
      <c r="AG25" s="200">
        <f t="shared" si="31"/>
        <v>286688.54594848928</v>
      </c>
      <c r="AH25" s="86">
        <f t="shared" si="13"/>
        <v>73083.303516426065</v>
      </c>
      <c r="AI25" s="225">
        <f t="shared" si="14"/>
        <v>0.20313791539032874</v>
      </c>
      <c r="AJ25" s="220">
        <f>Deprec!F24</f>
        <v>11072.386150083685</v>
      </c>
      <c r="AK25" s="86">
        <f t="shared" si="15"/>
        <v>62010.917366342379</v>
      </c>
      <c r="AL25" s="455">
        <f t="shared" si="32"/>
        <v>0</v>
      </c>
      <c r="AM25" s="86">
        <f t="shared" si="33"/>
        <v>62010.917366342379</v>
      </c>
      <c r="AN25" s="438">
        <f>IF(AM25&lt;0,0,(AM25*Fruit_Inputs!$J$14))</f>
        <v>18603.275209902713</v>
      </c>
      <c r="AO25" s="86">
        <f t="shared" si="34"/>
        <v>43407.642156439666</v>
      </c>
      <c r="AP25" s="226">
        <f t="shared" si="16"/>
        <v>0.12065324794310441</v>
      </c>
      <c r="AS25" s="196">
        <f t="shared" si="17"/>
        <v>359771.84946491534</v>
      </c>
      <c r="AT25" s="86">
        <f t="shared" si="18"/>
        <v>286688.54594848928</v>
      </c>
      <c r="AU25" s="197">
        <f t="shared" si="35"/>
        <v>73083.303516426065</v>
      </c>
      <c r="AV25" s="218">
        <f>IF(B25=0,Fruit_Inputs!$C$29,0)</f>
        <v>0</v>
      </c>
      <c r="AW25" s="198">
        <f t="shared" si="5"/>
        <v>0</v>
      </c>
      <c r="AX25" s="197">
        <f t="shared" si="6"/>
        <v>73083.303516426065</v>
      </c>
      <c r="AY25" s="184">
        <f>IF(B25=0,Fruit_Inputs!$G$15+Fruit_Inputs!$G$16,0)</f>
        <v>0</v>
      </c>
      <c r="AZ25" s="185">
        <f>IF(B25=0,Fruit_Inputs!$G$14,0)</f>
        <v>0</v>
      </c>
      <c r="BA25" s="200">
        <f t="shared" si="7"/>
        <v>0</v>
      </c>
      <c r="BB25" s="196">
        <f t="shared" si="8"/>
        <v>73083.303516426065</v>
      </c>
      <c r="BC25" s="218">
        <f>Fruit_Inputs!$G$20*AVERAGE(BR25,BS25)</f>
        <v>0</v>
      </c>
      <c r="BD25" s="200">
        <f t="shared" si="9"/>
        <v>18603.275209902713</v>
      </c>
      <c r="BE25" s="200">
        <f t="shared" si="19"/>
        <v>73083.303516426065</v>
      </c>
      <c r="BF25" s="86">
        <f t="shared" si="20"/>
        <v>54480.028306523353</v>
      </c>
      <c r="BG25" s="197">
        <f t="shared" si="21"/>
        <v>54480.028306523353</v>
      </c>
      <c r="BH25" s="86">
        <f t="shared" si="36"/>
        <v>0</v>
      </c>
      <c r="BI25" s="86">
        <f t="shared" si="37"/>
        <v>0</v>
      </c>
      <c r="BJ25" s="122">
        <f>-Debt_Calc!W23</f>
        <v>0</v>
      </c>
      <c r="BK25" s="122">
        <f>Debt_Calc!X23</f>
        <v>0</v>
      </c>
      <c r="BL25" s="86">
        <f t="shared" si="22"/>
        <v>0</v>
      </c>
      <c r="BM25" s="423">
        <f t="shared" si="38"/>
        <v>0</v>
      </c>
      <c r="BN25" s="86">
        <f t="shared" si="39"/>
        <v>54480.028306523353</v>
      </c>
      <c r="BO25" s="86">
        <f t="shared" si="23"/>
        <v>73083.303516426065</v>
      </c>
      <c r="BP25" s="86">
        <f t="shared" si="40"/>
        <v>54480.028306523353</v>
      </c>
      <c r="BQ25" s="86">
        <f t="shared" si="24"/>
        <v>0</v>
      </c>
      <c r="BR25" s="86">
        <f t="shared" si="25"/>
        <v>0</v>
      </c>
      <c r="BS25" s="86">
        <f t="shared" si="10"/>
        <v>0</v>
      </c>
      <c r="BT25" s="86">
        <f t="shared" si="26"/>
        <v>229754.44815400365</v>
      </c>
      <c r="BU25" s="86">
        <f t="shared" si="41"/>
        <v>2</v>
      </c>
      <c r="BV25" s="214">
        <f t="shared" si="11"/>
        <v>3992.4454355060993</v>
      </c>
    </row>
    <row r="26" spans="2:74" s="86" customFormat="1" x14ac:dyDescent="0.3">
      <c r="B26" s="192">
        <f t="shared" si="27"/>
        <v>15</v>
      </c>
      <c r="C26" s="350">
        <f t="shared" si="12"/>
        <v>2036</v>
      </c>
      <c r="D26" s="351">
        <f t="shared" si="28"/>
        <v>49675</v>
      </c>
      <c r="E26" s="441">
        <f t="shared" si="28"/>
        <v>50040</v>
      </c>
      <c r="F26" s="445">
        <f>IF(AND(B26&gt;0,B26&lt;=Fruit_Inputs!$J$17),1,0)</f>
        <v>1</v>
      </c>
      <c r="G26" s="447">
        <f>IF(F26=1,Fruit_Inputs!$G$31,0)</f>
        <v>39325</v>
      </c>
      <c r="H26" s="348">
        <f>IF(AND(F25=0,F26=1),100%,IF(AND(F25=0,F26=0),100%,H25-Fruit_Inputs!$G$44))*F26</f>
        <v>0.99300000000000077</v>
      </c>
      <c r="I26" s="216">
        <f t="shared" si="29"/>
        <v>39049.725000000028</v>
      </c>
      <c r="J26" s="219">
        <f>Fruit_Inputs!$J$11</f>
        <v>0.01</v>
      </c>
      <c r="K26" s="444">
        <f>IF(B26=1,Fruit_Inputs!$R$15,K25*(1+Fruit_CashFlows!J26))*F26</f>
        <v>7.4226053847852382</v>
      </c>
      <c r="L26" s="338">
        <f>IF(B26=1,Fruit_Inputs!$R$16,L25*(1+Fruit_CashFlows!J26))*F26</f>
        <v>11.178636723735879</v>
      </c>
      <c r="M26" s="122">
        <f>K26*I26*Fruit_Inputs!$J$9</f>
        <v>144925.34952969148</v>
      </c>
      <c r="N26" s="222">
        <f>L26*I26*Fruit_Inputs!$J$10</f>
        <v>218261.34496839368</v>
      </c>
      <c r="O26" s="423">
        <f t="shared" si="30"/>
        <v>0</v>
      </c>
      <c r="P26" s="122">
        <f>SUM(M26:O26)+IF(B26=Fruit_Inputs!$J$17,Fruit_Inputs!$J$19,0)</f>
        <v>363186.69449808518</v>
      </c>
      <c r="Q26" s="218">
        <f>IF(B26=1,Fruit_Inputs!$O$7,Q25*(1+Fruit_Inputs!$N$23))*F26</f>
        <v>194742.1676547642</v>
      </c>
      <c r="R26" s="122">
        <f>IF(B26=1,Fruit_Inputs!$O$8,R25*(1+Fruit_Inputs!$N$23))*F26</f>
        <v>8961.2555868016316</v>
      </c>
      <c r="S26" s="122">
        <f>IF(B26=1,Fruit_Inputs!$O$9,S25*(1+Fruit_Inputs!$N$23))*F26</f>
        <v>31818.55589632647</v>
      </c>
      <c r="T26" s="122">
        <f>IF(B26=1,Fruit_Inputs!$O$10,T25*(1+Fruit_Inputs!$N$23))*F26</f>
        <v>22857.745083177349</v>
      </c>
      <c r="U26" s="122">
        <f>IF(B26=1,Fruit_Inputs!$O$11,U25*(1+Fruit_Inputs!$N$23))*F26</f>
        <v>21194.179590203301</v>
      </c>
      <c r="V26" s="122">
        <f>IF(B26=1,Fruit_Inputs!$O$12,V25*(1+Fruit_Inputs!$N$23))*F26</f>
        <v>106.03721978264626</v>
      </c>
      <c r="W26" s="122">
        <f>IF(B26=1,Fruit_Inputs!$O$13,W25*(1+Fruit_Inputs!$N$23))*F26</f>
        <v>0</v>
      </c>
      <c r="X26" s="122">
        <f>IF(B26=1,Fruit_Inputs!$O$14,X25*(1+Fruit_Inputs!$N$23))*F26</f>
        <v>1828.7346147939829</v>
      </c>
      <c r="Y26" s="122">
        <f>IF(B26=1,Fruit_Inputs!$O$15,Y25*(1+Fruit_Inputs!$N$23))*F26</f>
        <v>1828.7346147939829</v>
      </c>
      <c r="Z26" s="122">
        <f>IF(B26=1,Fruit_Inputs!$O$16,Z25*(1+Fruit_Inputs!$N$23))*F26</f>
        <v>4117.6763210314175</v>
      </c>
      <c r="AA26" s="122">
        <f>IF(B26=1,Fruit_Inputs!$O$17,AA25*(1+Fruit_Inputs!$N$23))*F26</f>
        <v>2100.3448262991888</v>
      </c>
      <c r="AB26" s="181">
        <f>IF(B26=1,Fruit_Inputs!$O$18,AB25*(1+Fruit_Inputs!$N$23))*F26</f>
        <v>0</v>
      </c>
      <c r="AC26" s="482">
        <f>IF(B26=1,Fruit_Inputs!$O$19,AC25*(1+Fruit_Inputs!$N$23))*F26</f>
        <v>0</v>
      </c>
      <c r="AD26" s="122">
        <f>IF(B26=1,Fruit_Inputs!$O$20,AD25*(1+Fruit_Inputs!$N$23))*F26</f>
        <v>0</v>
      </c>
      <c r="AE26" s="122">
        <f>IF(B26=1,Fruit_Inputs!$O$21,AE25*(1+Fruit_Inputs!$N$23))*F26</f>
        <v>0</v>
      </c>
      <c r="AF26" s="132">
        <f>IF(B26=1,Fruit_Inputs!$O$22,AF25*(1+Fruit_Inputs!$N$23))*F26</f>
        <v>0</v>
      </c>
      <c r="AG26" s="200">
        <f t="shared" si="31"/>
        <v>289555.4314079741</v>
      </c>
      <c r="AH26" s="86">
        <f t="shared" si="13"/>
        <v>73631.263090111082</v>
      </c>
      <c r="AI26" s="225">
        <f t="shared" si="14"/>
        <v>0.20273667566998185</v>
      </c>
      <c r="AJ26" s="220">
        <f>Deprec!F25</f>
        <v>11072.386150083685</v>
      </c>
      <c r="AK26" s="86">
        <f t="shared" si="15"/>
        <v>62558.876940027396</v>
      </c>
      <c r="AL26" s="455">
        <f t="shared" si="32"/>
        <v>0</v>
      </c>
      <c r="AM26" s="86">
        <f t="shared" si="33"/>
        <v>62558.876940027396</v>
      </c>
      <c r="AN26" s="438">
        <f>IF(AM26&lt;0,0,(AM26*Fruit_Inputs!$J$14))</f>
        <v>18767.663082008217</v>
      </c>
      <c r="AO26" s="86">
        <f t="shared" si="34"/>
        <v>43791.213858019182</v>
      </c>
      <c r="AP26" s="226">
        <f t="shared" si="16"/>
        <v>0.12057493989017833</v>
      </c>
      <c r="AS26" s="196">
        <f t="shared" si="17"/>
        <v>363186.69449808518</v>
      </c>
      <c r="AT26" s="86">
        <f t="shared" si="18"/>
        <v>289555.4314079741</v>
      </c>
      <c r="AU26" s="197">
        <f t="shared" si="35"/>
        <v>73631.263090111082</v>
      </c>
      <c r="AV26" s="218">
        <f>IF(B26=0,Fruit_Inputs!$C$29,0)</f>
        <v>0</v>
      </c>
      <c r="AW26" s="198">
        <f t="shared" si="5"/>
        <v>0</v>
      </c>
      <c r="AX26" s="197">
        <f t="shared" si="6"/>
        <v>73631.263090111082</v>
      </c>
      <c r="AY26" s="184">
        <f>IF(B26=0,Fruit_Inputs!$G$15+Fruit_Inputs!$G$16,0)</f>
        <v>0</v>
      </c>
      <c r="AZ26" s="185">
        <f>IF(B26=0,Fruit_Inputs!$G$14,0)</f>
        <v>0</v>
      </c>
      <c r="BA26" s="200">
        <f t="shared" si="7"/>
        <v>0</v>
      </c>
      <c r="BB26" s="196">
        <f t="shared" si="8"/>
        <v>73631.263090111082</v>
      </c>
      <c r="BC26" s="218">
        <f>Fruit_Inputs!$G$20*AVERAGE(BR26,BS26)</f>
        <v>0</v>
      </c>
      <c r="BD26" s="200">
        <f t="shared" si="9"/>
        <v>18767.663082008217</v>
      </c>
      <c r="BE26" s="200">
        <f t="shared" si="19"/>
        <v>73631.263090111082</v>
      </c>
      <c r="BF26" s="86">
        <f t="shared" si="20"/>
        <v>54863.600008102861</v>
      </c>
      <c r="BG26" s="197">
        <f t="shared" si="21"/>
        <v>54863.600008102861</v>
      </c>
      <c r="BH26" s="86">
        <f t="shared" si="36"/>
        <v>0</v>
      </c>
      <c r="BI26" s="86">
        <f t="shared" si="37"/>
        <v>0</v>
      </c>
      <c r="BJ26" s="122">
        <f>-Debt_Calc!W24</f>
        <v>0</v>
      </c>
      <c r="BK26" s="122">
        <f>Debt_Calc!X24</f>
        <v>0</v>
      </c>
      <c r="BL26" s="86">
        <f t="shared" si="22"/>
        <v>0</v>
      </c>
      <c r="BM26" s="423">
        <f t="shared" si="38"/>
        <v>0</v>
      </c>
      <c r="BN26" s="86">
        <f t="shared" si="39"/>
        <v>54863.600008102861</v>
      </c>
      <c r="BO26" s="86">
        <f t="shared" si="23"/>
        <v>73631.263090111082</v>
      </c>
      <c r="BP26" s="86">
        <f t="shared" si="40"/>
        <v>54863.600008102861</v>
      </c>
      <c r="BQ26" s="86">
        <f t="shared" si="24"/>
        <v>0</v>
      </c>
      <c r="BR26" s="86">
        <f t="shared" si="25"/>
        <v>0</v>
      </c>
      <c r="BS26" s="86">
        <f t="shared" si="10"/>
        <v>0</v>
      </c>
      <c r="BT26" s="86">
        <f t="shared" si="26"/>
        <v>284618.04816210654</v>
      </c>
      <c r="BU26" s="86">
        <f t="shared" si="41"/>
        <v>2</v>
      </c>
      <c r="BV26" s="214">
        <f t="shared" si="11"/>
        <v>3335.9125457546215</v>
      </c>
    </row>
    <row r="27" spans="2:74" s="86" customFormat="1" x14ac:dyDescent="0.3">
      <c r="B27" s="192">
        <f t="shared" si="27"/>
        <v>16</v>
      </c>
      <c r="C27" s="350">
        <f t="shared" si="12"/>
        <v>2037</v>
      </c>
      <c r="D27" s="351">
        <f t="shared" si="28"/>
        <v>50041</v>
      </c>
      <c r="E27" s="441">
        <f t="shared" si="28"/>
        <v>50405</v>
      </c>
      <c r="F27" s="445">
        <f>IF(AND(B27&gt;0,B27&lt;=Fruit_Inputs!$J$17),1,0)</f>
        <v>1</v>
      </c>
      <c r="G27" s="447">
        <f>IF(F27=1,Fruit_Inputs!$G$31,0)</f>
        <v>39325</v>
      </c>
      <c r="H27" s="348">
        <f>IF(AND(F26=0,F27=1),100%,IF(AND(F26=0,F27=0),100%,H26-Fruit_Inputs!$G$44))*F27</f>
        <v>0.99250000000000083</v>
      </c>
      <c r="I27" s="216">
        <f t="shared" si="29"/>
        <v>39030.062500000029</v>
      </c>
      <c r="J27" s="219">
        <f>Fruit_Inputs!$J$11</f>
        <v>0.01</v>
      </c>
      <c r="K27" s="444">
        <f>IF(B27=1,Fruit_Inputs!$R$15,K26*(1+Fruit_CashFlows!J27))*F27</f>
        <v>7.496831438633091</v>
      </c>
      <c r="L27" s="338">
        <f>IF(B27=1,Fruit_Inputs!$R$16,L26*(1+Fruit_CashFlows!J27))*F27</f>
        <v>11.290423090973238</v>
      </c>
      <c r="M27" s="122">
        <f>K27*I27*Fruit_Inputs!$J$9</f>
        <v>146300.89980090733</v>
      </c>
      <c r="N27" s="222">
        <f>L27*I27*Fruit_Inputs!$J$10</f>
        <v>220332.95944606452</v>
      </c>
      <c r="O27" s="423">
        <f t="shared" si="30"/>
        <v>0</v>
      </c>
      <c r="P27" s="122">
        <f>SUM(M27:O27)+IF(B27=Fruit_Inputs!$J$17,Fruit_Inputs!$J$19,0)</f>
        <v>366633.85924697184</v>
      </c>
      <c r="Q27" s="218">
        <f>IF(B27=1,Fruit_Inputs!$O$7,Q26*(1+Fruit_Inputs!$N$23))*F27</f>
        <v>196689.58933131184</v>
      </c>
      <c r="R27" s="122">
        <f>IF(B27=1,Fruit_Inputs!$O$8,R26*(1+Fruit_Inputs!$N$23))*F27</f>
        <v>9050.8681426696476</v>
      </c>
      <c r="S27" s="122">
        <f>IF(B27=1,Fruit_Inputs!$O$9,S26*(1+Fruit_Inputs!$N$23))*F27</f>
        <v>32136.741455289735</v>
      </c>
      <c r="T27" s="122">
        <f>IF(B27=1,Fruit_Inputs!$O$10,T26*(1+Fruit_Inputs!$N$23))*F27</f>
        <v>23086.322534009123</v>
      </c>
      <c r="U27" s="122">
        <f>IF(B27=1,Fruit_Inputs!$O$11,U26*(1+Fruit_Inputs!$N$23))*F27</f>
        <v>21406.121386105333</v>
      </c>
      <c r="V27" s="122">
        <f>IF(B27=1,Fruit_Inputs!$O$12,V26*(1+Fruit_Inputs!$N$23))*F27</f>
        <v>107.09759198047273</v>
      </c>
      <c r="W27" s="122">
        <f>IF(B27=1,Fruit_Inputs!$O$13,W26*(1+Fruit_Inputs!$N$23))*F27</f>
        <v>0</v>
      </c>
      <c r="X27" s="122">
        <f>IF(B27=1,Fruit_Inputs!$O$14,X26*(1+Fruit_Inputs!$N$23))*F27</f>
        <v>1847.0219609419228</v>
      </c>
      <c r="Y27" s="122">
        <f>IF(B27=1,Fruit_Inputs!$O$15,Y26*(1+Fruit_Inputs!$N$23))*F27</f>
        <v>1847.0219609419228</v>
      </c>
      <c r="Z27" s="122">
        <f>IF(B27=1,Fruit_Inputs!$O$16,Z26*(1+Fruit_Inputs!$N$23))*F27</f>
        <v>4158.8530842417313</v>
      </c>
      <c r="AA27" s="122">
        <f>IF(B27=1,Fruit_Inputs!$O$17,AA26*(1+Fruit_Inputs!$N$23))*F27</f>
        <v>2121.3482745621804</v>
      </c>
      <c r="AB27" s="181">
        <f>IF(B27=1,Fruit_Inputs!$O$18,AB26*(1+Fruit_Inputs!$N$23))*F27</f>
        <v>0</v>
      </c>
      <c r="AC27" s="482">
        <f>IF(B27=1,Fruit_Inputs!$O$19,AC26*(1+Fruit_Inputs!$N$23))*F27</f>
        <v>0</v>
      </c>
      <c r="AD27" s="122">
        <f>IF(B27=1,Fruit_Inputs!$O$20,AD26*(1+Fruit_Inputs!$N$23))*F27</f>
        <v>0</v>
      </c>
      <c r="AE27" s="122">
        <f>IF(B27=1,Fruit_Inputs!$O$21,AE26*(1+Fruit_Inputs!$N$23))*F27</f>
        <v>0</v>
      </c>
      <c r="AF27" s="132">
        <f>IF(B27=1,Fruit_Inputs!$O$22,AF26*(1+Fruit_Inputs!$N$23))*F27</f>
        <v>0</v>
      </c>
      <c r="AG27" s="200">
        <f t="shared" si="31"/>
        <v>292450.98572205385</v>
      </c>
      <c r="AH27" s="86">
        <f t="shared" si="13"/>
        <v>74182.873524917988</v>
      </c>
      <c r="AI27" s="225">
        <f t="shared" si="14"/>
        <v>0.20233503167787603</v>
      </c>
      <c r="AJ27" s="220">
        <f>Deprec!F26</f>
        <v>11072.386150083685</v>
      </c>
      <c r="AK27" s="86">
        <f t="shared" si="15"/>
        <v>63110.487374834302</v>
      </c>
      <c r="AL27" s="455">
        <f t="shared" si="32"/>
        <v>0</v>
      </c>
      <c r="AM27" s="86">
        <f t="shared" si="33"/>
        <v>63110.487374834302</v>
      </c>
      <c r="AN27" s="438">
        <f>IF(AM27&lt;0,0,(AM27*Fruit_Inputs!$J$14))</f>
        <v>18933.14621245029</v>
      </c>
      <c r="AO27" s="86">
        <f t="shared" si="34"/>
        <v>44177.341162384007</v>
      </c>
      <c r="AP27" s="226">
        <f t="shared" si="16"/>
        <v>0.12049443892912595</v>
      </c>
      <c r="AS27" s="196">
        <f t="shared" si="17"/>
        <v>366633.85924697184</v>
      </c>
      <c r="AT27" s="86">
        <f t="shared" si="18"/>
        <v>292450.98572205385</v>
      </c>
      <c r="AU27" s="197">
        <f t="shared" si="35"/>
        <v>74182.873524917988</v>
      </c>
      <c r="AV27" s="218">
        <f>IF(B27=0,Fruit_Inputs!$C$29,0)</f>
        <v>0</v>
      </c>
      <c r="AW27" s="198">
        <f t="shared" si="5"/>
        <v>0</v>
      </c>
      <c r="AX27" s="197">
        <f t="shared" si="6"/>
        <v>74182.873524917988</v>
      </c>
      <c r="AY27" s="184">
        <f>IF(B27=0,Fruit_Inputs!$G$15+Fruit_Inputs!$G$16,0)</f>
        <v>0</v>
      </c>
      <c r="AZ27" s="185">
        <f>IF(B27=0,Fruit_Inputs!$G$14,0)</f>
        <v>0</v>
      </c>
      <c r="BA27" s="200">
        <f t="shared" si="7"/>
        <v>0</v>
      </c>
      <c r="BB27" s="196">
        <f t="shared" si="8"/>
        <v>74182.873524917988</v>
      </c>
      <c r="BC27" s="218">
        <f>Fruit_Inputs!$G$20*AVERAGE(BR27,BS27)</f>
        <v>0</v>
      </c>
      <c r="BD27" s="200">
        <f t="shared" si="9"/>
        <v>18933.14621245029</v>
      </c>
      <c r="BE27" s="200">
        <f t="shared" si="19"/>
        <v>74182.873524917988</v>
      </c>
      <c r="BF27" s="86">
        <f t="shared" si="20"/>
        <v>55249.727312467701</v>
      </c>
      <c r="BG27" s="197">
        <f t="shared" si="21"/>
        <v>55249.727312467701</v>
      </c>
      <c r="BH27" s="86">
        <f t="shared" si="36"/>
        <v>0</v>
      </c>
      <c r="BI27" s="86">
        <f t="shared" si="37"/>
        <v>0</v>
      </c>
      <c r="BJ27" s="122">
        <f>-Debt_Calc!W25</f>
        <v>0</v>
      </c>
      <c r="BK27" s="122">
        <f>Debt_Calc!X25</f>
        <v>0</v>
      </c>
      <c r="BL27" s="86">
        <f t="shared" si="22"/>
        <v>0</v>
      </c>
      <c r="BM27" s="423">
        <f t="shared" si="38"/>
        <v>0</v>
      </c>
      <c r="BN27" s="86">
        <f t="shared" si="39"/>
        <v>55249.727312467701</v>
      </c>
      <c r="BO27" s="86">
        <f t="shared" si="23"/>
        <v>74182.873524917988</v>
      </c>
      <c r="BP27" s="86">
        <f t="shared" si="40"/>
        <v>55249.727312467701</v>
      </c>
      <c r="BQ27" s="86">
        <f t="shared" si="24"/>
        <v>0</v>
      </c>
      <c r="BR27" s="86">
        <f t="shared" si="25"/>
        <v>0</v>
      </c>
      <c r="BS27" s="86">
        <f t="shared" si="10"/>
        <v>0</v>
      </c>
      <c r="BT27" s="86">
        <f t="shared" si="26"/>
        <v>339867.77547457424</v>
      </c>
      <c r="BU27" s="86">
        <f t="shared" si="41"/>
        <v>2</v>
      </c>
      <c r="BV27" s="214">
        <f t="shared" si="11"/>
        <v>2787.335104074622</v>
      </c>
    </row>
    <row r="28" spans="2:74" s="86" customFormat="1" x14ac:dyDescent="0.3">
      <c r="B28" s="192">
        <f t="shared" si="27"/>
        <v>17</v>
      </c>
      <c r="C28" s="350">
        <f t="shared" si="12"/>
        <v>2038</v>
      </c>
      <c r="D28" s="351">
        <f t="shared" si="28"/>
        <v>50406</v>
      </c>
      <c r="E28" s="441">
        <f t="shared" si="28"/>
        <v>50770</v>
      </c>
      <c r="F28" s="445">
        <f>IF(AND(B28&gt;0,B28&lt;=Fruit_Inputs!$J$17),1,0)</f>
        <v>1</v>
      </c>
      <c r="G28" s="447">
        <f>IF(F28=1,Fruit_Inputs!$G$31,0)</f>
        <v>39325</v>
      </c>
      <c r="H28" s="348">
        <f>IF(AND(F27=0,F28=1),100%,IF(AND(F27=0,F28=0),100%,H27-Fruit_Inputs!$G$44))*F28</f>
        <v>0.99200000000000088</v>
      </c>
      <c r="I28" s="216">
        <f t="shared" si="29"/>
        <v>39010.400000000038</v>
      </c>
      <c r="J28" s="219">
        <f>Fruit_Inputs!$J$11</f>
        <v>0.01</v>
      </c>
      <c r="K28" s="444">
        <f>IF(B28=1,Fruit_Inputs!$R$15,K27*(1+Fruit_CashFlows!J28))*F28</f>
        <v>7.5717997530194223</v>
      </c>
      <c r="L28" s="338">
        <f>IF(B28=1,Fruit_Inputs!$R$16,L27*(1+Fruit_CashFlows!J28))*F28</f>
        <v>11.403327321882971</v>
      </c>
      <c r="M28" s="122">
        <f>K28*I28*Fruit_Inputs!$J$9</f>
        <v>147689.46854259458</v>
      </c>
      <c r="N28" s="222">
        <f>L28*I28*Fruit_Inputs!$J$10</f>
        <v>222424.18007879195</v>
      </c>
      <c r="O28" s="423">
        <f t="shared" si="30"/>
        <v>0</v>
      </c>
      <c r="P28" s="122">
        <f>SUM(M28:O28)+IF(B28=Fruit_Inputs!$J$17,Fruit_Inputs!$J$19,0)</f>
        <v>370113.6486213865</v>
      </c>
      <c r="Q28" s="218">
        <f>IF(B28=1,Fruit_Inputs!$O$7,Q27*(1+Fruit_Inputs!$N$23))*F28</f>
        <v>198656.48522462495</v>
      </c>
      <c r="R28" s="122">
        <f>IF(B28=1,Fruit_Inputs!$O$8,R27*(1+Fruit_Inputs!$N$23))*F28</f>
        <v>9141.3768240963436</v>
      </c>
      <c r="S28" s="122">
        <f>IF(B28=1,Fruit_Inputs!$O$9,S27*(1+Fruit_Inputs!$N$23))*F28</f>
        <v>32458.108869842632</v>
      </c>
      <c r="T28" s="122">
        <f>IF(B28=1,Fruit_Inputs!$O$10,T27*(1+Fruit_Inputs!$N$23))*F28</f>
        <v>23317.185759349213</v>
      </c>
      <c r="U28" s="122">
        <f>IF(B28=1,Fruit_Inputs!$O$11,U27*(1+Fruit_Inputs!$N$23))*F28</f>
        <v>21620.182599966385</v>
      </c>
      <c r="V28" s="122">
        <f>IF(B28=1,Fruit_Inputs!$O$12,V27*(1+Fruit_Inputs!$N$23))*F28</f>
        <v>108.16856790027745</v>
      </c>
      <c r="W28" s="122">
        <f>IF(B28=1,Fruit_Inputs!$O$13,W27*(1+Fruit_Inputs!$N$23))*F28</f>
        <v>0</v>
      </c>
      <c r="X28" s="122">
        <f>IF(B28=1,Fruit_Inputs!$O$14,X27*(1+Fruit_Inputs!$N$23))*F28</f>
        <v>1865.492180551342</v>
      </c>
      <c r="Y28" s="122">
        <f>IF(B28=1,Fruit_Inputs!$O$15,Y27*(1+Fruit_Inputs!$N$23))*F28</f>
        <v>1865.492180551342</v>
      </c>
      <c r="Z28" s="122">
        <f>IF(B28=1,Fruit_Inputs!$O$16,Z27*(1+Fruit_Inputs!$N$23))*F28</f>
        <v>4200.4416150841489</v>
      </c>
      <c r="AA28" s="122">
        <f>IF(B28=1,Fruit_Inputs!$O$17,AA27*(1+Fruit_Inputs!$N$23))*F28</f>
        <v>2142.5617573078021</v>
      </c>
      <c r="AB28" s="181">
        <f>IF(B28=1,Fruit_Inputs!$O$18,AB27*(1+Fruit_Inputs!$N$23))*F28</f>
        <v>0</v>
      </c>
      <c r="AC28" s="482">
        <f>IF(B28=1,Fruit_Inputs!$O$19,AC27*(1+Fruit_Inputs!$N$23))*F28</f>
        <v>0</v>
      </c>
      <c r="AD28" s="122">
        <f>IF(B28=1,Fruit_Inputs!$O$20,AD27*(1+Fruit_Inputs!$N$23))*F28</f>
        <v>0</v>
      </c>
      <c r="AE28" s="122">
        <f>IF(B28=1,Fruit_Inputs!$O$21,AE27*(1+Fruit_Inputs!$N$23))*F28</f>
        <v>0</v>
      </c>
      <c r="AF28" s="132">
        <f>IF(B28=1,Fruit_Inputs!$O$22,AF27*(1+Fruit_Inputs!$N$23))*F28</f>
        <v>0</v>
      </c>
      <c r="AG28" s="200">
        <f t="shared" si="31"/>
        <v>295375.49557927443</v>
      </c>
      <c r="AH28" s="86">
        <f t="shared" si="13"/>
        <v>74738.15304211207</v>
      </c>
      <c r="AI28" s="225">
        <f t="shared" si="14"/>
        <v>0.20193298280271371</v>
      </c>
      <c r="AJ28" s="220">
        <f>Deprec!F27</f>
        <v>11072.386150083685</v>
      </c>
      <c r="AK28" s="86">
        <f t="shared" si="15"/>
        <v>63665.766892028383</v>
      </c>
      <c r="AL28" s="455">
        <f t="shared" si="32"/>
        <v>0</v>
      </c>
      <c r="AM28" s="86">
        <f t="shared" si="33"/>
        <v>63665.766892028383</v>
      </c>
      <c r="AN28" s="438">
        <f>IF(AM28&lt;0,0,(AM28*Fruit_Inputs!$J$14))</f>
        <v>19099.730067608514</v>
      </c>
      <c r="AO28" s="86">
        <f t="shared" si="34"/>
        <v>44566.036824419869</v>
      </c>
      <c r="AP28" s="226">
        <f t="shared" si="16"/>
        <v>0.12041176268538367</v>
      </c>
      <c r="AS28" s="196">
        <f t="shared" si="17"/>
        <v>370113.6486213865</v>
      </c>
      <c r="AT28" s="86">
        <f t="shared" si="18"/>
        <v>295375.49557927443</v>
      </c>
      <c r="AU28" s="197">
        <f t="shared" si="35"/>
        <v>74738.15304211207</v>
      </c>
      <c r="AV28" s="218">
        <f>IF(B28=0,Fruit_Inputs!$C$29,0)</f>
        <v>0</v>
      </c>
      <c r="AW28" s="198">
        <f t="shared" si="5"/>
        <v>0</v>
      </c>
      <c r="AX28" s="197">
        <f t="shared" si="6"/>
        <v>74738.15304211207</v>
      </c>
      <c r="AY28" s="184">
        <f>IF(B28=0,Fruit_Inputs!$G$15+Fruit_Inputs!$G$16,0)</f>
        <v>0</v>
      </c>
      <c r="AZ28" s="185">
        <f>IF(B28=0,Fruit_Inputs!$G$14,0)</f>
        <v>0</v>
      </c>
      <c r="BA28" s="200">
        <f t="shared" si="7"/>
        <v>0</v>
      </c>
      <c r="BB28" s="196">
        <f t="shared" si="8"/>
        <v>74738.15304211207</v>
      </c>
      <c r="BC28" s="218">
        <f>Fruit_Inputs!$G$20*AVERAGE(BR28,BS28)</f>
        <v>0</v>
      </c>
      <c r="BD28" s="200">
        <f t="shared" si="9"/>
        <v>19099.730067608514</v>
      </c>
      <c r="BE28" s="200">
        <f t="shared" si="19"/>
        <v>74738.15304211207</v>
      </c>
      <c r="BF28" s="86">
        <f t="shared" si="20"/>
        <v>55638.422974503555</v>
      </c>
      <c r="BG28" s="197">
        <f t="shared" si="21"/>
        <v>55638.422974503555</v>
      </c>
      <c r="BH28" s="86">
        <f t="shared" si="36"/>
        <v>0</v>
      </c>
      <c r="BI28" s="86">
        <f t="shared" si="37"/>
        <v>0</v>
      </c>
      <c r="BJ28" s="122">
        <f>-Debt_Calc!W26</f>
        <v>0</v>
      </c>
      <c r="BK28" s="122">
        <f>Debt_Calc!X26</f>
        <v>0</v>
      </c>
      <c r="BL28" s="86">
        <f t="shared" si="22"/>
        <v>0</v>
      </c>
      <c r="BM28" s="423">
        <f t="shared" si="38"/>
        <v>0</v>
      </c>
      <c r="BN28" s="86">
        <f t="shared" si="39"/>
        <v>55638.422974503555</v>
      </c>
      <c r="BO28" s="86">
        <f t="shared" si="23"/>
        <v>74738.15304211207</v>
      </c>
      <c r="BP28" s="86">
        <f t="shared" si="40"/>
        <v>55638.422974503555</v>
      </c>
      <c r="BQ28" s="86">
        <f t="shared" si="24"/>
        <v>0</v>
      </c>
      <c r="BR28" s="86">
        <f t="shared" si="25"/>
        <v>0</v>
      </c>
      <c r="BS28" s="86">
        <f t="shared" si="10"/>
        <v>0</v>
      </c>
      <c r="BT28" s="86">
        <f t="shared" si="26"/>
        <v>395506.19844907778</v>
      </c>
      <c r="BU28" s="86">
        <f t="shared" si="41"/>
        <v>2</v>
      </c>
      <c r="BV28" s="214">
        <f t="shared" si="11"/>
        <v>2328.9627781608715</v>
      </c>
    </row>
    <row r="29" spans="2:74" s="86" customFormat="1" x14ac:dyDescent="0.3">
      <c r="B29" s="192">
        <f t="shared" si="27"/>
        <v>18</v>
      </c>
      <c r="C29" s="350">
        <f t="shared" si="12"/>
        <v>2039</v>
      </c>
      <c r="D29" s="351">
        <f t="shared" ref="D29:E44" si="42">EDATE(D28,12)</f>
        <v>50771</v>
      </c>
      <c r="E29" s="441">
        <f t="shared" si="42"/>
        <v>51135</v>
      </c>
      <c r="F29" s="445">
        <f>IF(AND(B29&gt;0,B29&lt;=Fruit_Inputs!$J$17),1,0)</f>
        <v>1</v>
      </c>
      <c r="G29" s="447">
        <f>IF(F29=1,Fruit_Inputs!$G$31,0)</f>
        <v>39325</v>
      </c>
      <c r="H29" s="348">
        <f>IF(AND(F28=0,F29=1),100%,IF(AND(F28=0,F29=0),100%,H28-Fruit_Inputs!$G$44))*F29</f>
        <v>0.99150000000000094</v>
      </c>
      <c r="I29" s="216">
        <f t="shared" si="29"/>
        <v>38990.737500000039</v>
      </c>
      <c r="J29" s="219">
        <f>Fruit_Inputs!$J$11</f>
        <v>0.01</v>
      </c>
      <c r="K29" s="444">
        <f>IF(B29=1,Fruit_Inputs!$R$15,K28*(1+Fruit_CashFlows!J29))*F29</f>
        <v>7.6475177505496168</v>
      </c>
      <c r="L29" s="338">
        <f>IF(B29=1,Fruit_Inputs!$R$16,L28*(1+Fruit_CashFlows!J29))*F29</f>
        <v>11.517360595101801</v>
      </c>
      <c r="M29" s="122">
        <f>K29*I29*Fruit_Inputs!$J$9</f>
        <v>149091.17856913543</v>
      </c>
      <c r="N29" s="222">
        <f>L29*I29*Fruit_Inputs!$J$10</f>
        <v>224535.19182822929</v>
      </c>
      <c r="O29" s="423">
        <f t="shared" si="30"/>
        <v>0</v>
      </c>
      <c r="P29" s="122">
        <f>SUM(M29:O29)+IF(B29=Fruit_Inputs!$J$17,Fruit_Inputs!$J$19,0)</f>
        <v>373626.37039736472</v>
      </c>
      <c r="Q29" s="218">
        <f>IF(B29=1,Fruit_Inputs!$O$7,Q28*(1+Fruit_Inputs!$N$23))*F29</f>
        <v>200643.05007687121</v>
      </c>
      <c r="R29" s="122">
        <f>IF(B29=1,Fruit_Inputs!$O$8,R28*(1+Fruit_Inputs!$N$23))*F29</f>
        <v>9232.7905923373073</v>
      </c>
      <c r="S29" s="122">
        <f>IF(B29=1,Fruit_Inputs!$O$9,S28*(1+Fruit_Inputs!$N$23))*F29</f>
        <v>32782.689958541057</v>
      </c>
      <c r="T29" s="122">
        <f>IF(B29=1,Fruit_Inputs!$O$10,T28*(1+Fruit_Inputs!$N$23))*F29</f>
        <v>23550.357616942707</v>
      </c>
      <c r="U29" s="122">
        <f>IF(B29=1,Fruit_Inputs!$O$11,U28*(1+Fruit_Inputs!$N$23))*F29</f>
        <v>21836.384425966051</v>
      </c>
      <c r="V29" s="122">
        <f>IF(B29=1,Fruit_Inputs!$O$12,V28*(1+Fruit_Inputs!$N$23))*F29</f>
        <v>109.25025357928023</v>
      </c>
      <c r="W29" s="122">
        <f>IF(B29=1,Fruit_Inputs!$O$13,W28*(1+Fruit_Inputs!$N$23))*F29</f>
        <v>0</v>
      </c>
      <c r="X29" s="122">
        <f>IF(B29=1,Fruit_Inputs!$O$14,X28*(1+Fruit_Inputs!$N$23))*F29</f>
        <v>1884.1471023568554</v>
      </c>
      <c r="Y29" s="122">
        <f>IF(B29=1,Fruit_Inputs!$O$15,Y28*(1+Fruit_Inputs!$N$23))*F29</f>
        <v>1884.1471023568554</v>
      </c>
      <c r="Z29" s="122">
        <f>IF(B29=1,Fruit_Inputs!$O$16,Z28*(1+Fruit_Inputs!$N$23))*F29</f>
        <v>4242.4460312349902</v>
      </c>
      <c r="AA29" s="122">
        <f>IF(B29=1,Fruit_Inputs!$O$17,AA28*(1+Fruit_Inputs!$N$23))*F29</f>
        <v>2163.98737488088</v>
      </c>
      <c r="AB29" s="181">
        <f>IF(B29=1,Fruit_Inputs!$O$18,AB28*(1+Fruit_Inputs!$N$23))*F29</f>
        <v>0</v>
      </c>
      <c r="AC29" s="482">
        <f>IF(B29=1,Fruit_Inputs!$O$19,AC28*(1+Fruit_Inputs!$N$23))*F29</f>
        <v>0</v>
      </c>
      <c r="AD29" s="122">
        <f>IF(B29=1,Fruit_Inputs!$O$20,AD28*(1+Fruit_Inputs!$N$23))*F29</f>
        <v>0</v>
      </c>
      <c r="AE29" s="122">
        <f>IF(B29=1,Fruit_Inputs!$O$21,AE28*(1+Fruit_Inputs!$N$23))*F29</f>
        <v>0</v>
      </c>
      <c r="AF29" s="132">
        <f>IF(B29=1,Fruit_Inputs!$O$22,AF28*(1+Fruit_Inputs!$N$23))*F29</f>
        <v>0</v>
      </c>
      <c r="AG29" s="200">
        <f t="shared" si="31"/>
        <v>298329.25053506717</v>
      </c>
      <c r="AH29" s="86">
        <f t="shared" si="13"/>
        <v>75297.11986229755</v>
      </c>
      <c r="AI29" s="225">
        <f t="shared" si="14"/>
        <v>0.20153052843196381</v>
      </c>
      <c r="AJ29" s="220">
        <f>Deprec!F28</f>
        <v>11072.386150083685</v>
      </c>
      <c r="AK29" s="86">
        <f t="shared" si="15"/>
        <v>64224.733712213863</v>
      </c>
      <c r="AL29" s="455">
        <f t="shared" si="32"/>
        <v>0</v>
      </c>
      <c r="AM29" s="86">
        <f t="shared" si="33"/>
        <v>64224.733712213863</v>
      </c>
      <c r="AN29" s="438">
        <f>IF(AM29&lt;0,0,(AM29*Fruit_Inputs!$J$14))</f>
        <v>19267.420113664157</v>
      </c>
      <c r="AO29" s="86">
        <f t="shared" si="34"/>
        <v>44957.313598549707</v>
      </c>
      <c r="AP29" s="226">
        <f t="shared" si="16"/>
        <v>0.12032692861249604</v>
      </c>
      <c r="AS29" s="196">
        <f t="shared" si="17"/>
        <v>373626.37039736472</v>
      </c>
      <c r="AT29" s="86">
        <f t="shared" si="18"/>
        <v>298329.25053506717</v>
      </c>
      <c r="AU29" s="197">
        <f t="shared" si="35"/>
        <v>75297.11986229755</v>
      </c>
      <c r="AV29" s="218">
        <f>IF(B29=0,Fruit_Inputs!$C$29,0)</f>
        <v>0</v>
      </c>
      <c r="AW29" s="198">
        <f t="shared" si="5"/>
        <v>0</v>
      </c>
      <c r="AX29" s="197">
        <f t="shared" si="6"/>
        <v>75297.11986229755</v>
      </c>
      <c r="AY29" s="184">
        <f>IF(B29=0,Fruit_Inputs!$G$15+Fruit_Inputs!$G$16,0)</f>
        <v>0</v>
      </c>
      <c r="AZ29" s="185">
        <f>IF(B29=0,Fruit_Inputs!$G$14,0)</f>
        <v>0</v>
      </c>
      <c r="BA29" s="200">
        <f t="shared" si="7"/>
        <v>0</v>
      </c>
      <c r="BB29" s="196">
        <f t="shared" si="8"/>
        <v>75297.11986229755</v>
      </c>
      <c r="BC29" s="218">
        <f>Fruit_Inputs!$G$20*AVERAGE(BR29,BS29)</f>
        <v>0</v>
      </c>
      <c r="BD29" s="200">
        <f t="shared" si="9"/>
        <v>19267.420113664157</v>
      </c>
      <c r="BE29" s="200">
        <f t="shared" si="19"/>
        <v>75297.11986229755</v>
      </c>
      <c r="BF29" s="86">
        <f t="shared" si="20"/>
        <v>56029.699748633393</v>
      </c>
      <c r="BG29" s="197">
        <f t="shared" si="21"/>
        <v>56029.699748633393</v>
      </c>
      <c r="BH29" s="86">
        <f t="shared" si="36"/>
        <v>0</v>
      </c>
      <c r="BI29" s="86">
        <f t="shared" si="37"/>
        <v>0</v>
      </c>
      <c r="BJ29" s="122">
        <f>-Debt_Calc!W27</f>
        <v>0</v>
      </c>
      <c r="BK29" s="122">
        <f>Debt_Calc!X27</f>
        <v>0</v>
      </c>
      <c r="BL29" s="86">
        <f t="shared" si="22"/>
        <v>0</v>
      </c>
      <c r="BM29" s="423">
        <f t="shared" si="38"/>
        <v>0</v>
      </c>
      <c r="BN29" s="86">
        <f t="shared" si="39"/>
        <v>56029.699748633393</v>
      </c>
      <c r="BO29" s="86">
        <f t="shared" si="23"/>
        <v>75297.11986229755</v>
      </c>
      <c r="BP29" s="86">
        <f t="shared" si="40"/>
        <v>56029.699748633393</v>
      </c>
      <c r="BQ29" s="86">
        <f t="shared" si="24"/>
        <v>0</v>
      </c>
      <c r="BR29" s="86">
        <f t="shared" si="25"/>
        <v>0</v>
      </c>
      <c r="BS29" s="86">
        <f t="shared" si="10"/>
        <v>0</v>
      </c>
      <c r="BT29" s="86">
        <f t="shared" si="26"/>
        <v>451535.89819771115</v>
      </c>
      <c r="BU29" s="86">
        <f t="shared" si="41"/>
        <v>2</v>
      </c>
      <c r="BV29" s="214">
        <f t="shared" si="11"/>
        <v>1945.9636404124622</v>
      </c>
    </row>
    <row r="30" spans="2:74" s="86" customFormat="1" x14ac:dyDescent="0.3">
      <c r="B30" s="192">
        <f t="shared" si="27"/>
        <v>19</v>
      </c>
      <c r="C30" s="350">
        <f t="shared" si="12"/>
        <v>2040</v>
      </c>
      <c r="D30" s="351">
        <f t="shared" si="42"/>
        <v>51136</v>
      </c>
      <c r="E30" s="441">
        <f t="shared" si="42"/>
        <v>51501</v>
      </c>
      <c r="F30" s="445">
        <f>IF(AND(B30&gt;0,B30&lt;=Fruit_Inputs!$J$17),1,0)</f>
        <v>1</v>
      </c>
      <c r="G30" s="447">
        <f>IF(F30=1,Fruit_Inputs!$G$31,0)</f>
        <v>39325</v>
      </c>
      <c r="H30" s="348">
        <f>IF(AND(F29=0,F30=1),100%,IF(AND(F29=0,F30=0),100%,H29-Fruit_Inputs!$G$44))*F30</f>
        <v>0.99100000000000099</v>
      </c>
      <c r="I30" s="216">
        <f t="shared" si="29"/>
        <v>38971.075000000041</v>
      </c>
      <c r="J30" s="219">
        <f>Fruit_Inputs!$J$11</f>
        <v>0.01</v>
      </c>
      <c r="K30" s="444">
        <f>IF(B30=1,Fruit_Inputs!$R$15,K29*(1+Fruit_CashFlows!J30))*F30</f>
        <v>7.7239929280551127</v>
      </c>
      <c r="L30" s="338">
        <f>IF(B30=1,Fruit_Inputs!$R$16,L29*(1+Fruit_CashFlows!J30))*F30</f>
        <v>11.632534201052819</v>
      </c>
      <c r="M30" s="122">
        <f>K30*I30*Fruit_Inputs!$J$9</f>
        <v>150506.15384935285</v>
      </c>
      <c r="N30" s="222">
        <f>L30*I30*Fruit_Inputs!$J$10</f>
        <v>226666.18139464749</v>
      </c>
      <c r="O30" s="423">
        <f t="shared" si="30"/>
        <v>0</v>
      </c>
      <c r="P30" s="122">
        <f>SUM(M30:O30)+IF(B30=Fruit_Inputs!$J$17,Fruit_Inputs!$J$19,0)</f>
        <v>377172.33524400031</v>
      </c>
      <c r="Q30" s="218">
        <f>IF(B30=1,Fruit_Inputs!$O$7,Q29*(1+Fruit_Inputs!$N$23))*F30</f>
        <v>202649.48057763992</v>
      </c>
      <c r="R30" s="122">
        <f>IF(B30=1,Fruit_Inputs!$O$8,R29*(1+Fruit_Inputs!$N$23))*F30</f>
        <v>9325.118498260681</v>
      </c>
      <c r="S30" s="122">
        <f>IF(B30=1,Fruit_Inputs!$O$9,S29*(1+Fruit_Inputs!$N$23))*F30</f>
        <v>33110.516858126466</v>
      </c>
      <c r="T30" s="122">
        <f>IF(B30=1,Fruit_Inputs!$O$10,T29*(1+Fruit_Inputs!$N$23))*F30</f>
        <v>23785.861193112134</v>
      </c>
      <c r="U30" s="122">
        <f>IF(B30=1,Fruit_Inputs!$O$11,U29*(1+Fruit_Inputs!$N$23))*F30</f>
        <v>22054.748270225711</v>
      </c>
      <c r="V30" s="122">
        <f>IF(B30=1,Fruit_Inputs!$O$12,V29*(1+Fruit_Inputs!$N$23))*F30</f>
        <v>110.34275611507303</v>
      </c>
      <c r="W30" s="122">
        <f>IF(B30=1,Fruit_Inputs!$O$13,W29*(1+Fruit_Inputs!$N$23))*F30</f>
        <v>0</v>
      </c>
      <c r="X30" s="122">
        <f>IF(B30=1,Fruit_Inputs!$O$14,X29*(1+Fruit_Inputs!$N$23))*F30</f>
        <v>1902.988573380424</v>
      </c>
      <c r="Y30" s="122">
        <f>IF(B30=1,Fruit_Inputs!$O$15,Y29*(1+Fruit_Inputs!$N$23))*F30</f>
        <v>1902.988573380424</v>
      </c>
      <c r="Z30" s="122">
        <f>IF(B30=1,Fruit_Inputs!$O$16,Z29*(1+Fruit_Inputs!$N$23))*F30</f>
        <v>4284.87049154734</v>
      </c>
      <c r="AA30" s="122">
        <f>IF(B30=1,Fruit_Inputs!$O$17,AA29*(1+Fruit_Inputs!$N$23))*F30</f>
        <v>2185.6272486296889</v>
      </c>
      <c r="AB30" s="181">
        <f>IF(B30=1,Fruit_Inputs!$O$18,AB29*(1+Fruit_Inputs!$N$23))*F30</f>
        <v>0</v>
      </c>
      <c r="AC30" s="482">
        <f>IF(B30=1,Fruit_Inputs!$O$19,AC29*(1+Fruit_Inputs!$N$23))*F30</f>
        <v>0</v>
      </c>
      <c r="AD30" s="122">
        <f>IF(B30=1,Fruit_Inputs!$O$20,AD29*(1+Fruit_Inputs!$N$23))*F30</f>
        <v>0</v>
      </c>
      <c r="AE30" s="122">
        <f>IF(B30=1,Fruit_Inputs!$O$21,AE29*(1+Fruit_Inputs!$N$23))*F30</f>
        <v>0</v>
      </c>
      <c r="AF30" s="132">
        <f>IF(B30=1,Fruit_Inputs!$O$22,AF29*(1+Fruit_Inputs!$N$23))*F30</f>
        <v>0</v>
      </c>
      <c r="AG30" s="200">
        <f t="shared" si="31"/>
        <v>301312.54304041783</v>
      </c>
      <c r="AH30" s="86">
        <f t="shared" si="13"/>
        <v>75859.792203582474</v>
      </c>
      <c r="AI30" s="225">
        <f t="shared" si="14"/>
        <v>0.20112766795185882</v>
      </c>
      <c r="AJ30" s="220">
        <f>Deprec!F29</f>
        <v>11072.386150083685</v>
      </c>
      <c r="AK30" s="86">
        <f t="shared" si="15"/>
        <v>64787.406053498788</v>
      </c>
      <c r="AL30" s="455">
        <f t="shared" si="32"/>
        <v>0</v>
      </c>
      <c r="AM30" s="86">
        <f t="shared" si="33"/>
        <v>64787.406053498788</v>
      </c>
      <c r="AN30" s="438">
        <f>IF(AM30&lt;0,0,(AM30*Fruit_Inputs!$J$14))</f>
        <v>19436.221816049634</v>
      </c>
      <c r="AO30" s="86">
        <f t="shared" si="34"/>
        <v>45351.184237449153</v>
      </c>
      <c r="AP30" s="226">
        <f t="shared" si="16"/>
        <v>0.12023995399373755</v>
      </c>
      <c r="AS30" s="196">
        <f t="shared" si="17"/>
        <v>377172.33524400031</v>
      </c>
      <c r="AT30" s="86">
        <f t="shared" si="18"/>
        <v>301312.54304041783</v>
      </c>
      <c r="AU30" s="197">
        <f t="shared" si="35"/>
        <v>75859.792203582474</v>
      </c>
      <c r="AV30" s="218">
        <f>IF(B30=0,Fruit_Inputs!$C$29,0)</f>
        <v>0</v>
      </c>
      <c r="AW30" s="198">
        <f t="shared" si="5"/>
        <v>0</v>
      </c>
      <c r="AX30" s="197">
        <f t="shared" si="6"/>
        <v>75859.792203582474</v>
      </c>
      <c r="AY30" s="184">
        <f>IF(B30=0,Fruit_Inputs!$G$15+Fruit_Inputs!$G$16,0)</f>
        <v>0</v>
      </c>
      <c r="AZ30" s="185">
        <f>IF(B30=0,Fruit_Inputs!$G$14,0)</f>
        <v>0</v>
      </c>
      <c r="BA30" s="200">
        <f t="shared" si="7"/>
        <v>0</v>
      </c>
      <c r="BB30" s="196">
        <f t="shared" si="8"/>
        <v>75859.792203582474</v>
      </c>
      <c r="BC30" s="218">
        <f>Fruit_Inputs!$G$20*AVERAGE(BR30,BS30)</f>
        <v>0</v>
      </c>
      <c r="BD30" s="200">
        <f t="shared" si="9"/>
        <v>19436.221816049634</v>
      </c>
      <c r="BE30" s="200">
        <f t="shared" si="19"/>
        <v>75859.792203582474</v>
      </c>
      <c r="BF30" s="86">
        <f t="shared" si="20"/>
        <v>56423.57038753284</v>
      </c>
      <c r="BG30" s="197">
        <f t="shared" si="21"/>
        <v>56423.57038753284</v>
      </c>
      <c r="BH30" s="86">
        <f t="shared" si="36"/>
        <v>0</v>
      </c>
      <c r="BI30" s="86">
        <f t="shared" si="37"/>
        <v>0</v>
      </c>
      <c r="BJ30" s="122">
        <f>-Debt_Calc!W28</f>
        <v>0</v>
      </c>
      <c r="BK30" s="122">
        <f>Debt_Calc!X28</f>
        <v>0</v>
      </c>
      <c r="BL30" s="86">
        <f t="shared" si="22"/>
        <v>0</v>
      </c>
      <c r="BM30" s="423">
        <f t="shared" si="38"/>
        <v>0</v>
      </c>
      <c r="BN30" s="86">
        <f t="shared" si="39"/>
        <v>56423.57038753284</v>
      </c>
      <c r="BO30" s="86">
        <f t="shared" si="23"/>
        <v>75859.792203582474</v>
      </c>
      <c r="BP30" s="86">
        <f t="shared" si="40"/>
        <v>56423.57038753284</v>
      </c>
      <c r="BQ30" s="86">
        <f t="shared" si="24"/>
        <v>0</v>
      </c>
      <c r="BR30" s="86">
        <f t="shared" si="25"/>
        <v>0</v>
      </c>
      <c r="BS30" s="86">
        <f t="shared" si="10"/>
        <v>0</v>
      </c>
      <c r="BT30" s="86">
        <f t="shared" si="26"/>
        <v>507959.46858524397</v>
      </c>
      <c r="BU30" s="86">
        <f t="shared" si="41"/>
        <v>2</v>
      </c>
      <c r="BV30" s="214">
        <f t="shared" si="11"/>
        <v>1625.9443627843798</v>
      </c>
    </row>
    <row r="31" spans="2:74" s="86" customFormat="1" x14ac:dyDescent="0.3">
      <c r="B31" s="192">
        <f t="shared" si="27"/>
        <v>20</v>
      </c>
      <c r="C31" s="350">
        <f t="shared" si="12"/>
        <v>2041</v>
      </c>
      <c r="D31" s="351">
        <f t="shared" si="42"/>
        <v>51502</v>
      </c>
      <c r="E31" s="441">
        <f t="shared" si="42"/>
        <v>51866</v>
      </c>
      <c r="F31" s="445">
        <f>IF(AND(B31&gt;0,B31&lt;=Fruit_Inputs!$J$17),1,0)</f>
        <v>1</v>
      </c>
      <c r="G31" s="447">
        <f>IF(F31=1,Fruit_Inputs!$G$31,0)</f>
        <v>39325</v>
      </c>
      <c r="H31" s="348">
        <f>IF(AND(F30=0,F31=1),100%,IF(AND(F30=0,F31=0),100%,H30-Fruit_Inputs!$G$44))*F31</f>
        <v>0.99050000000000105</v>
      </c>
      <c r="I31" s="216">
        <f t="shared" si="29"/>
        <v>38951.412500000042</v>
      </c>
      <c r="J31" s="219">
        <f>Fruit_Inputs!$J$11</f>
        <v>0.01</v>
      </c>
      <c r="K31" s="444">
        <f>IF(B31=1,Fruit_Inputs!$R$15,K30*(1+Fruit_CashFlows!J31))*F31</f>
        <v>7.8012328573356635</v>
      </c>
      <c r="L31" s="338">
        <f>IF(B31=1,Fruit_Inputs!$R$16,L30*(1+Fruit_CashFlows!J31))*F31</f>
        <v>11.748859543063347</v>
      </c>
      <c r="M31" s="122">
        <f>K31*I31*Fruit_Inputs!$J$9</f>
        <v>151934.51951731771</v>
      </c>
      <c r="N31" s="222">
        <f>L31*I31*Fruit_Inputs!$J$10</f>
        <v>228817.3372332112</v>
      </c>
      <c r="O31" s="423">
        <f t="shared" si="30"/>
        <v>0</v>
      </c>
      <c r="P31" s="122">
        <f>SUM(M31:O31)+IF(B31=Fruit_Inputs!$J$17,Fruit_Inputs!$J$19,0)</f>
        <v>380751.85675052891</v>
      </c>
      <c r="Q31" s="218">
        <f>IF(B31=1,Fruit_Inputs!$O$7,Q30*(1+Fruit_Inputs!$N$23))*F31</f>
        <v>204675.97538341631</v>
      </c>
      <c r="R31" s="122">
        <f>IF(B31=1,Fruit_Inputs!$O$8,R30*(1+Fruit_Inputs!$N$23))*F31</f>
        <v>9418.369683243287</v>
      </c>
      <c r="S31" s="122">
        <f>IF(B31=1,Fruit_Inputs!$O$9,S30*(1+Fruit_Inputs!$N$23))*F31</f>
        <v>33441.62202670773</v>
      </c>
      <c r="T31" s="122">
        <f>IF(B31=1,Fruit_Inputs!$O$10,T30*(1+Fruit_Inputs!$N$23))*F31</f>
        <v>24023.719805043256</v>
      </c>
      <c r="U31" s="122">
        <f>IF(B31=1,Fruit_Inputs!$O$11,U30*(1+Fruit_Inputs!$N$23))*F31</f>
        <v>22275.29575292797</v>
      </c>
      <c r="V31" s="122">
        <f>IF(B31=1,Fruit_Inputs!$O$12,V30*(1+Fruit_Inputs!$N$23))*F31</f>
        <v>111.44618367622377</v>
      </c>
      <c r="W31" s="122">
        <f>IF(B31=1,Fruit_Inputs!$O$13,W30*(1+Fruit_Inputs!$N$23))*F31</f>
        <v>0</v>
      </c>
      <c r="X31" s="122">
        <f>IF(B31=1,Fruit_Inputs!$O$14,X30*(1+Fruit_Inputs!$N$23))*F31</f>
        <v>1922.0184591142283</v>
      </c>
      <c r="Y31" s="122">
        <f>IF(B31=1,Fruit_Inputs!$O$15,Y30*(1+Fruit_Inputs!$N$23))*F31</f>
        <v>1922.0184591142283</v>
      </c>
      <c r="Z31" s="122">
        <f>IF(B31=1,Fruit_Inputs!$O$16,Z30*(1+Fruit_Inputs!$N$23))*F31</f>
        <v>4327.7191964628137</v>
      </c>
      <c r="AA31" s="122">
        <f>IF(B31=1,Fruit_Inputs!$O$17,AA30*(1+Fruit_Inputs!$N$23))*F31</f>
        <v>2207.4835211159857</v>
      </c>
      <c r="AB31" s="181">
        <f>IF(B31=1,Fruit_Inputs!$O$18,AB30*(1+Fruit_Inputs!$N$23))*F31</f>
        <v>0</v>
      </c>
      <c r="AC31" s="482">
        <f>IF(B31=1,Fruit_Inputs!$O$19,AC30*(1+Fruit_Inputs!$N$23))*F31</f>
        <v>0</v>
      </c>
      <c r="AD31" s="122">
        <f>IF(B31=1,Fruit_Inputs!$O$20,AD30*(1+Fruit_Inputs!$N$23))*F31</f>
        <v>0</v>
      </c>
      <c r="AE31" s="122">
        <f>IF(B31=1,Fruit_Inputs!$O$21,AE30*(1+Fruit_Inputs!$N$23))*F31</f>
        <v>0</v>
      </c>
      <c r="AF31" s="132">
        <f>IF(B31=1,Fruit_Inputs!$O$22,AF30*(1+Fruit_Inputs!$N$23))*F31</f>
        <v>0</v>
      </c>
      <c r="AG31" s="200">
        <f t="shared" si="31"/>
        <v>304325.66847082204</v>
      </c>
      <c r="AH31" s="86">
        <f t="shared" si="13"/>
        <v>76426.188279706868</v>
      </c>
      <c r="AI31" s="225">
        <f t="shared" si="14"/>
        <v>0.20072440074739228</v>
      </c>
      <c r="AJ31" s="220">
        <f>Deprec!F30</f>
        <v>11072.386150083685</v>
      </c>
      <c r="AK31" s="86">
        <f t="shared" si="15"/>
        <v>65353.802129623182</v>
      </c>
      <c r="AL31" s="455">
        <f t="shared" si="32"/>
        <v>0</v>
      </c>
      <c r="AM31" s="86">
        <f t="shared" si="33"/>
        <v>65353.802129623182</v>
      </c>
      <c r="AN31" s="438">
        <f>IF(AM31&lt;0,0,(AM31*Fruit_Inputs!$J$14))</f>
        <v>19606.140638886955</v>
      </c>
      <c r="AO31" s="86">
        <f t="shared" si="34"/>
        <v>45747.661490736224</v>
      </c>
      <c r="AP31" s="226">
        <f t="shared" si="16"/>
        <v>0.12015085594371872</v>
      </c>
      <c r="AS31" s="196">
        <f t="shared" si="17"/>
        <v>380751.85675052891</v>
      </c>
      <c r="AT31" s="86">
        <f t="shared" si="18"/>
        <v>304325.66847082204</v>
      </c>
      <c r="AU31" s="197">
        <f t="shared" si="35"/>
        <v>76426.188279706868</v>
      </c>
      <c r="AV31" s="218">
        <f>IF(B31=0,Fruit_Inputs!$C$29,0)</f>
        <v>0</v>
      </c>
      <c r="AW31" s="198">
        <f t="shared" si="5"/>
        <v>0</v>
      </c>
      <c r="AX31" s="197">
        <f t="shared" si="6"/>
        <v>76426.188279706868</v>
      </c>
      <c r="AY31" s="184">
        <f>IF(B31=0,Fruit_Inputs!$G$15+Fruit_Inputs!$G$16,0)</f>
        <v>0</v>
      </c>
      <c r="AZ31" s="185">
        <f>IF(B31=0,Fruit_Inputs!$G$14,0)</f>
        <v>0</v>
      </c>
      <c r="BA31" s="200">
        <f t="shared" si="7"/>
        <v>0</v>
      </c>
      <c r="BB31" s="196">
        <f t="shared" si="8"/>
        <v>76426.188279706868</v>
      </c>
      <c r="BC31" s="218">
        <f>Fruit_Inputs!$G$20*AVERAGE(BR31,BS31)</f>
        <v>0</v>
      </c>
      <c r="BD31" s="200">
        <f t="shared" si="9"/>
        <v>19606.140638886955</v>
      </c>
      <c r="BE31" s="200">
        <f t="shared" si="19"/>
        <v>76426.188279706868</v>
      </c>
      <c r="BF31" s="86">
        <f t="shared" si="20"/>
        <v>56820.047640819917</v>
      </c>
      <c r="BG31" s="197">
        <f t="shared" si="21"/>
        <v>56820.047640819917</v>
      </c>
      <c r="BH31" s="86">
        <f t="shared" si="36"/>
        <v>0</v>
      </c>
      <c r="BI31" s="86">
        <f t="shared" si="37"/>
        <v>0</v>
      </c>
      <c r="BJ31" s="122">
        <f>-Debt_Calc!W29</f>
        <v>0</v>
      </c>
      <c r="BK31" s="122">
        <f>Debt_Calc!X29</f>
        <v>0</v>
      </c>
      <c r="BL31" s="86">
        <f t="shared" si="22"/>
        <v>0</v>
      </c>
      <c r="BM31" s="423">
        <f t="shared" si="38"/>
        <v>0</v>
      </c>
      <c r="BN31" s="86">
        <f t="shared" si="39"/>
        <v>56820.047640819917</v>
      </c>
      <c r="BO31" s="86">
        <f t="shared" si="23"/>
        <v>76426.188279706868</v>
      </c>
      <c r="BP31" s="86">
        <f t="shared" si="40"/>
        <v>56820.047640819917</v>
      </c>
      <c r="BQ31" s="86">
        <f t="shared" si="24"/>
        <v>0</v>
      </c>
      <c r="BR31" s="86">
        <f t="shared" si="25"/>
        <v>0</v>
      </c>
      <c r="BS31" s="86">
        <f t="shared" si="10"/>
        <v>0</v>
      </c>
      <c r="BT31" s="86">
        <f t="shared" si="26"/>
        <v>564779.51622606395</v>
      </c>
      <c r="BU31" s="86">
        <f t="shared" si="41"/>
        <v>2</v>
      </c>
      <c r="BV31" s="214">
        <f t="shared" si="11"/>
        <v>1358.5492918205218</v>
      </c>
    </row>
    <row r="32" spans="2:74" s="86" customFormat="1" x14ac:dyDescent="0.3">
      <c r="B32" s="192">
        <f t="shared" si="27"/>
        <v>21</v>
      </c>
      <c r="C32" s="350">
        <f t="shared" si="12"/>
        <v>2042</v>
      </c>
      <c r="D32" s="351">
        <f t="shared" si="42"/>
        <v>51867</v>
      </c>
      <c r="E32" s="441">
        <f t="shared" si="42"/>
        <v>52231</v>
      </c>
      <c r="F32" s="445">
        <f>IF(AND(B32&gt;0,B32&lt;=Fruit_Inputs!$J$17),1,0)</f>
        <v>1</v>
      </c>
      <c r="G32" s="447">
        <f>IF(F32=1,Fruit_Inputs!$G$31,0)</f>
        <v>39325</v>
      </c>
      <c r="H32" s="348">
        <f>IF(AND(F31=0,F32=1),100%,IF(AND(F31=0,F32=0),100%,H31-Fruit_Inputs!$G$44))*F32</f>
        <v>0.9900000000000011</v>
      </c>
      <c r="I32" s="216">
        <f t="shared" si="29"/>
        <v>38931.750000000044</v>
      </c>
      <c r="J32" s="219">
        <f>Fruit_Inputs!$J$11</f>
        <v>0.01</v>
      </c>
      <c r="K32" s="444">
        <f>IF(B32=1,Fruit_Inputs!$R$15,K31*(1+Fruit_CashFlows!J32))*F32</f>
        <v>7.8792451859090198</v>
      </c>
      <c r="L32" s="338">
        <f>IF(B32=1,Fruit_Inputs!$R$16,L31*(1+Fruit_CashFlows!J32))*F32</f>
        <v>11.866348138493981</v>
      </c>
      <c r="M32" s="122">
        <f>K32*I32*Fruit_Inputs!$J$9</f>
        <v>153376.40188325691</v>
      </c>
      <c r="N32" s="222">
        <f>L32*I32*Fruit_Inputs!$J$10</f>
        <v>230988.84957040678</v>
      </c>
      <c r="O32" s="423">
        <f t="shared" si="30"/>
        <v>0</v>
      </c>
      <c r="P32" s="122">
        <f>SUM(M32:O32)+IF(B32=Fruit_Inputs!$J$17,Fruit_Inputs!$J$19,0)</f>
        <v>384365.25145366369</v>
      </c>
      <c r="Q32" s="218">
        <f>IF(B32=1,Fruit_Inputs!$O$7,Q31*(1+Fruit_Inputs!$N$23))*F32</f>
        <v>206722.73513725048</v>
      </c>
      <c r="R32" s="122">
        <f>IF(B32=1,Fruit_Inputs!$O$8,R31*(1+Fruit_Inputs!$N$23))*F32</f>
        <v>9512.5533800757203</v>
      </c>
      <c r="S32" s="122">
        <f>IF(B32=1,Fruit_Inputs!$O$9,S31*(1+Fruit_Inputs!$N$23))*F32</f>
        <v>33776.038246974807</v>
      </c>
      <c r="T32" s="122">
        <f>IF(B32=1,Fruit_Inputs!$O$10,T31*(1+Fruit_Inputs!$N$23))*F32</f>
        <v>24263.957003093688</v>
      </c>
      <c r="U32" s="122">
        <f>IF(B32=1,Fruit_Inputs!$O$11,U31*(1+Fruit_Inputs!$N$23))*F32</f>
        <v>22498.048710457249</v>
      </c>
      <c r="V32" s="122">
        <f>IF(B32=1,Fruit_Inputs!$O$12,V31*(1+Fruit_Inputs!$N$23))*F32</f>
        <v>112.56064551298601</v>
      </c>
      <c r="W32" s="122">
        <f>IF(B32=1,Fruit_Inputs!$O$13,W31*(1+Fruit_Inputs!$N$23))*F32</f>
        <v>0</v>
      </c>
      <c r="X32" s="122">
        <f>IF(B32=1,Fruit_Inputs!$O$14,X31*(1+Fruit_Inputs!$N$23))*F32</f>
        <v>1941.2386437053706</v>
      </c>
      <c r="Y32" s="122">
        <f>IF(B32=1,Fruit_Inputs!$O$15,Y31*(1+Fruit_Inputs!$N$23))*F32</f>
        <v>1941.2386437053706</v>
      </c>
      <c r="Z32" s="122">
        <f>IF(B32=1,Fruit_Inputs!$O$16,Z31*(1+Fruit_Inputs!$N$23))*F32</f>
        <v>4370.9963884274421</v>
      </c>
      <c r="AA32" s="122">
        <f>IF(B32=1,Fruit_Inputs!$O$17,AA31*(1+Fruit_Inputs!$N$23))*F32</f>
        <v>2229.5583563271457</v>
      </c>
      <c r="AB32" s="181">
        <f>IF(B32=1,Fruit_Inputs!$O$18,AB31*(1+Fruit_Inputs!$N$23))*F32</f>
        <v>0</v>
      </c>
      <c r="AC32" s="482">
        <f>IF(B32=1,Fruit_Inputs!$O$19,AC31*(1+Fruit_Inputs!$N$23))*F32</f>
        <v>0</v>
      </c>
      <c r="AD32" s="122">
        <f>IF(B32=1,Fruit_Inputs!$O$20,AD31*(1+Fruit_Inputs!$N$23))*F32</f>
        <v>0</v>
      </c>
      <c r="AE32" s="122">
        <f>IF(B32=1,Fruit_Inputs!$O$21,AE31*(1+Fruit_Inputs!$N$23))*F32</f>
        <v>0</v>
      </c>
      <c r="AF32" s="132">
        <f>IF(B32=1,Fruit_Inputs!$O$22,AF31*(1+Fruit_Inputs!$N$23))*F32</f>
        <v>0</v>
      </c>
      <c r="AG32" s="200">
        <f t="shared" si="31"/>
        <v>307368.92515553028</v>
      </c>
      <c r="AH32" s="86">
        <f t="shared" si="13"/>
        <v>76996.326298133412</v>
      </c>
      <c r="AI32" s="225">
        <f t="shared" si="14"/>
        <v>0.20032072620231522</v>
      </c>
      <c r="AJ32" s="220">
        <f>Deprec!F31</f>
        <v>11072.386150083685</v>
      </c>
      <c r="AK32" s="86">
        <f t="shared" si="15"/>
        <v>65923.940148049733</v>
      </c>
      <c r="AL32" s="455">
        <f t="shared" si="32"/>
        <v>0</v>
      </c>
      <c r="AM32" s="86">
        <f t="shared" si="33"/>
        <v>65923.940148049733</v>
      </c>
      <c r="AN32" s="438">
        <f>IF(AM32&lt;0,0,(AM32*Fruit_Inputs!$J$14))</f>
        <v>19777.18204441492</v>
      </c>
      <c r="AO32" s="86">
        <f t="shared" si="34"/>
        <v>46146.758103634813</v>
      </c>
      <c r="AP32" s="226">
        <f t="shared" si="16"/>
        <v>0.12005965140997647</v>
      </c>
      <c r="AS32" s="196">
        <f t="shared" si="17"/>
        <v>384365.25145366369</v>
      </c>
      <c r="AT32" s="86">
        <f t="shared" si="18"/>
        <v>307368.92515553028</v>
      </c>
      <c r="AU32" s="197">
        <f t="shared" si="35"/>
        <v>76996.326298133412</v>
      </c>
      <c r="AV32" s="218">
        <f>IF(B32=0,Fruit_Inputs!$C$29,0)</f>
        <v>0</v>
      </c>
      <c r="AW32" s="198">
        <f t="shared" si="5"/>
        <v>0</v>
      </c>
      <c r="AX32" s="197">
        <f t="shared" si="6"/>
        <v>76996.326298133412</v>
      </c>
      <c r="AY32" s="184">
        <f>IF(B32=0,Fruit_Inputs!$G$15+Fruit_Inputs!$G$16,0)</f>
        <v>0</v>
      </c>
      <c r="AZ32" s="185">
        <f>IF(B32=0,Fruit_Inputs!$G$14,0)</f>
        <v>0</v>
      </c>
      <c r="BA32" s="200">
        <f t="shared" si="7"/>
        <v>0</v>
      </c>
      <c r="BB32" s="196">
        <f t="shared" si="8"/>
        <v>76996.326298133412</v>
      </c>
      <c r="BC32" s="218">
        <f>Fruit_Inputs!$G$20*AVERAGE(BR32,BS32)</f>
        <v>0</v>
      </c>
      <c r="BD32" s="200">
        <f t="shared" si="9"/>
        <v>19777.18204441492</v>
      </c>
      <c r="BE32" s="200">
        <f t="shared" si="19"/>
        <v>76996.326298133412</v>
      </c>
      <c r="BF32" s="86">
        <f t="shared" si="20"/>
        <v>57219.144253718492</v>
      </c>
      <c r="BG32" s="197">
        <f t="shared" si="21"/>
        <v>57219.144253718492</v>
      </c>
      <c r="BH32" s="86">
        <f t="shared" si="36"/>
        <v>0</v>
      </c>
      <c r="BI32" s="86">
        <f t="shared" si="37"/>
        <v>0</v>
      </c>
      <c r="BJ32" s="122">
        <f>-Debt_Calc!W30</f>
        <v>0</v>
      </c>
      <c r="BK32" s="122">
        <f>Debt_Calc!X30</f>
        <v>0</v>
      </c>
      <c r="BL32" s="86">
        <f t="shared" si="22"/>
        <v>0</v>
      </c>
      <c r="BM32" s="423">
        <f t="shared" si="38"/>
        <v>0</v>
      </c>
      <c r="BN32" s="86">
        <f t="shared" si="39"/>
        <v>57219.144253718492</v>
      </c>
      <c r="BO32" s="86">
        <f t="shared" si="23"/>
        <v>76996.326298133412</v>
      </c>
      <c r="BP32" s="86">
        <f t="shared" si="40"/>
        <v>57219.144253718492</v>
      </c>
      <c r="BQ32" s="86">
        <f t="shared" si="24"/>
        <v>0</v>
      </c>
      <c r="BR32" s="86">
        <f t="shared" si="25"/>
        <v>0</v>
      </c>
      <c r="BS32" s="86">
        <f t="shared" si="10"/>
        <v>0</v>
      </c>
      <c r="BT32" s="86">
        <f t="shared" si="26"/>
        <v>621998.66047978238</v>
      </c>
      <c r="BU32" s="86">
        <f t="shared" si="41"/>
        <v>2</v>
      </c>
      <c r="BV32" s="214">
        <f t="shared" si="11"/>
        <v>1135.1254363231803</v>
      </c>
    </row>
    <row r="33" spans="2:93" s="86" customFormat="1" x14ac:dyDescent="0.3">
      <c r="B33" s="192">
        <f t="shared" si="27"/>
        <v>22</v>
      </c>
      <c r="C33" s="350">
        <f t="shared" si="12"/>
        <v>2043</v>
      </c>
      <c r="D33" s="351">
        <f t="shared" si="42"/>
        <v>52232</v>
      </c>
      <c r="E33" s="441">
        <f t="shared" si="42"/>
        <v>52596</v>
      </c>
      <c r="F33" s="445">
        <f>IF(AND(B33&gt;0,B33&lt;=Fruit_Inputs!$J$17),1,0)</f>
        <v>1</v>
      </c>
      <c r="G33" s="447">
        <f>IF(F33=1,Fruit_Inputs!$G$31,0)</f>
        <v>39325</v>
      </c>
      <c r="H33" s="348">
        <f>IF(AND(F32=0,F33=1),100%,IF(AND(F32=0,F33=0),100%,H32-Fruit_Inputs!$G$44))*F33</f>
        <v>0.98950000000000116</v>
      </c>
      <c r="I33" s="216">
        <f t="shared" si="29"/>
        <v>38912.087500000045</v>
      </c>
      <c r="J33" s="219">
        <f>Fruit_Inputs!$J$11</f>
        <v>0.01</v>
      </c>
      <c r="K33" s="444">
        <f>IF(B33=1,Fruit_Inputs!$R$15,K32*(1+Fruit_CashFlows!J33))*F33</f>
        <v>7.9580376377681104</v>
      </c>
      <c r="L33" s="338">
        <f>IF(B33=1,Fruit_Inputs!$R$16,L32*(1+Fruit_CashFlows!J33))*F33</f>
        <v>11.985011619878922</v>
      </c>
      <c r="M33" s="122">
        <f>K33*I33*Fruit_Inputs!$J$9</f>
        <v>154831.92844456318</v>
      </c>
      <c r="N33" s="222">
        <f>L33*I33*Fruit_Inputs!$J$10</f>
        <v>233180.91042062294</v>
      </c>
      <c r="O33" s="423">
        <f t="shared" si="30"/>
        <v>0</v>
      </c>
      <c r="P33" s="122">
        <f>SUM(M33:O33)+IF(B33=Fruit_Inputs!$J$17,Fruit_Inputs!$J$19,0)</f>
        <v>388012.83886518609</v>
      </c>
      <c r="Q33" s="218">
        <f>IF(B33=1,Fruit_Inputs!$O$7,Q32*(1+Fruit_Inputs!$N$23))*F33</f>
        <v>208789.96248862299</v>
      </c>
      <c r="R33" s="122">
        <f>IF(B33=1,Fruit_Inputs!$O$8,R32*(1+Fruit_Inputs!$N$23))*F33</f>
        <v>9607.678913876478</v>
      </c>
      <c r="S33" s="122">
        <f>IF(B33=1,Fruit_Inputs!$O$9,S32*(1+Fruit_Inputs!$N$23))*F33</f>
        <v>34113.798629444558</v>
      </c>
      <c r="T33" s="122">
        <f>IF(B33=1,Fruit_Inputs!$O$10,T32*(1+Fruit_Inputs!$N$23))*F33</f>
        <v>24506.596573124625</v>
      </c>
      <c r="U33" s="122">
        <f>IF(B33=1,Fruit_Inputs!$O$11,U32*(1+Fruit_Inputs!$N$23))*F33</f>
        <v>22723.029197561824</v>
      </c>
      <c r="V33" s="122">
        <f>IF(B33=1,Fruit_Inputs!$O$12,V32*(1+Fruit_Inputs!$N$23))*F33</f>
        <v>113.68625196811587</v>
      </c>
      <c r="W33" s="122">
        <f>IF(B33=1,Fruit_Inputs!$O$13,W32*(1+Fruit_Inputs!$N$23))*F33</f>
        <v>0</v>
      </c>
      <c r="X33" s="122">
        <f>IF(B33=1,Fruit_Inputs!$O$14,X32*(1+Fruit_Inputs!$N$23))*F33</f>
        <v>1960.6510301424244</v>
      </c>
      <c r="Y33" s="122">
        <f>IF(B33=1,Fruit_Inputs!$O$15,Y32*(1+Fruit_Inputs!$N$23))*F33</f>
        <v>1960.6510301424244</v>
      </c>
      <c r="Z33" s="122">
        <f>IF(B33=1,Fruit_Inputs!$O$16,Z32*(1+Fruit_Inputs!$N$23))*F33</f>
        <v>4414.7063523117167</v>
      </c>
      <c r="AA33" s="122">
        <f>IF(B33=1,Fruit_Inputs!$O$17,AA32*(1+Fruit_Inputs!$N$23))*F33</f>
        <v>2251.8539398904172</v>
      </c>
      <c r="AB33" s="181">
        <f>IF(B33=1,Fruit_Inputs!$O$18,AB32*(1+Fruit_Inputs!$N$23))*F33</f>
        <v>0</v>
      </c>
      <c r="AC33" s="482">
        <f>IF(B33=1,Fruit_Inputs!$O$19,AC32*(1+Fruit_Inputs!$N$23))*F33</f>
        <v>0</v>
      </c>
      <c r="AD33" s="122">
        <f>IF(B33=1,Fruit_Inputs!$O$20,AD32*(1+Fruit_Inputs!$N$23))*F33</f>
        <v>0</v>
      </c>
      <c r="AE33" s="122">
        <f>IF(B33=1,Fruit_Inputs!$O$21,AE32*(1+Fruit_Inputs!$N$23))*F33</f>
        <v>0</v>
      </c>
      <c r="AF33" s="132">
        <f>IF(B33=1,Fruit_Inputs!$O$22,AF32*(1+Fruit_Inputs!$N$23))*F33</f>
        <v>0</v>
      </c>
      <c r="AG33" s="200">
        <f t="shared" si="31"/>
        <v>310442.61440708558</v>
      </c>
      <c r="AH33" s="86">
        <f t="shared" si="13"/>
        <v>77570.224458100507</v>
      </c>
      <c r="AI33" s="225">
        <f t="shared" si="14"/>
        <v>0.19991664369913298</v>
      </c>
      <c r="AJ33" s="220">
        <f>Deprec!F32</f>
        <v>11072.386150083685</v>
      </c>
      <c r="AK33" s="86">
        <f t="shared" si="15"/>
        <v>66497.838308016828</v>
      </c>
      <c r="AL33" s="455">
        <f t="shared" si="32"/>
        <v>0</v>
      </c>
      <c r="AM33" s="86">
        <f t="shared" si="33"/>
        <v>66497.838308016828</v>
      </c>
      <c r="AN33" s="438">
        <f>IF(AM33&lt;0,0,(AM33*Fruit_Inputs!$J$14))</f>
        <v>19949.351492405047</v>
      </c>
      <c r="AO33" s="86">
        <f t="shared" si="34"/>
        <v>46548.486815611781</v>
      </c>
      <c r="AP33" s="226">
        <f t="shared" si="16"/>
        <v>0.11996635717454936</v>
      </c>
      <c r="AS33" s="196">
        <f t="shared" si="17"/>
        <v>388012.83886518609</v>
      </c>
      <c r="AT33" s="86">
        <f t="shared" si="18"/>
        <v>310442.61440708558</v>
      </c>
      <c r="AU33" s="197">
        <f t="shared" si="35"/>
        <v>77570.224458100507</v>
      </c>
      <c r="AV33" s="218">
        <f>IF(B33=0,Fruit_Inputs!$C$29,0)</f>
        <v>0</v>
      </c>
      <c r="AW33" s="198">
        <f t="shared" si="5"/>
        <v>0</v>
      </c>
      <c r="AX33" s="197">
        <f t="shared" si="6"/>
        <v>77570.224458100507</v>
      </c>
      <c r="AY33" s="184">
        <f>IF(B33=0,Fruit_Inputs!$G$15+Fruit_Inputs!$G$16,0)</f>
        <v>0</v>
      </c>
      <c r="AZ33" s="185">
        <f>IF(B33=0,Fruit_Inputs!$G$14,0)</f>
        <v>0</v>
      </c>
      <c r="BA33" s="200">
        <f t="shared" si="7"/>
        <v>0</v>
      </c>
      <c r="BB33" s="196">
        <f t="shared" si="8"/>
        <v>77570.224458100507</v>
      </c>
      <c r="BC33" s="218">
        <f>Fruit_Inputs!$G$20*AVERAGE(BR33,BS33)</f>
        <v>0</v>
      </c>
      <c r="BD33" s="200">
        <f t="shared" si="9"/>
        <v>19949.351492405047</v>
      </c>
      <c r="BE33" s="200">
        <f t="shared" si="19"/>
        <v>77570.224458100507</v>
      </c>
      <c r="BF33" s="86">
        <f t="shared" si="20"/>
        <v>57620.87296569546</v>
      </c>
      <c r="BG33" s="197">
        <f t="shared" si="21"/>
        <v>57620.87296569546</v>
      </c>
      <c r="BH33" s="86">
        <f t="shared" si="36"/>
        <v>0</v>
      </c>
      <c r="BI33" s="86">
        <f t="shared" si="37"/>
        <v>0</v>
      </c>
      <c r="BJ33" s="122">
        <f>-Debt_Calc!W31</f>
        <v>0</v>
      </c>
      <c r="BK33" s="122">
        <f>Debt_Calc!X31</f>
        <v>0</v>
      </c>
      <c r="BL33" s="86">
        <f t="shared" si="22"/>
        <v>0</v>
      </c>
      <c r="BM33" s="423">
        <f t="shared" si="38"/>
        <v>0</v>
      </c>
      <c r="BN33" s="86">
        <f t="shared" si="39"/>
        <v>57620.87296569546</v>
      </c>
      <c r="BO33" s="86">
        <f t="shared" si="23"/>
        <v>77570.224458100507</v>
      </c>
      <c r="BP33" s="86">
        <f t="shared" si="40"/>
        <v>57620.87296569546</v>
      </c>
      <c r="BQ33" s="86">
        <f t="shared" si="24"/>
        <v>0</v>
      </c>
      <c r="BR33" s="86">
        <f t="shared" si="25"/>
        <v>0</v>
      </c>
      <c r="BS33" s="86">
        <f t="shared" si="10"/>
        <v>0</v>
      </c>
      <c r="BT33" s="86">
        <f t="shared" si="26"/>
        <v>679619.53344547783</v>
      </c>
      <c r="BU33" s="86">
        <f t="shared" si="41"/>
        <v>2</v>
      </c>
      <c r="BV33" s="214">
        <f t="shared" si="11"/>
        <v>948.44253187129868</v>
      </c>
    </row>
    <row r="34" spans="2:93" s="86" customFormat="1" x14ac:dyDescent="0.3">
      <c r="B34" s="192">
        <f t="shared" si="27"/>
        <v>23</v>
      </c>
      <c r="C34" s="350">
        <f t="shared" si="12"/>
        <v>2044</v>
      </c>
      <c r="D34" s="351">
        <f t="shared" si="42"/>
        <v>52597</v>
      </c>
      <c r="E34" s="441">
        <f t="shared" si="42"/>
        <v>52962</v>
      </c>
      <c r="F34" s="445">
        <f>IF(AND(B34&gt;0,B34&lt;=Fruit_Inputs!$J$17),1,0)</f>
        <v>1</v>
      </c>
      <c r="G34" s="447">
        <f>IF(F34=1,Fruit_Inputs!$G$31,0)</f>
        <v>39325</v>
      </c>
      <c r="H34" s="348">
        <f>IF(AND(F33=0,F34=1),100%,IF(AND(F33=0,F34=0),100%,H33-Fruit_Inputs!$G$44))*F34</f>
        <v>0.98900000000000121</v>
      </c>
      <c r="I34" s="216">
        <f t="shared" si="29"/>
        <v>38892.425000000047</v>
      </c>
      <c r="J34" s="219">
        <f>Fruit_Inputs!$J$11</f>
        <v>0.01</v>
      </c>
      <c r="K34" s="444">
        <f>IF(B34=1,Fruit_Inputs!$R$15,K33*(1+Fruit_CashFlows!J34))*F34</f>
        <v>8.0376180141457922</v>
      </c>
      <c r="L34" s="338">
        <f>IF(B34=1,Fruit_Inputs!$R$16,L33*(1+Fruit_CashFlows!J34))*F34</f>
        <v>12.10486173607771</v>
      </c>
      <c r="M34" s="122">
        <f>K34*I34*Fruit_Inputs!$J$9</f>
        <v>156301.22789690728</v>
      </c>
      <c r="N34" s="222">
        <f>L34*I34*Fruit_Inputs!$J$10</f>
        <v>235393.71360288636</v>
      </c>
      <c r="O34" s="423">
        <f t="shared" si="30"/>
        <v>0</v>
      </c>
      <c r="P34" s="122">
        <f>SUM(M34:O34)+IF(B34=Fruit_Inputs!$J$17,Fruit_Inputs!$J$19,0)</f>
        <v>391694.94149979367</v>
      </c>
      <c r="Q34" s="218">
        <f>IF(B34=1,Fruit_Inputs!$O$7,Q33*(1+Fruit_Inputs!$N$23))*F34</f>
        <v>210877.86211350921</v>
      </c>
      <c r="R34" s="122">
        <f>IF(B34=1,Fruit_Inputs!$O$8,R33*(1+Fruit_Inputs!$N$23))*F34</f>
        <v>9703.755703015242</v>
      </c>
      <c r="S34" s="122">
        <f>IF(B34=1,Fruit_Inputs!$O$9,S33*(1+Fruit_Inputs!$N$23))*F34</f>
        <v>34454.936615739003</v>
      </c>
      <c r="T34" s="122">
        <f>IF(B34=1,Fruit_Inputs!$O$10,T33*(1+Fruit_Inputs!$N$23))*F34</f>
        <v>24751.662538855871</v>
      </c>
      <c r="U34" s="122">
        <f>IF(B34=1,Fruit_Inputs!$O$11,U33*(1+Fruit_Inputs!$N$23))*F34</f>
        <v>22950.259489537442</v>
      </c>
      <c r="V34" s="122">
        <f>IF(B34=1,Fruit_Inputs!$O$12,V33*(1+Fruit_Inputs!$N$23))*F34</f>
        <v>114.82311448779703</v>
      </c>
      <c r="W34" s="122">
        <f>IF(B34=1,Fruit_Inputs!$O$13,W33*(1+Fruit_Inputs!$N$23))*F34</f>
        <v>0</v>
      </c>
      <c r="X34" s="122">
        <f>IF(B34=1,Fruit_Inputs!$O$14,X33*(1+Fruit_Inputs!$N$23))*F34</f>
        <v>1980.2575404438487</v>
      </c>
      <c r="Y34" s="122">
        <f>IF(B34=1,Fruit_Inputs!$O$15,Y33*(1+Fruit_Inputs!$N$23))*F34</f>
        <v>1980.2575404438487</v>
      </c>
      <c r="Z34" s="122">
        <f>IF(B34=1,Fruit_Inputs!$O$16,Z33*(1+Fruit_Inputs!$N$23))*F34</f>
        <v>4458.8534158348339</v>
      </c>
      <c r="AA34" s="122">
        <f>IF(B34=1,Fruit_Inputs!$O$17,AA33*(1+Fruit_Inputs!$N$23))*F34</f>
        <v>2274.3724792893213</v>
      </c>
      <c r="AB34" s="181">
        <f>IF(B34=1,Fruit_Inputs!$O$18,AB33*(1+Fruit_Inputs!$N$23))*F34</f>
        <v>0</v>
      </c>
      <c r="AC34" s="482">
        <f>IF(B34=1,Fruit_Inputs!$O$19,AC33*(1+Fruit_Inputs!$N$23))*F34</f>
        <v>0</v>
      </c>
      <c r="AD34" s="122">
        <f>IF(B34=1,Fruit_Inputs!$O$20,AD33*(1+Fruit_Inputs!$N$23))*F34</f>
        <v>0</v>
      </c>
      <c r="AE34" s="122">
        <f>IF(B34=1,Fruit_Inputs!$O$21,AE33*(1+Fruit_Inputs!$N$23))*F34</f>
        <v>0</v>
      </c>
      <c r="AF34" s="132">
        <f>IF(B34=1,Fruit_Inputs!$O$22,AF33*(1+Fruit_Inputs!$N$23))*F34</f>
        <v>0</v>
      </c>
      <c r="AG34" s="200">
        <f t="shared" si="31"/>
        <v>313547.04055115645</v>
      </c>
      <c r="AH34" s="86">
        <f t="shared" si="13"/>
        <v>78147.900948637223</v>
      </c>
      <c r="AI34" s="225">
        <f t="shared" si="14"/>
        <v>0.19951215261910241</v>
      </c>
      <c r="AJ34" s="220">
        <f>Deprec!F33</f>
        <v>11072.386150083685</v>
      </c>
      <c r="AK34" s="86">
        <f t="shared" si="15"/>
        <v>67075.514798553544</v>
      </c>
      <c r="AL34" s="455">
        <f t="shared" si="32"/>
        <v>0</v>
      </c>
      <c r="AM34" s="86">
        <f t="shared" si="33"/>
        <v>67075.514798553544</v>
      </c>
      <c r="AN34" s="438">
        <f>IF(AM34&lt;0,0,(AM34*Fruit_Inputs!$J$14))</f>
        <v>20122.654439566064</v>
      </c>
      <c r="AO34" s="86">
        <f t="shared" si="34"/>
        <v>46952.860358987484</v>
      </c>
      <c r="AP34" s="226">
        <f t="shared" si="16"/>
        <v>0.11987098985553843</v>
      </c>
      <c r="AS34" s="196">
        <f t="shared" si="17"/>
        <v>391694.94149979367</v>
      </c>
      <c r="AT34" s="86">
        <f t="shared" si="18"/>
        <v>313547.04055115645</v>
      </c>
      <c r="AU34" s="197">
        <f t="shared" si="35"/>
        <v>78147.900948637223</v>
      </c>
      <c r="AV34" s="218">
        <f>IF(B34=0,Fruit_Inputs!$C$29,0)</f>
        <v>0</v>
      </c>
      <c r="AW34" s="198">
        <f t="shared" si="5"/>
        <v>0</v>
      </c>
      <c r="AX34" s="197">
        <f t="shared" si="6"/>
        <v>78147.900948637223</v>
      </c>
      <c r="AY34" s="184">
        <f>IF(B34=0,Fruit_Inputs!$G$15+Fruit_Inputs!$G$16,0)</f>
        <v>0</v>
      </c>
      <c r="AZ34" s="185">
        <f>IF(B34=0,Fruit_Inputs!$G$14,0)</f>
        <v>0</v>
      </c>
      <c r="BA34" s="200">
        <f t="shared" si="7"/>
        <v>0</v>
      </c>
      <c r="BB34" s="196">
        <f t="shared" si="8"/>
        <v>78147.900948637223</v>
      </c>
      <c r="BC34" s="218">
        <f>Fruit_Inputs!$G$20*AVERAGE(BR34,BS34)</f>
        <v>0</v>
      </c>
      <c r="BD34" s="200">
        <f t="shared" si="9"/>
        <v>20122.654439566064</v>
      </c>
      <c r="BE34" s="200">
        <f t="shared" si="19"/>
        <v>78147.900948637223</v>
      </c>
      <c r="BF34" s="86">
        <f t="shared" si="20"/>
        <v>58025.246509071163</v>
      </c>
      <c r="BG34" s="197">
        <f t="shared" si="21"/>
        <v>58025.246509071163</v>
      </c>
      <c r="BH34" s="86">
        <f t="shared" si="36"/>
        <v>0</v>
      </c>
      <c r="BI34" s="86">
        <f t="shared" si="37"/>
        <v>0</v>
      </c>
      <c r="BJ34" s="122">
        <f>-Debt_Calc!W32</f>
        <v>0</v>
      </c>
      <c r="BK34" s="122">
        <f>Debt_Calc!X32</f>
        <v>0</v>
      </c>
      <c r="BL34" s="86">
        <f t="shared" si="22"/>
        <v>0</v>
      </c>
      <c r="BM34" s="423">
        <f t="shared" si="38"/>
        <v>0</v>
      </c>
      <c r="BN34" s="86">
        <f t="shared" si="39"/>
        <v>58025.246509071163</v>
      </c>
      <c r="BO34" s="86">
        <f t="shared" si="23"/>
        <v>78147.900948637223</v>
      </c>
      <c r="BP34" s="86">
        <f t="shared" si="40"/>
        <v>58025.246509071163</v>
      </c>
      <c r="BQ34" s="86">
        <f t="shared" si="24"/>
        <v>0</v>
      </c>
      <c r="BR34" s="86">
        <f t="shared" si="25"/>
        <v>0</v>
      </c>
      <c r="BS34" s="86">
        <f t="shared" si="10"/>
        <v>0</v>
      </c>
      <c r="BT34" s="86">
        <f t="shared" si="26"/>
        <v>737644.77995454904</v>
      </c>
      <c r="BU34" s="86">
        <f t="shared" si="41"/>
        <v>2</v>
      </c>
      <c r="BV34" s="214">
        <f t="shared" si="11"/>
        <v>792.4591277190691</v>
      </c>
    </row>
    <row r="35" spans="2:93" s="86" customFormat="1" x14ac:dyDescent="0.3">
      <c r="B35" s="192">
        <f t="shared" si="27"/>
        <v>24</v>
      </c>
      <c r="C35" s="350">
        <f t="shared" si="12"/>
        <v>2045</v>
      </c>
      <c r="D35" s="351">
        <f t="shared" si="42"/>
        <v>52963</v>
      </c>
      <c r="E35" s="441">
        <f t="shared" si="42"/>
        <v>53327</v>
      </c>
      <c r="F35" s="445">
        <f>IF(AND(B35&gt;0,B35&lt;=Fruit_Inputs!$J$17),1,0)</f>
        <v>1</v>
      </c>
      <c r="G35" s="447">
        <f>IF(F35=1,Fruit_Inputs!$G$31,0)</f>
        <v>39325</v>
      </c>
      <c r="H35" s="348">
        <f>IF(AND(F34=0,F35=1),100%,IF(AND(F34=0,F35=0),100%,H34-Fruit_Inputs!$G$44))*F35</f>
        <v>0.98850000000000127</v>
      </c>
      <c r="I35" s="216">
        <f t="shared" si="29"/>
        <v>38872.762500000048</v>
      </c>
      <c r="J35" s="219">
        <f>Fruit_Inputs!$J$11</f>
        <v>0.01</v>
      </c>
      <c r="K35" s="444">
        <f>IF(B35=1,Fruit_Inputs!$R$15,K34*(1+Fruit_CashFlows!J35))*F35</f>
        <v>8.1179941942872507</v>
      </c>
      <c r="L35" s="338">
        <f>IF(B35=1,Fruit_Inputs!$R$16,L34*(1+Fruit_CashFlows!J35))*F35</f>
        <v>12.225910353438488</v>
      </c>
      <c r="M35" s="122">
        <f>K35*I35*Fruit_Inputs!$J$9</f>
        <v>157784.43014545378</v>
      </c>
      <c r="N35" s="222">
        <f>L35*I35*Fruit_Inputs!$J$10</f>
        <v>237627.454757753</v>
      </c>
      <c r="O35" s="423">
        <f t="shared" si="30"/>
        <v>0</v>
      </c>
      <c r="P35" s="122">
        <f>SUM(M35:O35)+IF(B35=Fruit_Inputs!$J$17,Fruit_Inputs!$J$19,0)</f>
        <v>395411.88490320678</v>
      </c>
      <c r="Q35" s="218">
        <f>IF(B35=1,Fruit_Inputs!$O$7,Q34*(1+Fruit_Inputs!$N$23))*F35</f>
        <v>212986.64073464432</v>
      </c>
      <c r="R35" s="122">
        <f>IF(B35=1,Fruit_Inputs!$O$8,R34*(1+Fruit_Inputs!$N$23))*F35</f>
        <v>9800.7932600453951</v>
      </c>
      <c r="S35" s="122">
        <f>IF(B35=1,Fruit_Inputs!$O$9,S34*(1+Fruit_Inputs!$N$23))*F35</f>
        <v>34799.485981896396</v>
      </c>
      <c r="T35" s="122">
        <f>IF(B35=1,Fruit_Inputs!$O$10,T34*(1+Fruit_Inputs!$N$23))*F35</f>
        <v>24999.17916424443</v>
      </c>
      <c r="U35" s="122">
        <f>IF(B35=1,Fruit_Inputs!$O$11,U34*(1+Fruit_Inputs!$N$23))*F35</f>
        <v>23179.762084432816</v>
      </c>
      <c r="V35" s="122">
        <f>IF(B35=1,Fruit_Inputs!$O$12,V34*(1+Fruit_Inputs!$N$23))*F35</f>
        <v>115.971345632675</v>
      </c>
      <c r="W35" s="122">
        <f>IF(B35=1,Fruit_Inputs!$O$13,W34*(1+Fruit_Inputs!$N$23))*F35</f>
        <v>0</v>
      </c>
      <c r="X35" s="122">
        <f>IF(B35=1,Fruit_Inputs!$O$14,X34*(1+Fruit_Inputs!$N$23))*F35</f>
        <v>2000.0601158482873</v>
      </c>
      <c r="Y35" s="122">
        <f>IF(B35=1,Fruit_Inputs!$O$15,Y34*(1+Fruit_Inputs!$N$23))*F35</f>
        <v>2000.0601158482873</v>
      </c>
      <c r="Z35" s="122">
        <f>IF(B35=1,Fruit_Inputs!$O$16,Z34*(1+Fruit_Inputs!$N$23))*F35</f>
        <v>4503.4419499931819</v>
      </c>
      <c r="AA35" s="122">
        <f>IF(B35=1,Fruit_Inputs!$O$17,AA34*(1+Fruit_Inputs!$N$23))*F35</f>
        <v>2297.1162040822146</v>
      </c>
      <c r="AB35" s="181">
        <f>IF(B35=1,Fruit_Inputs!$O$18,AB34*(1+Fruit_Inputs!$N$23))*F35</f>
        <v>0</v>
      </c>
      <c r="AC35" s="482">
        <f>IF(B35=1,Fruit_Inputs!$O$19,AC34*(1+Fruit_Inputs!$N$23))*F35</f>
        <v>0</v>
      </c>
      <c r="AD35" s="122">
        <f>IF(B35=1,Fruit_Inputs!$O$20,AD34*(1+Fruit_Inputs!$N$23))*F35</f>
        <v>0</v>
      </c>
      <c r="AE35" s="122">
        <f>IF(B35=1,Fruit_Inputs!$O$21,AE34*(1+Fruit_Inputs!$N$23))*F35</f>
        <v>0</v>
      </c>
      <c r="AF35" s="132">
        <f>IF(B35=1,Fruit_Inputs!$O$22,AF34*(1+Fruit_Inputs!$N$23))*F35</f>
        <v>0</v>
      </c>
      <c r="AG35" s="200">
        <f t="shared" si="31"/>
        <v>316682.510956668</v>
      </c>
      <c r="AH35" s="86">
        <f t="shared" si="13"/>
        <v>78729.373946538777</v>
      </c>
      <c r="AI35" s="225">
        <f t="shared" si="14"/>
        <v>0.19910725234222793</v>
      </c>
      <c r="AJ35" s="220">
        <f>Deprec!F34</f>
        <v>11072.386150083685</v>
      </c>
      <c r="AK35" s="86">
        <f t="shared" si="15"/>
        <v>67656.987796455098</v>
      </c>
      <c r="AL35" s="455">
        <f t="shared" si="32"/>
        <v>0</v>
      </c>
      <c r="AM35" s="86">
        <f t="shared" si="33"/>
        <v>67656.987796455098</v>
      </c>
      <c r="AN35" s="438">
        <f>IF(AM35&lt;0,0,(AM35*Fruit_Inputs!$J$14))</f>
        <v>20297.096338936528</v>
      </c>
      <c r="AO35" s="86">
        <f t="shared" si="34"/>
        <v>47359.89145751857</v>
      </c>
      <c r="AP35" s="226">
        <f t="shared" si="16"/>
        <v>0.11977356590865204</v>
      </c>
      <c r="AS35" s="196">
        <f t="shared" si="17"/>
        <v>395411.88490320678</v>
      </c>
      <c r="AT35" s="86">
        <f t="shared" si="18"/>
        <v>316682.510956668</v>
      </c>
      <c r="AU35" s="197">
        <f t="shared" si="35"/>
        <v>78729.373946538777</v>
      </c>
      <c r="AV35" s="218">
        <f>IF(B35=0,Fruit_Inputs!$C$29,0)</f>
        <v>0</v>
      </c>
      <c r="AW35" s="198">
        <f t="shared" si="5"/>
        <v>0</v>
      </c>
      <c r="AX35" s="197">
        <f t="shared" si="6"/>
        <v>78729.373946538777</v>
      </c>
      <c r="AY35" s="184">
        <f>IF(B35=0,Fruit_Inputs!$G$15+Fruit_Inputs!$G$16,0)</f>
        <v>0</v>
      </c>
      <c r="AZ35" s="185">
        <f>IF(B35=0,Fruit_Inputs!$G$14,0)</f>
        <v>0</v>
      </c>
      <c r="BA35" s="200">
        <f t="shared" si="7"/>
        <v>0</v>
      </c>
      <c r="BB35" s="196">
        <f t="shared" si="8"/>
        <v>78729.373946538777</v>
      </c>
      <c r="BC35" s="218">
        <f>Fruit_Inputs!$G$20*AVERAGE(BR35,BS35)</f>
        <v>0</v>
      </c>
      <c r="BD35" s="200">
        <f t="shared" si="9"/>
        <v>20297.096338936528</v>
      </c>
      <c r="BE35" s="200">
        <f t="shared" si="19"/>
        <v>78729.373946538777</v>
      </c>
      <c r="BF35" s="86">
        <f t="shared" si="20"/>
        <v>58432.277607602249</v>
      </c>
      <c r="BG35" s="197">
        <f t="shared" si="21"/>
        <v>58432.277607602249</v>
      </c>
      <c r="BH35" s="86">
        <f t="shared" si="36"/>
        <v>0</v>
      </c>
      <c r="BI35" s="86">
        <f t="shared" si="37"/>
        <v>0</v>
      </c>
      <c r="BJ35" s="122">
        <f>-Debt_Calc!W33</f>
        <v>0</v>
      </c>
      <c r="BK35" s="122">
        <f>Debt_Calc!X33</f>
        <v>0</v>
      </c>
      <c r="BL35" s="86">
        <f t="shared" si="22"/>
        <v>0</v>
      </c>
      <c r="BM35" s="423">
        <f t="shared" si="38"/>
        <v>0</v>
      </c>
      <c r="BN35" s="86">
        <f t="shared" si="39"/>
        <v>58432.277607602249</v>
      </c>
      <c r="BO35" s="86">
        <f t="shared" si="23"/>
        <v>78729.373946538777</v>
      </c>
      <c r="BP35" s="86">
        <f t="shared" si="40"/>
        <v>58432.277607602249</v>
      </c>
      <c r="BQ35" s="86">
        <f t="shared" si="24"/>
        <v>0</v>
      </c>
      <c r="BR35" s="86">
        <f t="shared" si="25"/>
        <v>0</v>
      </c>
      <c r="BS35" s="86">
        <f t="shared" si="10"/>
        <v>0</v>
      </c>
      <c r="BT35" s="86">
        <f t="shared" si="26"/>
        <v>796077.05756215134</v>
      </c>
      <c r="BU35" s="86">
        <f t="shared" si="41"/>
        <v>2</v>
      </c>
      <c r="BV35" s="214">
        <f t="shared" si="11"/>
        <v>662.12713009561605</v>
      </c>
    </row>
    <row r="36" spans="2:93" s="86" customFormat="1" x14ac:dyDescent="0.3">
      <c r="B36" s="192">
        <f t="shared" si="27"/>
        <v>25</v>
      </c>
      <c r="C36" s="350">
        <f t="shared" si="12"/>
        <v>2046</v>
      </c>
      <c r="D36" s="351">
        <f t="shared" si="42"/>
        <v>53328</v>
      </c>
      <c r="E36" s="441">
        <f t="shared" si="42"/>
        <v>53692</v>
      </c>
      <c r="F36" s="445">
        <f>IF(AND(B36&gt;0,B36&lt;=Fruit_Inputs!$J$17),1,0)</f>
        <v>1</v>
      </c>
      <c r="G36" s="447">
        <f>IF(F36=1,Fruit_Inputs!$G$31,0)</f>
        <v>39325</v>
      </c>
      <c r="H36" s="348">
        <f>IF(AND(F35=0,F36=1),100%,IF(AND(F35=0,F36=0),100%,H35-Fruit_Inputs!$G$44))*F36</f>
        <v>0.98800000000000132</v>
      </c>
      <c r="I36" s="216">
        <f t="shared" si="29"/>
        <v>38853.100000000049</v>
      </c>
      <c r="J36" s="219">
        <f>Fruit_Inputs!$J$11</f>
        <v>0.01</v>
      </c>
      <c r="K36" s="444">
        <f>IF(B36=1,Fruit_Inputs!$R$15,K35*(1+Fruit_CashFlows!J36))*F36</f>
        <v>8.1991741362301234</v>
      </c>
      <c r="L36" s="338">
        <f>IF(B36=1,Fruit_Inputs!$R$16,L35*(1+Fruit_CashFlows!J36))*F36</f>
        <v>12.348169456972872</v>
      </c>
      <c r="M36" s="122">
        <f>K36*I36*Fruit_Inputs!$J$9</f>
        <v>159281.66631618151</v>
      </c>
      <c r="N36" s="222">
        <f>L36*I36*Fruit_Inputs!$J$10</f>
        <v>239882.33136435665</v>
      </c>
      <c r="O36" s="423">
        <f t="shared" si="30"/>
        <v>0</v>
      </c>
      <c r="P36" s="122">
        <f>SUM(M36:O36)+IF(B36=Fruit_Inputs!$J$17,Fruit_Inputs!$J$19,0)</f>
        <v>399163.99768053816</v>
      </c>
      <c r="Q36" s="218">
        <f>IF(B36=1,Fruit_Inputs!$O$7,Q35*(1+Fruit_Inputs!$N$23))*F36</f>
        <v>215116.50714199076</v>
      </c>
      <c r="R36" s="122">
        <f>IF(B36=1,Fruit_Inputs!$O$8,R35*(1+Fruit_Inputs!$N$23))*F36</f>
        <v>9898.8011926458494</v>
      </c>
      <c r="S36" s="122">
        <f>IF(B36=1,Fruit_Inputs!$O$9,S35*(1+Fruit_Inputs!$N$23))*F36</f>
        <v>35147.480841715362</v>
      </c>
      <c r="T36" s="122">
        <f>IF(B36=1,Fruit_Inputs!$O$10,T35*(1+Fruit_Inputs!$N$23))*F36</f>
        <v>25249.170955886875</v>
      </c>
      <c r="U36" s="122">
        <f>IF(B36=1,Fruit_Inputs!$O$11,U35*(1+Fruit_Inputs!$N$23))*F36</f>
        <v>23411.559705277145</v>
      </c>
      <c r="V36" s="122">
        <f>IF(B36=1,Fruit_Inputs!$O$12,V35*(1+Fruit_Inputs!$N$23))*F36</f>
        <v>117.13105908900175</v>
      </c>
      <c r="W36" s="122">
        <f>IF(B36=1,Fruit_Inputs!$O$13,W35*(1+Fruit_Inputs!$N$23))*F36</f>
        <v>0</v>
      </c>
      <c r="X36" s="122">
        <f>IF(B36=1,Fruit_Inputs!$O$14,X35*(1+Fruit_Inputs!$N$23))*F36</f>
        <v>2020.0607170067701</v>
      </c>
      <c r="Y36" s="122">
        <f>IF(B36=1,Fruit_Inputs!$O$15,Y35*(1+Fruit_Inputs!$N$23))*F36</f>
        <v>2020.0607170067701</v>
      </c>
      <c r="Z36" s="122">
        <f>IF(B36=1,Fruit_Inputs!$O$16,Z35*(1+Fruit_Inputs!$N$23))*F36</f>
        <v>4548.4763694931135</v>
      </c>
      <c r="AA36" s="122">
        <f>IF(B36=1,Fruit_Inputs!$O$17,AA35*(1+Fruit_Inputs!$N$23))*F36</f>
        <v>2320.0873661230366</v>
      </c>
      <c r="AB36" s="181">
        <f>IF(B36=1,Fruit_Inputs!$O$18,AB35*(1+Fruit_Inputs!$N$23))*F36</f>
        <v>0</v>
      </c>
      <c r="AC36" s="482">
        <f>IF(B36=1,Fruit_Inputs!$O$19,AC35*(1+Fruit_Inputs!$N$23))*F36</f>
        <v>0</v>
      </c>
      <c r="AD36" s="122">
        <f>IF(B36=1,Fruit_Inputs!$O$20,AD35*(1+Fruit_Inputs!$N$23))*F36</f>
        <v>0</v>
      </c>
      <c r="AE36" s="122">
        <f>IF(B36=1,Fruit_Inputs!$O$21,AE35*(1+Fruit_Inputs!$N$23))*F36</f>
        <v>0</v>
      </c>
      <c r="AF36" s="132">
        <f>IF(B36=1,Fruit_Inputs!$O$22,AF35*(1+Fruit_Inputs!$N$23))*F36</f>
        <v>0</v>
      </c>
      <c r="AG36" s="200">
        <f t="shared" si="31"/>
        <v>319849.33606623474</v>
      </c>
      <c r="AH36" s="86">
        <f t="shared" si="13"/>
        <v>79314.661614303419</v>
      </c>
      <c r="AI36" s="225">
        <f t="shared" si="14"/>
        <v>0.19870194224725926</v>
      </c>
      <c r="AJ36" s="220">
        <f>Deprec!F35</f>
        <v>11072.386150083685</v>
      </c>
      <c r="AK36" s="86">
        <f t="shared" si="15"/>
        <v>68242.27546421974</v>
      </c>
      <c r="AL36" s="455">
        <f t="shared" si="32"/>
        <v>0</v>
      </c>
      <c r="AM36" s="86">
        <f t="shared" si="33"/>
        <v>68242.27546421974</v>
      </c>
      <c r="AN36" s="438">
        <f>IF(AM36&lt;0,0,(AM36*Fruit_Inputs!$J$14))</f>
        <v>20472.68263926592</v>
      </c>
      <c r="AO36" s="86">
        <f t="shared" si="34"/>
        <v>47769.592824953819</v>
      </c>
      <c r="AP36" s="226">
        <f t="shared" si="16"/>
        <v>0.11967410162873739</v>
      </c>
      <c r="AS36" s="196">
        <f t="shared" si="17"/>
        <v>399163.99768053816</v>
      </c>
      <c r="AT36" s="86">
        <f t="shared" si="18"/>
        <v>319849.33606623474</v>
      </c>
      <c r="AU36" s="197">
        <f t="shared" si="35"/>
        <v>79314.661614303419</v>
      </c>
      <c r="AV36" s="218">
        <f>IF(B36=0,Fruit_Inputs!$C$29,0)</f>
        <v>0</v>
      </c>
      <c r="AW36" s="198">
        <f t="shared" si="5"/>
        <v>0</v>
      </c>
      <c r="AX36" s="197">
        <f t="shared" si="6"/>
        <v>79314.661614303419</v>
      </c>
      <c r="AY36" s="184">
        <f>IF(B36=0,Fruit_Inputs!$G$15+Fruit_Inputs!$G$16,0)</f>
        <v>0</v>
      </c>
      <c r="AZ36" s="185">
        <f>IF(B36=0,Fruit_Inputs!$G$14,0)</f>
        <v>0</v>
      </c>
      <c r="BA36" s="200">
        <f t="shared" si="7"/>
        <v>0</v>
      </c>
      <c r="BB36" s="196">
        <f t="shared" si="8"/>
        <v>79314.661614303419</v>
      </c>
      <c r="BC36" s="218">
        <f>Fruit_Inputs!$G$20*AVERAGE(BR36,BS36)</f>
        <v>0</v>
      </c>
      <c r="BD36" s="200">
        <f t="shared" si="9"/>
        <v>20472.68263926592</v>
      </c>
      <c r="BE36" s="200">
        <f t="shared" si="19"/>
        <v>79314.661614303419</v>
      </c>
      <c r="BF36" s="86">
        <f t="shared" si="20"/>
        <v>58841.978975037498</v>
      </c>
      <c r="BG36" s="197">
        <f t="shared" si="21"/>
        <v>58841.978975037498</v>
      </c>
      <c r="BH36" s="86">
        <f t="shared" si="36"/>
        <v>0</v>
      </c>
      <c r="BI36" s="86">
        <f t="shared" si="37"/>
        <v>0</v>
      </c>
      <c r="BJ36" s="122">
        <f>-Debt_Calc!W34</f>
        <v>0</v>
      </c>
      <c r="BK36" s="122">
        <f>Debt_Calc!X34</f>
        <v>0</v>
      </c>
      <c r="BL36" s="86">
        <f t="shared" si="22"/>
        <v>0</v>
      </c>
      <c r="BM36" s="423">
        <f t="shared" si="38"/>
        <v>0</v>
      </c>
      <c r="BN36" s="86">
        <f t="shared" si="39"/>
        <v>58841.978975037498</v>
      </c>
      <c r="BO36" s="86">
        <f t="shared" si="23"/>
        <v>79314.661614303419</v>
      </c>
      <c r="BP36" s="86">
        <f t="shared" si="40"/>
        <v>58841.978975037498</v>
      </c>
      <c r="BQ36" s="86">
        <f t="shared" si="24"/>
        <v>0</v>
      </c>
      <c r="BR36" s="86">
        <f t="shared" si="25"/>
        <v>0</v>
      </c>
      <c r="BS36" s="86">
        <f t="shared" si="10"/>
        <v>0</v>
      </c>
      <c r="BT36" s="86">
        <f t="shared" si="26"/>
        <v>854919.0365371888</v>
      </c>
      <c r="BU36" s="86">
        <f t="shared" si="41"/>
        <v>2</v>
      </c>
      <c r="BV36" s="214">
        <f t="shared" si="11"/>
        <v>553.22847972323632</v>
      </c>
    </row>
    <row r="37" spans="2:93" s="86" customFormat="1" x14ac:dyDescent="0.3">
      <c r="B37" s="192">
        <f t="shared" si="27"/>
        <v>26</v>
      </c>
      <c r="C37" s="350">
        <f t="shared" si="12"/>
        <v>2047</v>
      </c>
      <c r="D37" s="351">
        <f t="shared" si="42"/>
        <v>53693</v>
      </c>
      <c r="E37" s="441">
        <f t="shared" si="42"/>
        <v>54057</v>
      </c>
      <c r="F37" s="445">
        <f>IF(AND(B37&gt;0,B37&lt;=Fruit_Inputs!$J$17),1,0)</f>
        <v>0</v>
      </c>
      <c r="G37" s="447">
        <f>IF(F37=1,Fruit_Inputs!$G$31,0)</f>
        <v>0</v>
      </c>
      <c r="H37" s="348">
        <f>IF(AND(F36=0,F37=1),100%,IF(AND(F36=0,F37=0),100%,H36-Fruit_Inputs!$G$44))*F37</f>
        <v>0</v>
      </c>
      <c r="I37" s="216">
        <f t="shared" si="29"/>
        <v>0</v>
      </c>
      <c r="J37" s="219">
        <f>Fruit_Inputs!$J$11</f>
        <v>0.01</v>
      </c>
      <c r="K37" s="444">
        <f>IF(B37=1,Fruit_Inputs!$R$15,K36*(1+Fruit_CashFlows!J37))*F37</f>
        <v>0</v>
      </c>
      <c r="L37" s="338">
        <f>IF(B37=1,Fruit_Inputs!$R$16,L36*(1+Fruit_CashFlows!J37))*F37</f>
        <v>0</v>
      </c>
      <c r="M37" s="122">
        <f>K37*I37*Fruit_Inputs!$J$9</f>
        <v>0</v>
      </c>
      <c r="N37" s="222">
        <f>L37*I37*Fruit_Inputs!$J$10</f>
        <v>0</v>
      </c>
      <c r="O37" s="423">
        <f t="shared" si="30"/>
        <v>0</v>
      </c>
      <c r="P37" s="122">
        <f>SUM(M37:O37)+IF(B37=Fruit_Inputs!$J$17,Fruit_Inputs!$J$19,0)</f>
        <v>0</v>
      </c>
      <c r="Q37" s="218">
        <f>IF(B37=1,Fruit_Inputs!$O$7,Q36*(1+Fruit_Inputs!$N$23))*F37</f>
        <v>0</v>
      </c>
      <c r="R37" s="122">
        <f>IF(B37=1,Fruit_Inputs!$O$8,R36*(1+Fruit_Inputs!$N$23))*F37</f>
        <v>0</v>
      </c>
      <c r="S37" s="122">
        <f>IF(B37=1,Fruit_Inputs!$O$9,S36*(1+Fruit_Inputs!$N$23))*F37</f>
        <v>0</v>
      </c>
      <c r="T37" s="122">
        <f>IF(B37=1,Fruit_Inputs!$O$10,T36*(1+Fruit_Inputs!$N$23))*F37</f>
        <v>0</v>
      </c>
      <c r="U37" s="122">
        <f>IF(B37=1,Fruit_Inputs!$O$11,U36*(1+Fruit_Inputs!$N$23))*F37</f>
        <v>0</v>
      </c>
      <c r="V37" s="122">
        <f>IF(B37=1,Fruit_Inputs!$O$12,V36*(1+Fruit_Inputs!$N$23))*F37</f>
        <v>0</v>
      </c>
      <c r="W37" s="122">
        <f>IF(B37=1,Fruit_Inputs!$O$13,W36*(1+Fruit_Inputs!$N$23))*F37</f>
        <v>0</v>
      </c>
      <c r="X37" s="122">
        <f>IF(B37=1,Fruit_Inputs!$O$14,X36*(1+Fruit_Inputs!$N$23))*F37</f>
        <v>0</v>
      </c>
      <c r="Y37" s="122">
        <f>IF(B37=1,Fruit_Inputs!$O$15,Y36*(1+Fruit_Inputs!$N$23))*F37</f>
        <v>0</v>
      </c>
      <c r="Z37" s="122">
        <f>IF(B37=1,Fruit_Inputs!$O$16,Z36*(1+Fruit_Inputs!$N$23))*F37</f>
        <v>0</v>
      </c>
      <c r="AA37" s="122">
        <f>IF(B37=1,Fruit_Inputs!$O$17,AA36*(1+Fruit_Inputs!$N$23))*F37</f>
        <v>0</v>
      </c>
      <c r="AB37" s="181">
        <f>IF(B37=1,Fruit_Inputs!$O$18,AB36*(1+Fruit_Inputs!$N$23))*F37</f>
        <v>0</v>
      </c>
      <c r="AC37" s="482">
        <f>IF(B37=1,Fruit_Inputs!$O$19,AC36*(1+Fruit_Inputs!$N$23))*F37</f>
        <v>0</v>
      </c>
      <c r="AD37" s="122">
        <f>IF(B37=1,Fruit_Inputs!$O$20,AD36*(1+Fruit_Inputs!$N$23))*F37</f>
        <v>0</v>
      </c>
      <c r="AE37" s="122">
        <f>IF(B37=1,Fruit_Inputs!$O$21,AE36*(1+Fruit_Inputs!$N$23))*F37</f>
        <v>0</v>
      </c>
      <c r="AF37" s="132">
        <f>IF(B37=1,Fruit_Inputs!$O$22,AF36*(1+Fruit_Inputs!$N$23))*F37</f>
        <v>0</v>
      </c>
      <c r="AG37" s="200">
        <f t="shared" si="31"/>
        <v>0</v>
      </c>
      <c r="AH37" s="86">
        <f t="shared" si="13"/>
        <v>0</v>
      </c>
      <c r="AI37" s="225">
        <f t="shared" si="14"/>
        <v>0</v>
      </c>
      <c r="AJ37" s="220">
        <f>Deprec!F36</f>
        <v>0</v>
      </c>
      <c r="AK37" s="86">
        <f t="shared" si="15"/>
        <v>0</v>
      </c>
      <c r="AL37" s="455">
        <f t="shared" si="32"/>
        <v>0</v>
      </c>
      <c r="AM37" s="86">
        <f t="shared" si="33"/>
        <v>0</v>
      </c>
      <c r="AN37" s="438">
        <f>IF(AM37&lt;0,0,(AM37*Fruit_Inputs!$J$14))</f>
        <v>0</v>
      </c>
      <c r="AO37" s="86">
        <f t="shared" si="34"/>
        <v>0</v>
      </c>
      <c r="AP37" s="226">
        <f t="shared" si="16"/>
        <v>0</v>
      </c>
      <c r="AS37" s="196">
        <f t="shared" si="17"/>
        <v>0</v>
      </c>
      <c r="AT37" s="86">
        <f t="shared" si="18"/>
        <v>0</v>
      </c>
      <c r="AU37" s="197">
        <f t="shared" si="35"/>
        <v>0</v>
      </c>
      <c r="AV37" s="218">
        <f>IF(B37=0,Fruit_Inputs!$C$29,0)</f>
        <v>0</v>
      </c>
      <c r="AW37" s="198">
        <f t="shared" si="5"/>
        <v>0</v>
      </c>
      <c r="AX37" s="197">
        <f t="shared" si="6"/>
        <v>0</v>
      </c>
      <c r="AY37" s="184">
        <f>IF(B37=0,Fruit_Inputs!$G$15+Fruit_Inputs!$G$16,0)</f>
        <v>0</v>
      </c>
      <c r="AZ37" s="185">
        <f>IF(B37=0,Fruit_Inputs!$G$14,0)</f>
        <v>0</v>
      </c>
      <c r="BA37" s="200">
        <f t="shared" si="7"/>
        <v>0</v>
      </c>
      <c r="BB37" s="196">
        <f t="shared" si="8"/>
        <v>0</v>
      </c>
      <c r="BC37" s="218">
        <f>Fruit_Inputs!$G$20*AVERAGE(BR37,BS37)</f>
        <v>0</v>
      </c>
      <c r="BD37" s="200">
        <f t="shared" si="9"/>
        <v>0</v>
      </c>
      <c r="BE37" s="200">
        <f t="shared" si="19"/>
        <v>0</v>
      </c>
      <c r="BF37" s="86">
        <f t="shared" si="20"/>
        <v>0</v>
      </c>
      <c r="BG37" s="197">
        <f t="shared" si="21"/>
        <v>0</v>
      </c>
      <c r="BH37" s="86">
        <f t="shared" si="36"/>
        <v>0</v>
      </c>
      <c r="BI37" s="86">
        <f t="shared" si="37"/>
        <v>0</v>
      </c>
      <c r="BJ37" s="122">
        <f>-Debt_Calc!W35</f>
        <v>0</v>
      </c>
      <c r="BK37" s="122">
        <f>Debt_Calc!X35</f>
        <v>0</v>
      </c>
      <c r="BL37" s="86">
        <f t="shared" si="22"/>
        <v>0</v>
      </c>
      <c r="BM37" s="423">
        <f t="shared" si="38"/>
        <v>0</v>
      </c>
      <c r="BN37" s="86">
        <f t="shared" si="39"/>
        <v>0</v>
      </c>
      <c r="BO37" s="86">
        <f t="shared" si="23"/>
        <v>0</v>
      </c>
      <c r="BP37" s="86">
        <f t="shared" si="40"/>
        <v>0</v>
      </c>
      <c r="BQ37" s="86">
        <f t="shared" si="24"/>
        <v>0</v>
      </c>
      <c r="BR37" s="86">
        <f t="shared" si="25"/>
        <v>0</v>
      </c>
      <c r="BS37" s="86">
        <f t="shared" si="10"/>
        <v>0</v>
      </c>
      <c r="BT37" s="86">
        <f t="shared" si="26"/>
        <v>854919.0365371888</v>
      </c>
      <c r="BU37" s="86">
        <f t="shared" si="41"/>
        <v>2</v>
      </c>
      <c r="BV37" s="214">
        <f t="shared" si="11"/>
        <v>0</v>
      </c>
    </row>
    <row r="38" spans="2:93" s="86" customFormat="1" x14ac:dyDescent="0.3">
      <c r="B38" s="192">
        <f t="shared" si="27"/>
        <v>27</v>
      </c>
      <c r="C38" s="350">
        <f t="shared" si="12"/>
        <v>2048</v>
      </c>
      <c r="D38" s="351">
        <f t="shared" si="42"/>
        <v>54058</v>
      </c>
      <c r="E38" s="441">
        <f t="shared" si="42"/>
        <v>54423</v>
      </c>
      <c r="F38" s="445">
        <f>IF(AND(B38&gt;0,B38&lt;=Fruit_Inputs!$J$17),1,0)</f>
        <v>0</v>
      </c>
      <c r="G38" s="447">
        <f>IF(F38=1,Fruit_Inputs!$G$31,0)</f>
        <v>0</v>
      </c>
      <c r="H38" s="348">
        <f>IF(AND(F37=0,F38=1),100%,IF(AND(F37=0,F38=0),100%,H37-Fruit_Inputs!$G$44))*F38</f>
        <v>0</v>
      </c>
      <c r="I38" s="216">
        <f t="shared" si="29"/>
        <v>0</v>
      </c>
      <c r="J38" s="219">
        <f>Fruit_Inputs!$J$11</f>
        <v>0.01</v>
      </c>
      <c r="K38" s="444">
        <f>IF(B38=1,Fruit_Inputs!$R$15,K37*(1+Fruit_CashFlows!J38))*F38</f>
        <v>0</v>
      </c>
      <c r="L38" s="338">
        <f>IF(B38=1,Fruit_Inputs!$R$16,L37*(1+Fruit_CashFlows!J38))*F38</f>
        <v>0</v>
      </c>
      <c r="M38" s="122">
        <f>K38*I38*Fruit_Inputs!$J$9</f>
        <v>0</v>
      </c>
      <c r="N38" s="222">
        <f>L38*I38*Fruit_Inputs!$J$10</f>
        <v>0</v>
      </c>
      <c r="O38" s="423">
        <f t="shared" si="30"/>
        <v>0</v>
      </c>
      <c r="P38" s="122">
        <f>SUM(M38:O38)+IF(B38=Fruit_Inputs!$J$17,Fruit_Inputs!$J$19,0)</f>
        <v>0</v>
      </c>
      <c r="Q38" s="218">
        <f>IF(B38=1,Fruit_Inputs!$O$7,Q37*(1+Fruit_Inputs!$N$23))*F38</f>
        <v>0</v>
      </c>
      <c r="R38" s="122">
        <f>IF(B38=1,Fruit_Inputs!$O$8,R37*(1+Fruit_Inputs!$N$23))*F38</f>
        <v>0</v>
      </c>
      <c r="S38" s="122">
        <f>IF(B38=1,Fruit_Inputs!$O$9,S37*(1+Fruit_Inputs!$N$23))*F38</f>
        <v>0</v>
      </c>
      <c r="T38" s="122">
        <f>IF(B38=1,Fruit_Inputs!$O$10,T37*(1+Fruit_Inputs!$N$23))*F38</f>
        <v>0</v>
      </c>
      <c r="U38" s="122">
        <f>IF(B38=1,Fruit_Inputs!$O$11,U37*(1+Fruit_Inputs!$N$23))*F38</f>
        <v>0</v>
      </c>
      <c r="V38" s="122">
        <f>IF(B38=1,Fruit_Inputs!$O$12,V37*(1+Fruit_Inputs!$N$23))*F38</f>
        <v>0</v>
      </c>
      <c r="W38" s="122">
        <f>IF(B38=1,Fruit_Inputs!$O$13,W37*(1+Fruit_Inputs!$N$23))*F38</f>
        <v>0</v>
      </c>
      <c r="X38" s="122">
        <f>IF(B38=1,Fruit_Inputs!$O$14,X37*(1+Fruit_Inputs!$N$23))*F38</f>
        <v>0</v>
      </c>
      <c r="Y38" s="122">
        <f>IF(B38=1,Fruit_Inputs!$O$15,Y37*(1+Fruit_Inputs!$N$23))*F38</f>
        <v>0</v>
      </c>
      <c r="Z38" s="122">
        <f>IF(B38=1,Fruit_Inputs!$O$16,Z37*(1+Fruit_Inputs!$N$23))*F38</f>
        <v>0</v>
      </c>
      <c r="AA38" s="122">
        <f>IF(B38=1,Fruit_Inputs!$O$17,AA37*(1+Fruit_Inputs!$N$23))*F38</f>
        <v>0</v>
      </c>
      <c r="AB38" s="181">
        <f>IF(B38=1,Fruit_Inputs!$O$18,AB37*(1+Fruit_Inputs!$N$23))*F38</f>
        <v>0</v>
      </c>
      <c r="AC38" s="482">
        <f>IF(B38=1,Fruit_Inputs!$O$19,AC37*(1+Fruit_Inputs!$N$23))*F38</f>
        <v>0</v>
      </c>
      <c r="AD38" s="122">
        <f>IF(B38=1,Fruit_Inputs!$O$20,AD37*(1+Fruit_Inputs!$N$23))*F38</f>
        <v>0</v>
      </c>
      <c r="AE38" s="122">
        <f>IF(B38=1,Fruit_Inputs!$O$21,AE37*(1+Fruit_Inputs!$N$23))*F38</f>
        <v>0</v>
      </c>
      <c r="AF38" s="132">
        <f>IF(B38=1,Fruit_Inputs!$O$22,AF37*(1+Fruit_Inputs!$N$23))*F38</f>
        <v>0</v>
      </c>
      <c r="AG38" s="200">
        <f t="shared" si="31"/>
        <v>0</v>
      </c>
      <c r="AH38" s="86">
        <f t="shared" si="13"/>
        <v>0</v>
      </c>
      <c r="AI38" s="225">
        <f t="shared" si="14"/>
        <v>0</v>
      </c>
      <c r="AJ38" s="220">
        <f>Deprec!F37</f>
        <v>0</v>
      </c>
      <c r="AK38" s="86">
        <f t="shared" si="15"/>
        <v>0</v>
      </c>
      <c r="AL38" s="455">
        <f t="shared" si="32"/>
        <v>0</v>
      </c>
      <c r="AM38" s="86">
        <f t="shared" si="33"/>
        <v>0</v>
      </c>
      <c r="AN38" s="438">
        <f>IF(AM38&lt;0,0,(AM38*Fruit_Inputs!$J$14))</f>
        <v>0</v>
      </c>
      <c r="AO38" s="86">
        <f t="shared" si="34"/>
        <v>0</v>
      </c>
      <c r="AP38" s="226">
        <f t="shared" si="16"/>
        <v>0</v>
      </c>
      <c r="AS38" s="196">
        <f t="shared" si="17"/>
        <v>0</v>
      </c>
      <c r="AT38" s="86">
        <f t="shared" si="18"/>
        <v>0</v>
      </c>
      <c r="AU38" s="197">
        <f t="shared" si="35"/>
        <v>0</v>
      </c>
      <c r="AV38" s="218">
        <f>IF(B38=0,Fruit_Inputs!$C$29,0)</f>
        <v>0</v>
      </c>
      <c r="AW38" s="198">
        <f t="shared" si="5"/>
        <v>0</v>
      </c>
      <c r="AX38" s="197">
        <f t="shared" si="6"/>
        <v>0</v>
      </c>
      <c r="AY38" s="184">
        <f>IF(B38=0,Fruit_Inputs!$G$15+Fruit_Inputs!$G$16,0)</f>
        <v>0</v>
      </c>
      <c r="AZ38" s="185">
        <f>IF(B38=0,Fruit_Inputs!$G$14,0)</f>
        <v>0</v>
      </c>
      <c r="BA38" s="200">
        <f t="shared" si="7"/>
        <v>0</v>
      </c>
      <c r="BB38" s="196">
        <f t="shared" si="8"/>
        <v>0</v>
      </c>
      <c r="BC38" s="218">
        <f>Fruit_Inputs!$G$20*AVERAGE(BR38,BS38)</f>
        <v>0</v>
      </c>
      <c r="BD38" s="200">
        <f t="shared" si="9"/>
        <v>0</v>
      </c>
      <c r="BE38" s="200">
        <f t="shared" si="19"/>
        <v>0</v>
      </c>
      <c r="BF38" s="86">
        <f t="shared" si="20"/>
        <v>0</v>
      </c>
      <c r="BG38" s="197">
        <f t="shared" si="21"/>
        <v>0</v>
      </c>
      <c r="BH38" s="86">
        <f t="shared" si="36"/>
        <v>0</v>
      </c>
      <c r="BI38" s="86">
        <f t="shared" si="37"/>
        <v>0</v>
      </c>
      <c r="BJ38" s="122">
        <f>-Debt_Calc!W36</f>
        <v>0</v>
      </c>
      <c r="BK38" s="122">
        <f>Debt_Calc!X36</f>
        <v>0</v>
      </c>
      <c r="BL38" s="86">
        <f t="shared" si="22"/>
        <v>0</v>
      </c>
      <c r="BM38" s="423">
        <f t="shared" si="38"/>
        <v>0</v>
      </c>
      <c r="BN38" s="86">
        <f t="shared" si="39"/>
        <v>0</v>
      </c>
      <c r="BO38" s="86">
        <f t="shared" si="23"/>
        <v>0</v>
      </c>
      <c r="BP38" s="86">
        <f t="shared" si="40"/>
        <v>0</v>
      </c>
      <c r="BQ38" s="86">
        <f t="shared" si="24"/>
        <v>0</v>
      </c>
      <c r="BR38" s="86">
        <f t="shared" si="25"/>
        <v>0</v>
      </c>
      <c r="BS38" s="86">
        <f t="shared" si="10"/>
        <v>0</v>
      </c>
      <c r="BT38" s="86">
        <f t="shared" si="26"/>
        <v>854919.0365371888</v>
      </c>
      <c r="BU38" s="86">
        <f t="shared" si="41"/>
        <v>2</v>
      </c>
      <c r="BV38" s="214">
        <f t="shared" si="11"/>
        <v>0</v>
      </c>
    </row>
    <row r="39" spans="2:93" s="86" customFormat="1" x14ac:dyDescent="0.3">
      <c r="B39" s="192">
        <f t="shared" si="27"/>
        <v>28</v>
      </c>
      <c r="C39" s="350">
        <f t="shared" si="12"/>
        <v>2049</v>
      </c>
      <c r="D39" s="351">
        <f t="shared" si="42"/>
        <v>54424</v>
      </c>
      <c r="E39" s="441">
        <f t="shared" si="42"/>
        <v>54788</v>
      </c>
      <c r="F39" s="445">
        <f>IF(AND(B39&gt;0,B39&lt;=Fruit_Inputs!$J$17),1,0)</f>
        <v>0</v>
      </c>
      <c r="G39" s="447">
        <f>IF(F39=1,Fruit_Inputs!$G$31,0)</f>
        <v>0</v>
      </c>
      <c r="H39" s="348">
        <f>IF(AND(F38=0,F39=1),100%,IF(AND(F38=0,F39=0),100%,H38-Fruit_Inputs!$G$44))*F39</f>
        <v>0</v>
      </c>
      <c r="I39" s="216">
        <f t="shared" si="29"/>
        <v>0</v>
      </c>
      <c r="J39" s="219">
        <f>Fruit_Inputs!$J$11</f>
        <v>0.01</v>
      </c>
      <c r="K39" s="444">
        <f>IF(B39=1,Fruit_Inputs!$R$15,K38*(1+Fruit_CashFlows!J39))*F39</f>
        <v>0</v>
      </c>
      <c r="L39" s="338">
        <f>IF(B39=1,Fruit_Inputs!$R$16,L38*(1+Fruit_CashFlows!J39))*F39</f>
        <v>0</v>
      </c>
      <c r="M39" s="122">
        <f>K39*I39*Fruit_Inputs!$J$9</f>
        <v>0</v>
      </c>
      <c r="N39" s="222">
        <f>L39*I39*Fruit_Inputs!$J$10</f>
        <v>0</v>
      </c>
      <c r="O39" s="423">
        <f t="shared" si="30"/>
        <v>0</v>
      </c>
      <c r="P39" s="122">
        <f>SUM(M39:O39)+IF(B39=Fruit_Inputs!$J$17,Fruit_Inputs!$J$19,0)</f>
        <v>0</v>
      </c>
      <c r="Q39" s="218">
        <f>IF(B39=1,Fruit_Inputs!$O$7,Q38*(1+Fruit_Inputs!$N$23))*F39</f>
        <v>0</v>
      </c>
      <c r="R39" s="122">
        <f>IF(B39=1,Fruit_Inputs!$O$8,R38*(1+Fruit_Inputs!$N$23))*F39</f>
        <v>0</v>
      </c>
      <c r="S39" s="122">
        <f>IF(B39=1,Fruit_Inputs!$O$9,S38*(1+Fruit_Inputs!$N$23))*F39</f>
        <v>0</v>
      </c>
      <c r="T39" s="122">
        <f>IF(B39=1,Fruit_Inputs!$O$10,T38*(1+Fruit_Inputs!$N$23))*F39</f>
        <v>0</v>
      </c>
      <c r="U39" s="122">
        <f>IF(B39=1,Fruit_Inputs!$O$11,U38*(1+Fruit_Inputs!$N$23))*F39</f>
        <v>0</v>
      </c>
      <c r="V39" s="122">
        <f>IF(B39=1,Fruit_Inputs!$O$12,V38*(1+Fruit_Inputs!$N$23))*F39</f>
        <v>0</v>
      </c>
      <c r="W39" s="122">
        <f>IF(B39=1,Fruit_Inputs!$O$13,W38*(1+Fruit_Inputs!$N$23))*F39</f>
        <v>0</v>
      </c>
      <c r="X39" s="122">
        <f>IF(B39=1,Fruit_Inputs!$O$14,X38*(1+Fruit_Inputs!$N$23))*F39</f>
        <v>0</v>
      </c>
      <c r="Y39" s="122">
        <f>IF(B39=1,Fruit_Inputs!$O$15,Y38*(1+Fruit_Inputs!$N$23))*F39</f>
        <v>0</v>
      </c>
      <c r="Z39" s="122">
        <f>IF(B39=1,Fruit_Inputs!$O$16,Z38*(1+Fruit_Inputs!$N$23))*F39</f>
        <v>0</v>
      </c>
      <c r="AA39" s="122">
        <f>IF(B39=1,Fruit_Inputs!$O$17,AA38*(1+Fruit_Inputs!$N$23))*F39</f>
        <v>0</v>
      </c>
      <c r="AB39" s="181">
        <f>IF(B39=1,Fruit_Inputs!$O$18,AB38*(1+Fruit_Inputs!$N$23))*F39</f>
        <v>0</v>
      </c>
      <c r="AC39" s="482">
        <f>IF(B39=1,Fruit_Inputs!$O$19,AC38*(1+Fruit_Inputs!$N$23))*F39</f>
        <v>0</v>
      </c>
      <c r="AD39" s="122">
        <f>IF(B39=1,Fruit_Inputs!$O$20,AD38*(1+Fruit_Inputs!$N$23))*F39</f>
        <v>0</v>
      </c>
      <c r="AE39" s="122">
        <f>IF(B39=1,Fruit_Inputs!$O$21,AE38*(1+Fruit_Inputs!$N$23))*F39</f>
        <v>0</v>
      </c>
      <c r="AF39" s="132">
        <f>IF(B39=1,Fruit_Inputs!$O$22,AF38*(1+Fruit_Inputs!$N$23))*F39</f>
        <v>0</v>
      </c>
      <c r="AG39" s="200">
        <f t="shared" si="31"/>
        <v>0</v>
      </c>
      <c r="AH39" s="86">
        <f t="shared" si="13"/>
        <v>0</v>
      </c>
      <c r="AI39" s="225">
        <f t="shared" si="14"/>
        <v>0</v>
      </c>
      <c r="AJ39" s="220">
        <f>Deprec!F38</f>
        <v>0</v>
      </c>
      <c r="AK39" s="86">
        <f t="shared" si="15"/>
        <v>0</v>
      </c>
      <c r="AL39" s="455">
        <f t="shared" si="32"/>
        <v>0</v>
      </c>
      <c r="AM39" s="86">
        <f t="shared" si="33"/>
        <v>0</v>
      </c>
      <c r="AN39" s="438">
        <f>IF(AM39&lt;0,0,(AM39*Fruit_Inputs!$J$14))</f>
        <v>0</v>
      </c>
      <c r="AO39" s="86">
        <f t="shared" si="34"/>
        <v>0</v>
      </c>
      <c r="AP39" s="226">
        <f t="shared" si="16"/>
        <v>0</v>
      </c>
      <c r="AS39" s="196">
        <f t="shared" si="17"/>
        <v>0</v>
      </c>
      <c r="AT39" s="86">
        <f t="shared" si="18"/>
        <v>0</v>
      </c>
      <c r="AU39" s="197">
        <f t="shared" si="35"/>
        <v>0</v>
      </c>
      <c r="AV39" s="218">
        <f>IF(B39=0,Fruit_Inputs!$C$29,0)</f>
        <v>0</v>
      </c>
      <c r="AW39" s="198">
        <f t="shared" si="5"/>
        <v>0</v>
      </c>
      <c r="AX39" s="197">
        <f t="shared" si="6"/>
        <v>0</v>
      </c>
      <c r="AY39" s="184">
        <f>IF(B39=0,Fruit_Inputs!$G$15+Fruit_Inputs!$G$16,0)</f>
        <v>0</v>
      </c>
      <c r="AZ39" s="185">
        <f>IF(B39=0,Fruit_Inputs!$G$14,0)</f>
        <v>0</v>
      </c>
      <c r="BA39" s="200">
        <f t="shared" si="7"/>
        <v>0</v>
      </c>
      <c r="BB39" s="196">
        <f t="shared" si="8"/>
        <v>0</v>
      </c>
      <c r="BC39" s="218">
        <f>Fruit_Inputs!$G$20*AVERAGE(BR39,BS39)</f>
        <v>0</v>
      </c>
      <c r="BD39" s="200">
        <f t="shared" si="9"/>
        <v>0</v>
      </c>
      <c r="BE39" s="200">
        <f t="shared" si="19"/>
        <v>0</v>
      </c>
      <c r="BF39" s="86">
        <f t="shared" si="20"/>
        <v>0</v>
      </c>
      <c r="BG39" s="197">
        <f t="shared" si="21"/>
        <v>0</v>
      </c>
      <c r="BH39" s="86">
        <f t="shared" si="36"/>
        <v>0</v>
      </c>
      <c r="BI39" s="86">
        <f t="shared" si="37"/>
        <v>0</v>
      </c>
      <c r="BJ39" s="122">
        <f>-Debt_Calc!W37</f>
        <v>0</v>
      </c>
      <c r="BK39" s="122">
        <f>Debt_Calc!X37</f>
        <v>0</v>
      </c>
      <c r="BL39" s="86">
        <f t="shared" si="22"/>
        <v>0</v>
      </c>
      <c r="BM39" s="423">
        <f t="shared" si="38"/>
        <v>0</v>
      </c>
      <c r="BN39" s="86">
        <f t="shared" si="39"/>
        <v>0</v>
      </c>
      <c r="BO39" s="86">
        <f t="shared" si="23"/>
        <v>0</v>
      </c>
      <c r="BP39" s="86">
        <f t="shared" si="40"/>
        <v>0</v>
      </c>
      <c r="BQ39" s="86">
        <f t="shared" si="24"/>
        <v>0</v>
      </c>
      <c r="BR39" s="86">
        <f t="shared" si="25"/>
        <v>0</v>
      </c>
      <c r="BS39" s="86">
        <f t="shared" si="10"/>
        <v>0</v>
      </c>
      <c r="BT39" s="86">
        <f t="shared" si="26"/>
        <v>854919.0365371888</v>
      </c>
      <c r="BU39" s="86">
        <f t="shared" si="41"/>
        <v>2</v>
      </c>
      <c r="BV39" s="214">
        <f t="shared" si="11"/>
        <v>0</v>
      </c>
    </row>
    <row r="40" spans="2:93" s="86" customFormat="1" x14ac:dyDescent="0.3">
      <c r="B40" s="192">
        <f t="shared" si="27"/>
        <v>29</v>
      </c>
      <c r="C40" s="350">
        <f t="shared" si="12"/>
        <v>2050</v>
      </c>
      <c r="D40" s="351">
        <f t="shared" si="42"/>
        <v>54789</v>
      </c>
      <c r="E40" s="441">
        <f t="shared" si="42"/>
        <v>55153</v>
      </c>
      <c r="F40" s="445">
        <f>IF(AND(B40&gt;0,B40&lt;=Fruit_Inputs!$J$17),1,0)</f>
        <v>0</v>
      </c>
      <c r="G40" s="447">
        <f>IF(F40=1,Fruit_Inputs!$G$31,0)</f>
        <v>0</v>
      </c>
      <c r="H40" s="348">
        <f>IF(AND(F39=0,F40=1),100%,IF(AND(F39=0,F40=0),100%,H39-Fruit_Inputs!$G$44))*F40</f>
        <v>0</v>
      </c>
      <c r="I40" s="216">
        <f t="shared" si="29"/>
        <v>0</v>
      </c>
      <c r="J40" s="219">
        <f>Fruit_Inputs!$J$11</f>
        <v>0.01</v>
      </c>
      <c r="K40" s="444">
        <f>IF(B40=1,Fruit_Inputs!$R$15,K39*(1+Fruit_CashFlows!J40))*F40</f>
        <v>0</v>
      </c>
      <c r="L40" s="338">
        <f>IF(B40=1,Fruit_Inputs!$R$16,L39*(1+Fruit_CashFlows!J40))*F40</f>
        <v>0</v>
      </c>
      <c r="M40" s="122">
        <f>K40*I40*Fruit_Inputs!$J$9</f>
        <v>0</v>
      </c>
      <c r="N40" s="222">
        <f>L40*I40*Fruit_Inputs!$J$10</f>
        <v>0</v>
      </c>
      <c r="O40" s="423">
        <f t="shared" si="30"/>
        <v>0</v>
      </c>
      <c r="P40" s="122">
        <f>SUM(M40:O40)+IF(B40=Fruit_Inputs!$J$17,Fruit_Inputs!$J$19,0)</f>
        <v>0</v>
      </c>
      <c r="Q40" s="218">
        <f>IF(B40=1,Fruit_Inputs!$O$7,Q39*(1+Fruit_Inputs!$N$23))*F40</f>
        <v>0</v>
      </c>
      <c r="R40" s="122">
        <f>IF(B40=1,Fruit_Inputs!$O$8,R39*(1+Fruit_Inputs!$N$23))*F40</f>
        <v>0</v>
      </c>
      <c r="S40" s="122">
        <f>IF(B40=1,Fruit_Inputs!$O$9,S39*(1+Fruit_Inputs!$N$23))*F40</f>
        <v>0</v>
      </c>
      <c r="T40" s="122">
        <f>IF(B40=1,Fruit_Inputs!$O$10,T39*(1+Fruit_Inputs!$N$23))*F40</f>
        <v>0</v>
      </c>
      <c r="U40" s="122">
        <f>IF(B40=1,Fruit_Inputs!$O$11,U39*(1+Fruit_Inputs!$N$23))*F40</f>
        <v>0</v>
      </c>
      <c r="V40" s="122">
        <f>IF(B40=1,Fruit_Inputs!$O$12,V39*(1+Fruit_Inputs!$N$23))*F40</f>
        <v>0</v>
      </c>
      <c r="W40" s="122">
        <f>IF(B40=1,Fruit_Inputs!$O$13,W39*(1+Fruit_Inputs!$N$23))*F40</f>
        <v>0</v>
      </c>
      <c r="X40" s="122">
        <f>IF(B40=1,Fruit_Inputs!$O$14,X39*(1+Fruit_Inputs!$N$23))*F40</f>
        <v>0</v>
      </c>
      <c r="Y40" s="122">
        <f>IF(B40=1,Fruit_Inputs!$O$15,Y39*(1+Fruit_Inputs!$N$23))*F40</f>
        <v>0</v>
      </c>
      <c r="Z40" s="122">
        <f>IF(B40=1,Fruit_Inputs!$O$16,Z39*(1+Fruit_Inputs!$N$23))*F40</f>
        <v>0</v>
      </c>
      <c r="AA40" s="122">
        <f>IF(B40=1,Fruit_Inputs!$O$17,AA39*(1+Fruit_Inputs!$N$23))*F40</f>
        <v>0</v>
      </c>
      <c r="AB40" s="181">
        <f>IF(B40=1,Fruit_Inputs!$O$18,AB39*(1+Fruit_Inputs!$N$23))*F40</f>
        <v>0</v>
      </c>
      <c r="AC40" s="482">
        <f>IF(B40=1,Fruit_Inputs!$O$19,AC39*(1+Fruit_Inputs!$N$23))*F40</f>
        <v>0</v>
      </c>
      <c r="AD40" s="122">
        <f>IF(B40=1,Fruit_Inputs!$O$20,AD39*(1+Fruit_Inputs!$N$23))*F40</f>
        <v>0</v>
      </c>
      <c r="AE40" s="122">
        <f>IF(B40=1,Fruit_Inputs!$O$21,AE39*(1+Fruit_Inputs!$N$23))*F40</f>
        <v>0</v>
      </c>
      <c r="AF40" s="132">
        <f>IF(B40=1,Fruit_Inputs!$O$22,AF39*(1+Fruit_Inputs!$N$23))*F40</f>
        <v>0</v>
      </c>
      <c r="AG40" s="200">
        <f t="shared" si="31"/>
        <v>0</v>
      </c>
      <c r="AH40" s="86">
        <f t="shared" si="13"/>
        <v>0</v>
      </c>
      <c r="AI40" s="225">
        <f t="shared" si="14"/>
        <v>0</v>
      </c>
      <c r="AJ40" s="220">
        <f>Deprec!F39</f>
        <v>0</v>
      </c>
      <c r="AK40" s="86">
        <f t="shared" si="15"/>
        <v>0</v>
      </c>
      <c r="AL40" s="455">
        <f t="shared" si="32"/>
        <v>0</v>
      </c>
      <c r="AM40" s="86">
        <f t="shared" si="33"/>
        <v>0</v>
      </c>
      <c r="AN40" s="438">
        <f>IF(AM40&lt;0,0,(AM40*Fruit_Inputs!$J$14))</f>
        <v>0</v>
      </c>
      <c r="AO40" s="86">
        <f t="shared" si="34"/>
        <v>0</v>
      </c>
      <c r="AP40" s="226">
        <f t="shared" si="16"/>
        <v>0</v>
      </c>
      <c r="AS40" s="196">
        <f t="shared" si="17"/>
        <v>0</v>
      </c>
      <c r="AT40" s="86">
        <f t="shared" si="18"/>
        <v>0</v>
      </c>
      <c r="AU40" s="197">
        <f t="shared" si="35"/>
        <v>0</v>
      </c>
      <c r="AV40" s="218">
        <f>IF(B40=0,Fruit_Inputs!$C$29,0)</f>
        <v>0</v>
      </c>
      <c r="AW40" s="198">
        <f t="shared" si="5"/>
        <v>0</v>
      </c>
      <c r="AX40" s="197">
        <f t="shared" si="6"/>
        <v>0</v>
      </c>
      <c r="AY40" s="184">
        <f>IF(B40=0,Fruit_Inputs!$G$15+Fruit_Inputs!$G$16,0)</f>
        <v>0</v>
      </c>
      <c r="AZ40" s="185">
        <f>IF(B40=0,Fruit_Inputs!$G$14,0)</f>
        <v>0</v>
      </c>
      <c r="BA40" s="200">
        <f t="shared" si="7"/>
        <v>0</v>
      </c>
      <c r="BB40" s="196">
        <f t="shared" si="8"/>
        <v>0</v>
      </c>
      <c r="BC40" s="218">
        <f>Fruit_Inputs!$G$20*AVERAGE(BR40,BS40)</f>
        <v>0</v>
      </c>
      <c r="BD40" s="200">
        <f t="shared" si="9"/>
        <v>0</v>
      </c>
      <c r="BE40" s="200">
        <f t="shared" si="19"/>
        <v>0</v>
      </c>
      <c r="BF40" s="86">
        <f t="shared" si="20"/>
        <v>0</v>
      </c>
      <c r="BG40" s="197">
        <f t="shared" si="21"/>
        <v>0</v>
      </c>
      <c r="BH40" s="86">
        <f t="shared" si="36"/>
        <v>0</v>
      </c>
      <c r="BI40" s="86">
        <f t="shared" si="37"/>
        <v>0</v>
      </c>
      <c r="BJ40" s="122">
        <f>-Debt_Calc!W38</f>
        <v>0</v>
      </c>
      <c r="BK40" s="122">
        <f>Debt_Calc!X38</f>
        <v>0</v>
      </c>
      <c r="BL40" s="86">
        <f t="shared" si="22"/>
        <v>0</v>
      </c>
      <c r="BM40" s="423">
        <f t="shared" si="38"/>
        <v>0</v>
      </c>
      <c r="BN40" s="86">
        <f t="shared" si="39"/>
        <v>0</v>
      </c>
      <c r="BO40" s="86">
        <f t="shared" si="23"/>
        <v>0</v>
      </c>
      <c r="BP40" s="86">
        <f t="shared" si="40"/>
        <v>0</v>
      </c>
      <c r="BQ40" s="86">
        <f t="shared" si="24"/>
        <v>0</v>
      </c>
      <c r="BR40" s="86">
        <f t="shared" si="25"/>
        <v>0</v>
      </c>
      <c r="BS40" s="86">
        <f t="shared" si="10"/>
        <v>0</v>
      </c>
      <c r="BT40" s="86">
        <f t="shared" si="26"/>
        <v>854919.0365371888</v>
      </c>
      <c r="BU40" s="86">
        <f t="shared" si="41"/>
        <v>2</v>
      </c>
      <c r="BV40" s="214">
        <f t="shared" si="11"/>
        <v>0</v>
      </c>
    </row>
    <row r="41" spans="2:93" s="86" customFormat="1" x14ac:dyDescent="0.3">
      <c r="B41" s="192">
        <f t="shared" si="27"/>
        <v>30</v>
      </c>
      <c r="C41" s="350">
        <f t="shared" si="12"/>
        <v>2051</v>
      </c>
      <c r="D41" s="351">
        <f t="shared" si="42"/>
        <v>55154</v>
      </c>
      <c r="E41" s="441">
        <f t="shared" si="42"/>
        <v>55518</v>
      </c>
      <c r="F41" s="445">
        <f>IF(AND(B41&gt;0,B41&lt;=Fruit_Inputs!$J$17),1,0)</f>
        <v>0</v>
      </c>
      <c r="G41" s="447">
        <f>IF(F41=1,Fruit_Inputs!$G$31,0)</f>
        <v>0</v>
      </c>
      <c r="H41" s="348">
        <f>IF(AND(F40=0,F41=1),100%,IF(AND(F40=0,F41=0),100%,H40-Fruit_Inputs!$G$44))*F41</f>
        <v>0</v>
      </c>
      <c r="I41" s="216">
        <f t="shared" si="29"/>
        <v>0</v>
      </c>
      <c r="J41" s="219">
        <f>Fruit_Inputs!$J$11</f>
        <v>0.01</v>
      </c>
      <c r="K41" s="444">
        <f>IF(B41=1,Fruit_Inputs!$R$15,K40*(1+Fruit_CashFlows!J41))*F41</f>
        <v>0</v>
      </c>
      <c r="L41" s="338">
        <f>IF(B41=1,Fruit_Inputs!$R$16,L40*(1+Fruit_CashFlows!J41))*F41</f>
        <v>0</v>
      </c>
      <c r="M41" s="122">
        <f>K41*I41*Fruit_Inputs!$J$9</f>
        <v>0</v>
      </c>
      <c r="N41" s="222">
        <f>L41*I41*Fruit_Inputs!$J$10</f>
        <v>0</v>
      </c>
      <c r="O41" s="423">
        <f t="shared" si="30"/>
        <v>0</v>
      </c>
      <c r="P41" s="122">
        <f>SUM(M41:O41)+IF(B41=Fruit_Inputs!$J$17,Fruit_Inputs!$J$19,0)</f>
        <v>0</v>
      </c>
      <c r="Q41" s="218">
        <f>IF(B41=1,Fruit_Inputs!$O$7,Q40*(1+Fruit_Inputs!$N$23))*F41</f>
        <v>0</v>
      </c>
      <c r="R41" s="122">
        <f>IF(B41=1,Fruit_Inputs!$O$8,R40*(1+Fruit_Inputs!$N$23))*F41</f>
        <v>0</v>
      </c>
      <c r="S41" s="122">
        <f>IF(B41=1,Fruit_Inputs!$O$9,S40*(1+Fruit_Inputs!$N$23))*F41</f>
        <v>0</v>
      </c>
      <c r="T41" s="122">
        <f>IF(B41=1,Fruit_Inputs!$O$10,T40*(1+Fruit_Inputs!$N$23))*F41</f>
        <v>0</v>
      </c>
      <c r="U41" s="122">
        <f>IF(B41=1,Fruit_Inputs!$O$11,U40*(1+Fruit_Inputs!$N$23))*F41</f>
        <v>0</v>
      </c>
      <c r="V41" s="122">
        <f>IF(B41=1,Fruit_Inputs!$O$12,V40*(1+Fruit_Inputs!$N$23))*F41</f>
        <v>0</v>
      </c>
      <c r="W41" s="122">
        <f>IF(B41=1,Fruit_Inputs!$O$13,W40*(1+Fruit_Inputs!$N$23))*F41</f>
        <v>0</v>
      </c>
      <c r="X41" s="122">
        <f>IF(B41=1,Fruit_Inputs!$O$14,X40*(1+Fruit_Inputs!$N$23))*F41</f>
        <v>0</v>
      </c>
      <c r="Y41" s="122">
        <f>IF(B41=1,Fruit_Inputs!$O$15,Y40*(1+Fruit_Inputs!$N$23))*F41</f>
        <v>0</v>
      </c>
      <c r="Z41" s="122">
        <f>IF(B41=1,Fruit_Inputs!$O$16,Z40*(1+Fruit_Inputs!$N$23))*F41</f>
        <v>0</v>
      </c>
      <c r="AA41" s="122">
        <f>IF(B41=1,Fruit_Inputs!$O$17,AA40*(1+Fruit_Inputs!$N$23))*F41</f>
        <v>0</v>
      </c>
      <c r="AB41" s="181">
        <f>IF(B41=1,Fruit_Inputs!$O$18,AB40*(1+Fruit_Inputs!$N$23))*F41</f>
        <v>0</v>
      </c>
      <c r="AC41" s="482">
        <f>IF(B41=1,Fruit_Inputs!$O$19,AC40*(1+Fruit_Inputs!$N$23))*F41</f>
        <v>0</v>
      </c>
      <c r="AD41" s="122">
        <f>IF(B41=1,Fruit_Inputs!$O$20,AD40*(1+Fruit_Inputs!$N$23))*F41</f>
        <v>0</v>
      </c>
      <c r="AE41" s="122">
        <f>IF(B41=1,Fruit_Inputs!$O$21,AE40*(1+Fruit_Inputs!$N$23))*F41</f>
        <v>0</v>
      </c>
      <c r="AF41" s="132">
        <f>IF(B41=1,Fruit_Inputs!$O$22,AF40*(1+Fruit_Inputs!$N$23))*F41</f>
        <v>0</v>
      </c>
      <c r="AG41" s="200">
        <f t="shared" si="31"/>
        <v>0</v>
      </c>
      <c r="AH41" s="86">
        <f t="shared" si="13"/>
        <v>0</v>
      </c>
      <c r="AI41" s="225">
        <f t="shared" si="14"/>
        <v>0</v>
      </c>
      <c r="AJ41" s="220">
        <f>Deprec!F40</f>
        <v>0</v>
      </c>
      <c r="AK41" s="86">
        <f t="shared" si="15"/>
        <v>0</v>
      </c>
      <c r="AL41" s="455">
        <f t="shared" si="32"/>
        <v>0</v>
      </c>
      <c r="AM41" s="86">
        <f t="shared" si="33"/>
        <v>0</v>
      </c>
      <c r="AN41" s="438">
        <f>IF(AM41&lt;0,0,(AM41*Fruit_Inputs!$J$14))</f>
        <v>0</v>
      </c>
      <c r="AO41" s="86">
        <f t="shared" si="34"/>
        <v>0</v>
      </c>
      <c r="AP41" s="226">
        <f t="shared" si="16"/>
        <v>0</v>
      </c>
      <c r="AS41" s="196">
        <f t="shared" si="17"/>
        <v>0</v>
      </c>
      <c r="AT41" s="86">
        <f t="shared" si="18"/>
        <v>0</v>
      </c>
      <c r="AU41" s="197">
        <f t="shared" si="35"/>
        <v>0</v>
      </c>
      <c r="AV41" s="218">
        <f>IF(B41=0,Fruit_Inputs!$C$29,0)</f>
        <v>0</v>
      </c>
      <c r="AW41" s="198">
        <f t="shared" si="5"/>
        <v>0</v>
      </c>
      <c r="AX41" s="197">
        <f t="shared" si="6"/>
        <v>0</v>
      </c>
      <c r="AY41" s="184">
        <f>IF(B41=0,Fruit_Inputs!$G$15+Fruit_Inputs!$G$16,0)</f>
        <v>0</v>
      </c>
      <c r="AZ41" s="185">
        <f>IF(B41=0,Fruit_Inputs!$G$14,0)</f>
        <v>0</v>
      </c>
      <c r="BA41" s="200">
        <f t="shared" si="7"/>
        <v>0</v>
      </c>
      <c r="BB41" s="196">
        <f t="shared" si="8"/>
        <v>0</v>
      </c>
      <c r="BC41" s="218">
        <f>Fruit_Inputs!$G$20*AVERAGE(BR41,BS41)</f>
        <v>0</v>
      </c>
      <c r="BD41" s="200">
        <f t="shared" si="9"/>
        <v>0</v>
      </c>
      <c r="BE41" s="200">
        <f t="shared" si="19"/>
        <v>0</v>
      </c>
      <c r="BF41" s="86">
        <f t="shared" si="20"/>
        <v>0</v>
      </c>
      <c r="BG41" s="197">
        <f t="shared" si="21"/>
        <v>0</v>
      </c>
      <c r="BH41" s="86">
        <f t="shared" si="36"/>
        <v>0</v>
      </c>
      <c r="BI41" s="86">
        <f t="shared" si="37"/>
        <v>0</v>
      </c>
      <c r="BJ41" s="122">
        <f>-Debt_Calc!W39</f>
        <v>0</v>
      </c>
      <c r="BK41" s="122">
        <f>Debt_Calc!X39</f>
        <v>0</v>
      </c>
      <c r="BL41" s="86">
        <f t="shared" si="22"/>
        <v>0</v>
      </c>
      <c r="BM41" s="423">
        <f t="shared" si="38"/>
        <v>0</v>
      </c>
      <c r="BN41" s="86">
        <f t="shared" si="39"/>
        <v>0</v>
      </c>
      <c r="BO41" s="86">
        <f t="shared" si="23"/>
        <v>0</v>
      </c>
      <c r="BP41" s="86">
        <f t="shared" si="40"/>
        <v>0</v>
      </c>
      <c r="BQ41" s="86">
        <f t="shared" si="24"/>
        <v>0</v>
      </c>
      <c r="BR41" s="86">
        <f t="shared" si="25"/>
        <v>0</v>
      </c>
      <c r="BS41" s="86">
        <f t="shared" si="10"/>
        <v>0</v>
      </c>
      <c r="BT41" s="86">
        <f t="shared" si="26"/>
        <v>854919.0365371888</v>
      </c>
      <c r="BU41" s="86">
        <f t="shared" si="41"/>
        <v>2</v>
      </c>
      <c r="BV41" s="214">
        <f t="shared" si="11"/>
        <v>0</v>
      </c>
    </row>
    <row r="42" spans="2:93" s="86" customFormat="1" x14ac:dyDescent="0.3">
      <c r="B42" s="192">
        <f t="shared" si="27"/>
        <v>31</v>
      </c>
      <c r="C42" s="350">
        <f t="shared" si="12"/>
        <v>2052</v>
      </c>
      <c r="D42" s="351">
        <f t="shared" si="42"/>
        <v>55519</v>
      </c>
      <c r="E42" s="441">
        <f t="shared" si="42"/>
        <v>55884</v>
      </c>
      <c r="F42" s="445">
        <f>IF(AND(B42&gt;0,B42&lt;=Fruit_Inputs!$J$17),1,0)</f>
        <v>0</v>
      </c>
      <c r="G42" s="447">
        <f>IF(F42=1,Fruit_Inputs!$G$31,0)</f>
        <v>0</v>
      </c>
      <c r="H42" s="348">
        <f>IF(AND(F41=0,F42=1),100%,IF(AND(F41=0,F42=0),100%,H41-Fruit_Inputs!$G$44))*F42</f>
        <v>0</v>
      </c>
      <c r="I42" s="216">
        <f t="shared" si="29"/>
        <v>0</v>
      </c>
      <c r="J42" s="219">
        <f>Fruit_Inputs!$J$11</f>
        <v>0.01</v>
      </c>
      <c r="K42" s="444">
        <f>IF(B42=1,Fruit_Inputs!$R$15,K41*(1+Fruit_CashFlows!J42))*F42</f>
        <v>0</v>
      </c>
      <c r="L42" s="338">
        <f>IF(B42=1,Fruit_Inputs!$R$16,L41*(1+Fruit_CashFlows!J42))*F42</f>
        <v>0</v>
      </c>
      <c r="M42" s="122">
        <f>K42*I42*Fruit_Inputs!$J$9</f>
        <v>0</v>
      </c>
      <c r="N42" s="222">
        <f>L42*I42*Fruit_Inputs!$J$10</f>
        <v>0</v>
      </c>
      <c r="O42" s="423">
        <f t="shared" si="30"/>
        <v>0</v>
      </c>
      <c r="P42" s="122">
        <f>SUM(M42:O42)+IF(B42=Fruit_Inputs!$J$17,Fruit_Inputs!$J$19,0)</f>
        <v>0</v>
      </c>
      <c r="Q42" s="218">
        <f>IF(B42=1,Fruit_Inputs!$O$7,Q41*(1+Fruit_Inputs!$N$23))*F42</f>
        <v>0</v>
      </c>
      <c r="R42" s="122">
        <f>IF(B42=1,Fruit_Inputs!$O$8,R41*(1+Fruit_Inputs!$N$23))*F42</f>
        <v>0</v>
      </c>
      <c r="S42" s="122">
        <f>IF(B42=1,Fruit_Inputs!$O$9,S41*(1+Fruit_Inputs!$N$23))*F42</f>
        <v>0</v>
      </c>
      <c r="T42" s="122">
        <f>IF(B42=1,Fruit_Inputs!$O$10,T41*(1+Fruit_Inputs!$N$23))*F42</f>
        <v>0</v>
      </c>
      <c r="U42" s="122">
        <f>IF(B42=1,Fruit_Inputs!$O$11,U41*(1+Fruit_Inputs!$N$23))*F42</f>
        <v>0</v>
      </c>
      <c r="V42" s="122">
        <f>IF(B42=1,Fruit_Inputs!$O$12,V41*(1+Fruit_Inputs!$N$23))*F42</f>
        <v>0</v>
      </c>
      <c r="W42" s="122">
        <f>IF(B42=1,Fruit_Inputs!$O$13,W41*(1+Fruit_Inputs!$N$23))*F42</f>
        <v>0</v>
      </c>
      <c r="X42" s="122">
        <f>IF(B42=1,Fruit_Inputs!$O$14,X41*(1+Fruit_Inputs!$N$23))*F42</f>
        <v>0</v>
      </c>
      <c r="Y42" s="122">
        <f>IF(B42=1,Fruit_Inputs!$O$15,Y41*(1+Fruit_Inputs!$N$23))*F42</f>
        <v>0</v>
      </c>
      <c r="Z42" s="122">
        <f>IF(B42=1,Fruit_Inputs!$O$16,Z41*(1+Fruit_Inputs!$N$23))*F42</f>
        <v>0</v>
      </c>
      <c r="AA42" s="122">
        <f>IF(B42=1,Fruit_Inputs!$O$17,AA41*(1+Fruit_Inputs!$N$23))*F42</f>
        <v>0</v>
      </c>
      <c r="AB42" s="181">
        <f>IF(B42=1,Fruit_Inputs!$O$18,AB41*(1+Fruit_Inputs!$N$23))*F42</f>
        <v>0</v>
      </c>
      <c r="AC42" s="482">
        <f>IF(B42=1,Fruit_Inputs!$O$19,AC41*(1+Fruit_Inputs!$N$23))*F42</f>
        <v>0</v>
      </c>
      <c r="AD42" s="122">
        <f>IF(B42=1,Fruit_Inputs!$O$20,AD41*(1+Fruit_Inputs!$N$23))*F42</f>
        <v>0</v>
      </c>
      <c r="AE42" s="122">
        <f>IF(B42=1,Fruit_Inputs!$O$21,AE41*(1+Fruit_Inputs!$N$23))*F42</f>
        <v>0</v>
      </c>
      <c r="AF42" s="132">
        <f>IF(B42=1,Fruit_Inputs!$O$22,AF41*(1+Fruit_Inputs!$N$23))*F42</f>
        <v>0</v>
      </c>
      <c r="AG42" s="200">
        <f t="shared" si="31"/>
        <v>0</v>
      </c>
      <c r="AH42" s="86">
        <f t="shared" si="13"/>
        <v>0</v>
      </c>
      <c r="AI42" s="225">
        <f t="shared" si="14"/>
        <v>0</v>
      </c>
      <c r="AJ42" s="220">
        <f>Deprec!F41</f>
        <v>0</v>
      </c>
      <c r="AK42" s="86">
        <f t="shared" si="15"/>
        <v>0</v>
      </c>
      <c r="AL42" s="455">
        <f t="shared" si="32"/>
        <v>0</v>
      </c>
      <c r="AM42" s="86">
        <f t="shared" si="33"/>
        <v>0</v>
      </c>
      <c r="AN42" s="438">
        <f>IF(AM42&lt;0,0,(AM42*Fruit_Inputs!$J$14))</f>
        <v>0</v>
      </c>
      <c r="AO42" s="86">
        <f t="shared" si="34"/>
        <v>0</v>
      </c>
      <c r="AP42" s="226">
        <f t="shared" si="16"/>
        <v>0</v>
      </c>
      <c r="AS42" s="196">
        <f t="shared" si="17"/>
        <v>0</v>
      </c>
      <c r="AT42" s="86">
        <f t="shared" si="18"/>
        <v>0</v>
      </c>
      <c r="AU42" s="197">
        <f t="shared" si="35"/>
        <v>0</v>
      </c>
      <c r="AV42" s="218">
        <f>IF(B42=0,Fruit_Inputs!$C$29,0)</f>
        <v>0</v>
      </c>
      <c r="AW42" s="198">
        <f t="shared" si="5"/>
        <v>0</v>
      </c>
      <c r="AX42" s="197">
        <f t="shared" si="6"/>
        <v>0</v>
      </c>
      <c r="AY42" s="184">
        <f>IF(B42=0,Fruit_Inputs!$G$15+Fruit_Inputs!$G$16,0)</f>
        <v>0</v>
      </c>
      <c r="AZ42" s="185">
        <f>IF(B42=0,Fruit_Inputs!$G$14,0)</f>
        <v>0</v>
      </c>
      <c r="BA42" s="200">
        <f t="shared" si="7"/>
        <v>0</v>
      </c>
      <c r="BB42" s="196">
        <f t="shared" si="8"/>
        <v>0</v>
      </c>
      <c r="BC42" s="218">
        <f>Fruit_Inputs!$G$20*AVERAGE(BR42,BS42)</f>
        <v>0</v>
      </c>
      <c r="BD42" s="200">
        <f t="shared" si="9"/>
        <v>0</v>
      </c>
      <c r="BE42" s="200">
        <f t="shared" si="19"/>
        <v>0</v>
      </c>
      <c r="BF42" s="86">
        <f t="shared" si="20"/>
        <v>0</v>
      </c>
      <c r="BG42" s="197">
        <f t="shared" si="21"/>
        <v>0</v>
      </c>
      <c r="BH42" s="86">
        <f t="shared" si="36"/>
        <v>0</v>
      </c>
      <c r="BI42" s="86">
        <f t="shared" si="37"/>
        <v>0</v>
      </c>
      <c r="BJ42" s="122">
        <f>-Debt_Calc!W40</f>
        <v>0</v>
      </c>
      <c r="BK42" s="122">
        <f>Debt_Calc!X40</f>
        <v>0</v>
      </c>
      <c r="BL42" s="86">
        <f t="shared" si="22"/>
        <v>0</v>
      </c>
      <c r="BM42" s="423">
        <f t="shared" si="38"/>
        <v>0</v>
      </c>
      <c r="BN42" s="86">
        <f t="shared" si="39"/>
        <v>0</v>
      </c>
      <c r="BO42" s="86">
        <f t="shared" si="23"/>
        <v>0</v>
      </c>
      <c r="BP42" s="86">
        <f t="shared" si="40"/>
        <v>0</v>
      </c>
      <c r="BQ42" s="86">
        <f t="shared" si="24"/>
        <v>0</v>
      </c>
      <c r="BR42" s="86">
        <f t="shared" si="25"/>
        <v>0</v>
      </c>
      <c r="BS42" s="86">
        <f t="shared" si="10"/>
        <v>0</v>
      </c>
      <c r="BT42" s="86">
        <f t="shared" si="26"/>
        <v>854919.0365371888</v>
      </c>
      <c r="BU42" s="86">
        <f t="shared" si="41"/>
        <v>2</v>
      </c>
      <c r="BV42" s="214">
        <f t="shared" si="11"/>
        <v>0</v>
      </c>
    </row>
    <row r="43" spans="2:93" s="86" customFormat="1" x14ac:dyDescent="0.3">
      <c r="B43" s="192">
        <f t="shared" si="27"/>
        <v>32</v>
      </c>
      <c r="C43" s="350">
        <f t="shared" si="12"/>
        <v>2053</v>
      </c>
      <c r="D43" s="351">
        <f t="shared" si="42"/>
        <v>55885</v>
      </c>
      <c r="E43" s="441">
        <f t="shared" si="42"/>
        <v>56249</v>
      </c>
      <c r="F43" s="445">
        <f>IF(AND(B43&gt;0,B43&lt;=Fruit_Inputs!$J$17),1,0)</f>
        <v>0</v>
      </c>
      <c r="G43" s="447">
        <f>IF(F43=1,Fruit_Inputs!$G$31,0)</f>
        <v>0</v>
      </c>
      <c r="H43" s="348">
        <f>IF(AND(F42=0,F43=1),100%,IF(AND(F42=0,F43=0),100%,H42-Fruit_Inputs!$G$44))*F43</f>
        <v>0</v>
      </c>
      <c r="I43" s="216">
        <f t="shared" si="29"/>
        <v>0</v>
      </c>
      <c r="J43" s="219">
        <f>Fruit_Inputs!$J$11</f>
        <v>0.01</v>
      </c>
      <c r="K43" s="444">
        <f>IF(B43=1,Fruit_Inputs!$R$15,K42*(1+Fruit_CashFlows!J43))*F43</f>
        <v>0</v>
      </c>
      <c r="L43" s="338">
        <f>IF(B43=1,Fruit_Inputs!$R$16,L42*(1+Fruit_CashFlows!J43))*F43</f>
        <v>0</v>
      </c>
      <c r="M43" s="122">
        <f>K43*I43*Fruit_Inputs!$J$9</f>
        <v>0</v>
      </c>
      <c r="N43" s="222">
        <f>L43*I43*Fruit_Inputs!$J$10</f>
        <v>0</v>
      </c>
      <c r="O43" s="423">
        <f t="shared" si="30"/>
        <v>0</v>
      </c>
      <c r="P43" s="122">
        <f>SUM(M43:O43)+IF(B43=Fruit_Inputs!$J$17,Fruit_Inputs!$J$19,0)</f>
        <v>0</v>
      </c>
      <c r="Q43" s="218">
        <f>IF(B43=1,Fruit_Inputs!$O$7,Q42*(1+Fruit_Inputs!$N$23))*F43</f>
        <v>0</v>
      </c>
      <c r="R43" s="122">
        <f>IF(B43=1,Fruit_Inputs!$O$8,R42*(1+Fruit_Inputs!$N$23))*F43</f>
        <v>0</v>
      </c>
      <c r="S43" s="122">
        <f>IF(B43=1,Fruit_Inputs!$O$9,S42*(1+Fruit_Inputs!$N$23))*F43</f>
        <v>0</v>
      </c>
      <c r="T43" s="122">
        <f>IF(B43=1,Fruit_Inputs!$O$10,T42*(1+Fruit_Inputs!$N$23))*F43</f>
        <v>0</v>
      </c>
      <c r="U43" s="122">
        <f>IF(B43=1,Fruit_Inputs!$O$11,U42*(1+Fruit_Inputs!$N$23))*F43</f>
        <v>0</v>
      </c>
      <c r="V43" s="122">
        <f>IF(B43=1,Fruit_Inputs!$O$12,V42*(1+Fruit_Inputs!$N$23))*F43</f>
        <v>0</v>
      </c>
      <c r="W43" s="122">
        <f>IF(B43=1,Fruit_Inputs!$O$13,W42*(1+Fruit_Inputs!$N$23))*F43</f>
        <v>0</v>
      </c>
      <c r="X43" s="122">
        <f>IF(B43=1,Fruit_Inputs!$O$14,X42*(1+Fruit_Inputs!$N$23))*F43</f>
        <v>0</v>
      </c>
      <c r="Y43" s="122">
        <f>IF(B43=1,Fruit_Inputs!$O$15,Y42*(1+Fruit_Inputs!$N$23))*F43</f>
        <v>0</v>
      </c>
      <c r="Z43" s="122">
        <f>IF(B43=1,Fruit_Inputs!$O$16,Z42*(1+Fruit_Inputs!$N$23))*F43</f>
        <v>0</v>
      </c>
      <c r="AA43" s="122">
        <f>IF(B43=1,Fruit_Inputs!$O$17,AA42*(1+Fruit_Inputs!$N$23))*F43</f>
        <v>0</v>
      </c>
      <c r="AB43" s="181">
        <f>IF(B43=1,Fruit_Inputs!$O$18,AB42*(1+Fruit_Inputs!$N$23))*F43</f>
        <v>0</v>
      </c>
      <c r="AC43" s="482">
        <f>IF(B43=1,Fruit_Inputs!$O$19,AC42*(1+Fruit_Inputs!$N$23))*F43</f>
        <v>0</v>
      </c>
      <c r="AD43" s="122">
        <f>IF(B43=1,Fruit_Inputs!$O$20,AD42*(1+Fruit_Inputs!$N$23))*F43</f>
        <v>0</v>
      </c>
      <c r="AE43" s="122">
        <f>IF(B43=1,Fruit_Inputs!$O$21,AE42*(1+Fruit_Inputs!$N$23))*F43</f>
        <v>0</v>
      </c>
      <c r="AF43" s="132">
        <f>IF(B43=1,Fruit_Inputs!$O$22,AF42*(1+Fruit_Inputs!$N$23))*F43</f>
        <v>0</v>
      </c>
      <c r="AG43" s="200">
        <f t="shared" si="31"/>
        <v>0</v>
      </c>
      <c r="AH43" s="86">
        <f t="shared" si="13"/>
        <v>0</v>
      </c>
      <c r="AI43" s="225">
        <f t="shared" si="14"/>
        <v>0</v>
      </c>
      <c r="AJ43" s="220">
        <f>Deprec!F42</f>
        <v>0</v>
      </c>
      <c r="AK43" s="86">
        <f t="shared" si="15"/>
        <v>0</v>
      </c>
      <c r="AL43" s="455">
        <f t="shared" si="32"/>
        <v>0</v>
      </c>
      <c r="AM43" s="86">
        <f t="shared" si="33"/>
        <v>0</v>
      </c>
      <c r="AN43" s="438">
        <f>IF(AM43&lt;0,0,(AM43*Fruit_Inputs!$J$14))</f>
        <v>0</v>
      </c>
      <c r="AO43" s="86">
        <f t="shared" si="34"/>
        <v>0</v>
      </c>
      <c r="AP43" s="226">
        <f t="shared" si="16"/>
        <v>0</v>
      </c>
      <c r="AS43" s="196">
        <f t="shared" si="17"/>
        <v>0</v>
      </c>
      <c r="AT43" s="86">
        <f t="shared" si="18"/>
        <v>0</v>
      </c>
      <c r="AU43" s="197">
        <f t="shared" si="35"/>
        <v>0</v>
      </c>
      <c r="AV43" s="218">
        <f>IF(B43=0,Fruit_Inputs!$C$29,0)</f>
        <v>0</v>
      </c>
      <c r="AW43" s="198">
        <f t="shared" si="5"/>
        <v>0</v>
      </c>
      <c r="AX43" s="197">
        <f t="shared" si="6"/>
        <v>0</v>
      </c>
      <c r="AY43" s="184">
        <f>IF(B43=0,Fruit_Inputs!$G$15+Fruit_Inputs!$G$16,0)</f>
        <v>0</v>
      </c>
      <c r="AZ43" s="185">
        <f>IF(B43=0,Fruit_Inputs!$G$14,0)</f>
        <v>0</v>
      </c>
      <c r="BA43" s="200">
        <f t="shared" si="7"/>
        <v>0</v>
      </c>
      <c r="BB43" s="196">
        <f t="shared" si="8"/>
        <v>0</v>
      </c>
      <c r="BC43" s="218">
        <f>Fruit_Inputs!$G$20*AVERAGE(BR43,BS43)</f>
        <v>0</v>
      </c>
      <c r="BD43" s="200">
        <f t="shared" si="9"/>
        <v>0</v>
      </c>
      <c r="BE43" s="200">
        <f t="shared" si="19"/>
        <v>0</v>
      </c>
      <c r="BF43" s="86">
        <f t="shared" si="20"/>
        <v>0</v>
      </c>
      <c r="BG43" s="197">
        <f t="shared" si="21"/>
        <v>0</v>
      </c>
      <c r="BH43" s="86">
        <f t="shared" si="36"/>
        <v>0</v>
      </c>
      <c r="BI43" s="86">
        <f t="shared" si="37"/>
        <v>0</v>
      </c>
      <c r="BJ43" s="122">
        <f>-Debt_Calc!W41</f>
        <v>0</v>
      </c>
      <c r="BK43" s="122">
        <f>Debt_Calc!X41</f>
        <v>0</v>
      </c>
      <c r="BL43" s="86">
        <f t="shared" si="22"/>
        <v>0</v>
      </c>
      <c r="BM43" s="423">
        <f t="shared" si="38"/>
        <v>0</v>
      </c>
      <c r="BN43" s="86">
        <f t="shared" si="39"/>
        <v>0</v>
      </c>
      <c r="BO43" s="86">
        <f t="shared" si="23"/>
        <v>0</v>
      </c>
      <c r="BP43" s="86">
        <f t="shared" si="40"/>
        <v>0</v>
      </c>
      <c r="BQ43" s="86">
        <f t="shared" si="24"/>
        <v>0</v>
      </c>
      <c r="BR43" s="86">
        <f t="shared" si="25"/>
        <v>0</v>
      </c>
      <c r="BS43" s="86">
        <f t="shared" si="10"/>
        <v>0</v>
      </c>
      <c r="BT43" s="86">
        <f t="shared" si="26"/>
        <v>854919.0365371888</v>
      </c>
      <c r="BU43" s="86">
        <f t="shared" si="41"/>
        <v>2</v>
      </c>
      <c r="BV43" s="214">
        <f t="shared" si="11"/>
        <v>0</v>
      </c>
    </row>
    <row r="44" spans="2:93" s="86" customFormat="1" x14ac:dyDescent="0.3">
      <c r="B44" s="215">
        <f t="shared" si="27"/>
        <v>33</v>
      </c>
      <c r="C44" s="352">
        <f t="shared" si="12"/>
        <v>2054</v>
      </c>
      <c r="D44" s="353">
        <f t="shared" si="42"/>
        <v>56250</v>
      </c>
      <c r="E44" s="442">
        <f t="shared" si="42"/>
        <v>56614</v>
      </c>
      <c r="F44" s="735">
        <f>IF(AND(B44&gt;0,B44&lt;=Fruit_Inputs!$J$17),1,0)</f>
        <v>0</v>
      </c>
      <c r="G44" s="687">
        <f>IF(F44=1,Fruit_Inputs!$G$31,0)</f>
        <v>0</v>
      </c>
      <c r="H44" s="736">
        <f>IF(AND(F43=0,F44=1),100%,IF(AND(F43=0,F44=0),100%,H43-Fruit_Inputs!$G$44))*F44</f>
        <v>0</v>
      </c>
      <c r="I44" s="737">
        <f t="shared" si="29"/>
        <v>0</v>
      </c>
      <c r="J44" s="738">
        <f>Fruit_Inputs!$J$11</f>
        <v>0.01</v>
      </c>
      <c r="K44" s="744">
        <f>IF(B44=1,Fruit_Inputs!$R$15,K43*(1+Fruit_CashFlows!J44))*F44</f>
        <v>0</v>
      </c>
      <c r="L44" s="745">
        <f>IF(B44=1,Fruit_Inputs!$R$16,L43*(1+Fruit_CashFlows!J44))*F44</f>
        <v>0</v>
      </c>
      <c r="M44" s="83">
        <f>K44*I44*Fruit_Inputs!$J$9</f>
        <v>0</v>
      </c>
      <c r="N44" s="739">
        <f>L44*I44*Fruit_Inputs!$J$10</f>
        <v>0</v>
      </c>
      <c r="O44" s="424">
        <f t="shared" si="30"/>
        <v>0</v>
      </c>
      <c r="P44" s="83">
        <f>SUM(M44:O44)+IF(B44=Fruit_Inputs!$J$17,Fruit_Inputs!$J$19,0)</f>
        <v>0</v>
      </c>
      <c r="Q44" s="746">
        <f>IF(B44=1,Fruit_Inputs!$O$7,Q43*(1+Fruit_Inputs!$N$23))*F44</f>
        <v>0</v>
      </c>
      <c r="R44" s="83">
        <f>IF(B44=1,Fruit_Inputs!$O$8,R43*(1+Fruit_Inputs!$N$23))*F44</f>
        <v>0</v>
      </c>
      <c r="S44" s="83">
        <f>IF(B44=1,Fruit_Inputs!$O$9,S43*(1+Fruit_Inputs!$N$23))*F44</f>
        <v>0</v>
      </c>
      <c r="T44" s="83">
        <f>IF(B44=1,Fruit_Inputs!$O$10,T43*(1+Fruit_Inputs!$N$23))*F44</f>
        <v>0</v>
      </c>
      <c r="U44" s="83">
        <f>IF(B44=1,Fruit_Inputs!$O$11,U43*(1+Fruit_Inputs!$N$23))*F44</f>
        <v>0</v>
      </c>
      <c r="V44" s="83">
        <f>IF(B44=1,Fruit_Inputs!$O$12,V43*(1+Fruit_Inputs!$N$23))*F44</f>
        <v>0</v>
      </c>
      <c r="W44" s="83">
        <f>IF(B44=1,Fruit_Inputs!$O$13,W43*(1+Fruit_Inputs!$N$23))*F44</f>
        <v>0</v>
      </c>
      <c r="X44" s="83">
        <f>IF(B44=1,Fruit_Inputs!$O$14,X43*(1+Fruit_Inputs!$N$23))*F44</f>
        <v>0</v>
      </c>
      <c r="Y44" s="83">
        <f>IF(B44=1,Fruit_Inputs!$O$15,Y43*(1+Fruit_Inputs!$N$23))*F44</f>
        <v>0</v>
      </c>
      <c r="Z44" s="83">
        <f>IF(B44=1,Fruit_Inputs!$O$16,Z43*(1+Fruit_Inputs!$N$23))*F44</f>
        <v>0</v>
      </c>
      <c r="AA44" s="83">
        <f>IF(B44=1,Fruit_Inputs!$O$17,AA43*(1+Fruit_Inputs!$N$23))*F44</f>
        <v>0</v>
      </c>
      <c r="AB44" s="141">
        <f>IF(B44=1,Fruit_Inputs!$O$18,AB43*(1+Fruit_Inputs!$N$23))*F44</f>
        <v>0</v>
      </c>
      <c r="AC44" s="747">
        <f>IF(B44=1,Fruit_Inputs!$O$19,AC43*(1+Fruit_Inputs!$N$23))*F44</f>
        <v>0</v>
      </c>
      <c r="AD44" s="83">
        <f>IF(B44=1,Fruit_Inputs!$O$20,AD43*(1+Fruit_Inputs!$N$23))*F44</f>
        <v>0</v>
      </c>
      <c r="AE44" s="83">
        <f>IF(B44=1,Fruit_Inputs!$O$21,AE43*(1+Fruit_Inputs!$N$23))*F44</f>
        <v>0</v>
      </c>
      <c r="AF44" s="84">
        <f>IF(B44=1,Fruit_Inputs!$O$22,AF43*(1+Fruit_Inputs!$N$23))*F44</f>
        <v>0</v>
      </c>
      <c r="AG44" s="231">
        <f t="shared" si="31"/>
        <v>0</v>
      </c>
      <c r="AH44" s="232">
        <f t="shared" si="13"/>
        <v>0</v>
      </c>
      <c r="AI44" s="234">
        <f t="shared" si="14"/>
        <v>0</v>
      </c>
      <c r="AJ44" s="750">
        <f>Deprec!F43</f>
        <v>0</v>
      </c>
      <c r="AK44" s="232">
        <f t="shared" si="15"/>
        <v>0</v>
      </c>
      <c r="AL44" s="456">
        <f t="shared" si="32"/>
        <v>0</v>
      </c>
      <c r="AM44" s="232">
        <f t="shared" si="33"/>
        <v>0</v>
      </c>
      <c r="AN44" s="749">
        <f>IF(AM44&lt;0,0,(AM44*Fruit_Inputs!$J$14))</f>
        <v>0</v>
      </c>
      <c r="AO44" s="232">
        <f t="shared" si="34"/>
        <v>0</v>
      </c>
      <c r="AP44" s="235">
        <f t="shared" si="16"/>
        <v>0</v>
      </c>
      <c r="AQ44" s="232"/>
      <c r="AR44" s="232"/>
      <c r="AS44" s="233">
        <f t="shared" si="17"/>
        <v>0</v>
      </c>
      <c r="AT44" s="232">
        <f t="shared" si="18"/>
        <v>0</v>
      </c>
      <c r="AU44" s="439">
        <f t="shared" si="35"/>
        <v>0</v>
      </c>
      <c r="AV44" s="746">
        <f>IF(B44=0,Fruit_Inputs!$C$29,0)</f>
        <v>0</v>
      </c>
      <c r="AW44" s="434">
        <f t="shared" si="5"/>
        <v>0</v>
      </c>
      <c r="AX44" s="439">
        <f t="shared" si="6"/>
        <v>0</v>
      </c>
      <c r="AY44" s="748">
        <f>IF(B44=0,Fruit_Inputs!$G$15+Fruit_Inputs!$G$16,0)</f>
        <v>0</v>
      </c>
      <c r="AZ44" s="150">
        <f>IF(B44=0,Fruit_Inputs!$G$14,0)</f>
        <v>0</v>
      </c>
      <c r="BA44" s="231">
        <f t="shared" si="7"/>
        <v>0</v>
      </c>
      <c r="BB44" s="233">
        <f t="shared" si="8"/>
        <v>0</v>
      </c>
      <c r="BC44" s="746">
        <f>Fruit_Inputs!$G$20*AVERAGE(BR44,BS44)</f>
        <v>0</v>
      </c>
      <c r="BD44" s="231">
        <f t="shared" si="9"/>
        <v>0</v>
      </c>
      <c r="BE44" s="231">
        <f t="shared" si="19"/>
        <v>0</v>
      </c>
      <c r="BF44" s="232">
        <f t="shared" si="20"/>
        <v>0</v>
      </c>
      <c r="BG44" s="439">
        <f t="shared" si="21"/>
        <v>0</v>
      </c>
      <c r="BH44" s="232">
        <f t="shared" si="36"/>
        <v>0</v>
      </c>
      <c r="BI44" s="232">
        <f t="shared" si="37"/>
        <v>0</v>
      </c>
      <c r="BJ44" s="83">
        <f>-Debt_Calc!W42</f>
        <v>0</v>
      </c>
      <c r="BK44" s="83">
        <f>Debt_Calc!X42</f>
        <v>0</v>
      </c>
      <c r="BL44" s="232">
        <f t="shared" si="22"/>
        <v>0</v>
      </c>
      <c r="BM44" s="424">
        <f t="shared" si="38"/>
        <v>0</v>
      </c>
      <c r="BN44" s="232">
        <f t="shared" si="39"/>
        <v>0</v>
      </c>
      <c r="BO44" s="232">
        <f t="shared" si="23"/>
        <v>0</v>
      </c>
      <c r="BP44" s="232">
        <f t="shared" si="40"/>
        <v>0</v>
      </c>
      <c r="BQ44" s="232">
        <f t="shared" si="24"/>
        <v>0</v>
      </c>
      <c r="BR44" s="232">
        <f t="shared" si="25"/>
        <v>0</v>
      </c>
      <c r="BS44" s="232">
        <f t="shared" si="10"/>
        <v>0</v>
      </c>
      <c r="BT44" s="232">
        <f t="shared" si="26"/>
        <v>854919.0365371888</v>
      </c>
      <c r="BU44" s="232">
        <f t="shared" si="41"/>
        <v>2</v>
      </c>
      <c r="BV44" s="236">
        <f t="shared" si="11"/>
        <v>0</v>
      </c>
    </row>
    <row r="45" spans="2:93" s="227" customFormat="1" x14ac:dyDescent="0.3">
      <c r="H45" s="237"/>
      <c r="J45" s="238"/>
      <c r="K45" s="199"/>
      <c r="L45" s="86"/>
      <c r="M45" s="86"/>
      <c r="N45" s="86"/>
      <c r="O45" s="202"/>
      <c r="P45" s="86"/>
      <c r="Q45" s="86"/>
      <c r="R45" s="86"/>
      <c r="S45" s="86"/>
      <c r="T45" s="86"/>
      <c r="U45" s="86"/>
      <c r="V45" s="86"/>
      <c r="W45" s="86"/>
      <c r="X45" s="86"/>
      <c r="Y45" s="86"/>
      <c r="Z45" s="86"/>
      <c r="AA45" s="86"/>
      <c r="AB45" s="86"/>
      <c r="AC45" s="86"/>
      <c r="AD45" s="86"/>
      <c r="AE45" s="86"/>
      <c r="AF45" s="86"/>
      <c r="AG45" s="86"/>
      <c r="AH45" s="86"/>
      <c r="AI45" s="86"/>
      <c r="AJ45" s="86"/>
      <c r="AK45" s="86"/>
      <c r="AL45" s="199"/>
      <c r="AM45" s="86"/>
      <c r="AN45" s="86"/>
      <c r="AO45" s="86"/>
      <c r="AP45" s="225"/>
      <c r="AQ45" s="86"/>
      <c r="AR45" s="86"/>
      <c r="AS45" s="239"/>
      <c r="AT45" s="86"/>
      <c r="AU45" s="86"/>
      <c r="AV45" s="202"/>
      <c r="AW45" s="86"/>
      <c r="AX45" s="86"/>
      <c r="AY45" s="86"/>
      <c r="AZ45" s="86"/>
      <c r="BA45" s="86"/>
      <c r="BB45" s="86"/>
      <c r="BC45" s="86"/>
      <c r="BD45" s="86"/>
      <c r="BE45" s="86"/>
      <c r="BF45" s="86"/>
      <c r="BG45" s="86"/>
      <c r="BH45" s="86"/>
      <c r="BI45" s="86"/>
      <c r="BJ45" s="202"/>
      <c r="BK45" s="202"/>
      <c r="BL45" s="202"/>
      <c r="BM45" s="86"/>
      <c r="BN45" s="86"/>
      <c r="BO45" s="86"/>
      <c r="BP45" s="86"/>
      <c r="BQ45" s="86"/>
      <c r="BR45" s="86"/>
      <c r="BS45" s="86"/>
      <c r="BT45" s="86"/>
      <c r="BU45" s="86"/>
      <c r="BV45" s="86"/>
      <c r="BW45" s="86"/>
      <c r="BX45" s="86"/>
      <c r="BY45" s="86"/>
      <c r="BZ45" s="86"/>
      <c r="CA45" s="86"/>
      <c r="CB45" s="86"/>
      <c r="CC45" s="86"/>
      <c r="CD45" s="86"/>
      <c r="CE45" s="86"/>
      <c r="CF45" s="86"/>
      <c r="CG45" s="86"/>
      <c r="CH45" s="86"/>
      <c r="CI45" s="86"/>
      <c r="CJ45" s="86"/>
      <c r="CK45" s="86"/>
      <c r="CL45" s="86"/>
      <c r="CM45" s="86"/>
      <c r="CN45" s="86"/>
      <c r="CO45" s="86"/>
    </row>
    <row r="46" spans="2:93" s="227" customFormat="1" x14ac:dyDescent="0.3">
      <c r="H46" s="237"/>
      <c r="J46" s="238"/>
      <c r="K46" s="199"/>
      <c r="L46" s="86"/>
      <c r="M46" s="86"/>
      <c r="N46" s="86"/>
      <c r="O46" s="202"/>
      <c r="P46" s="86"/>
      <c r="Q46" s="86"/>
      <c r="R46" s="86"/>
      <c r="S46" s="86"/>
      <c r="T46" s="86"/>
      <c r="U46" s="86"/>
      <c r="V46" s="86"/>
      <c r="W46" s="86"/>
      <c r="X46" s="86"/>
      <c r="Y46" s="86"/>
      <c r="Z46" s="86"/>
      <c r="AA46" s="86"/>
      <c r="AB46" s="86"/>
      <c r="AC46" s="86"/>
      <c r="AD46" s="86"/>
      <c r="AE46" s="86"/>
      <c r="AF46" s="86"/>
      <c r="AG46" s="86"/>
      <c r="AH46" s="86"/>
      <c r="AI46" s="86"/>
      <c r="AJ46" s="86"/>
      <c r="AK46" s="86"/>
      <c r="AL46" s="199"/>
      <c r="AM46" s="86"/>
      <c r="AN46" s="86"/>
      <c r="AO46" s="86"/>
      <c r="AP46" s="225"/>
      <c r="AQ46" s="86"/>
      <c r="AR46" s="86"/>
      <c r="AS46" s="239"/>
      <c r="AT46" s="240"/>
      <c r="AU46" s="86"/>
      <c r="AV46" s="202"/>
      <c r="AW46" s="86"/>
      <c r="AX46" s="86"/>
      <c r="AY46" s="86"/>
      <c r="AZ46" s="86"/>
      <c r="BA46" s="86"/>
      <c r="BB46" s="86"/>
      <c r="BC46" s="86"/>
      <c r="BD46" s="86"/>
      <c r="BE46" s="86"/>
      <c r="BF46" s="86"/>
      <c r="BG46" s="86"/>
      <c r="BH46" s="86"/>
      <c r="BI46" s="86"/>
      <c r="BJ46" s="202"/>
      <c r="BK46" s="202"/>
      <c r="BL46" s="202"/>
      <c r="BM46" s="86"/>
      <c r="BN46" s="86"/>
      <c r="BO46" s="86"/>
      <c r="BP46" s="86"/>
      <c r="BQ46" s="86"/>
      <c r="BR46" s="86"/>
      <c r="BS46" s="86"/>
      <c r="BT46" s="86"/>
      <c r="BU46" s="86"/>
      <c r="BV46" s="86"/>
      <c r="BW46" s="86"/>
      <c r="BX46" s="86"/>
      <c r="BY46" s="86"/>
      <c r="BZ46" s="86"/>
      <c r="CA46" s="86"/>
      <c r="CB46" s="86"/>
      <c r="CC46" s="86"/>
      <c r="CD46" s="86"/>
      <c r="CE46" s="86"/>
      <c r="CF46" s="86"/>
      <c r="CG46" s="86"/>
      <c r="CH46" s="86"/>
      <c r="CI46" s="86"/>
      <c r="CJ46" s="86"/>
      <c r="CK46" s="86"/>
      <c r="CL46" s="86"/>
      <c r="CM46" s="86"/>
      <c r="CN46" s="86"/>
      <c r="CO46" s="86"/>
    </row>
    <row r="47" spans="2:93" s="227" customFormat="1" x14ac:dyDescent="0.3">
      <c r="H47" s="237"/>
      <c r="J47" s="238"/>
      <c r="K47" s="199"/>
      <c r="L47" s="86"/>
      <c r="M47" s="86"/>
      <c r="N47" s="86"/>
      <c r="O47" s="202"/>
      <c r="P47" s="86"/>
      <c r="Q47" s="86"/>
      <c r="R47" s="86"/>
      <c r="S47" s="86"/>
      <c r="T47" s="86"/>
      <c r="U47" s="86"/>
      <c r="V47" s="86"/>
      <c r="W47" s="86"/>
      <c r="X47" s="86"/>
      <c r="Y47" s="86"/>
      <c r="Z47" s="86"/>
      <c r="AA47" s="86"/>
      <c r="AB47" s="86"/>
      <c r="AC47" s="86"/>
      <c r="AD47" s="86"/>
      <c r="AE47" s="86"/>
      <c r="AF47" s="86"/>
      <c r="AG47" s="86"/>
      <c r="AH47" s="86"/>
      <c r="AI47" s="86"/>
      <c r="AJ47" s="86"/>
      <c r="AK47" s="86"/>
      <c r="AL47" s="199"/>
      <c r="AM47" s="86"/>
      <c r="AN47" s="86"/>
      <c r="AO47" s="86"/>
      <c r="AP47" s="225"/>
      <c r="AQ47" s="86"/>
      <c r="AR47" s="86"/>
      <c r="AS47" s="239"/>
      <c r="AT47" s="86"/>
      <c r="AU47" s="86"/>
      <c r="AV47" s="202"/>
      <c r="AW47" s="86"/>
      <c r="AX47" s="86"/>
      <c r="AY47" s="86"/>
      <c r="AZ47" s="86"/>
      <c r="BA47" s="86"/>
      <c r="BB47" s="86"/>
      <c r="BC47" s="86"/>
      <c r="BD47" s="86"/>
      <c r="BE47" s="86"/>
      <c r="BF47" s="86"/>
      <c r="BG47" s="86"/>
      <c r="BH47" s="86"/>
      <c r="BI47" s="86"/>
      <c r="BJ47" s="202"/>
      <c r="BK47" s="202"/>
      <c r="BL47" s="202"/>
      <c r="BM47" s="86"/>
      <c r="BN47" s="86"/>
      <c r="BO47" s="86"/>
      <c r="BP47" s="86"/>
      <c r="BQ47" s="86"/>
      <c r="BR47" s="86"/>
      <c r="BS47" s="86"/>
      <c r="BT47" s="86"/>
      <c r="BU47" s="86"/>
      <c r="BV47" s="86"/>
      <c r="BW47" s="86"/>
      <c r="BX47" s="86"/>
      <c r="BY47" s="86"/>
      <c r="BZ47" s="86"/>
      <c r="CA47" s="86"/>
      <c r="CB47" s="86"/>
      <c r="CC47" s="86"/>
      <c r="CD47" s="86"/>
      <c r="CE47" s="86"/>
      <c r="CF47" s="86"/>
      <c r="CG47" s="86"/>
      <c r="CH47" s="86"/>
      <c r="CI47" s="86"/>
      <c r="CJ47" s="86"/>
      <c r="CK47" s="86"/>
      <c r="CL47" s="86"/>
      <c r="CM47" s="86"/>
      <c r="CN47" s="86"/>
      <c r="CO47" s="86"/>
    </row>
    <row r="48" spans="2:93" s="227" customFormat="1" x14ac:dyDescent="0.3">
      <c r="H48" s="237"/>
      <c r="J48" s="238"/>
      <c r="K48" s="199"/>
      <c r="L48" s="86"/>
      <c r="M48" s="86"/>
      <c r="N48" s="86"/>
      <c r="O48" s="202"/>
      <c r="P48" s="86"/>
      <c r="Q48" s="86"/>
      <c r="R48" s="86"/>
      <c r="S48" s="86"/>
      <c r="T48" s="86"/>
      <c r="U48" s="86"/>
      <c r="V48" s="86"/>
      <c r="W48" s="86"/>
      <c r="X48" s="86"/>
      <c r="Y48" s="86"/>
      <c r="Z48" s="86"/>
      <c r="AA48" s="86"/>
      <c r="AB48" s="86"/>
      <c r="AC48" s="86"/>
      <c r="AD48" s="86"/>
      <c r="AE48" s="86"/>
      <c r="AF48" s="86"/>
      <c r="AG48" s="86"/>
      <c r="AH48" s="86"/>
      <c r="AI48" s="86"/>
      <c r="AJ48" s="86"/>
      <c r="AK48" s="86"/>
      <c r="AL48" s="199"/>
      <c r="AM48" s="86"/>
      <c r="AN48" s="86"/>
      <c r="AO48" s="86"/>
      <c r="AP48" s="225"/>
      <c r="AQ48" s="86"/>
      <c r="AR48" s="86"/>
      <c r="AS48" s="239"/>
      <c r="AT48" s="86"/>
      <c r="AU48" s="86"/>
      <c r="AV48" s="202"/>
      <c r="AW48" s="86"/>
      <c r="AX48" s="86"/>
      <c r="AY48" s="86"/>
      <c r="AZ48" s="86"/>
      <c r="BA48" s="86"/>
      <c r="BB48" s="86"/>
      <c r="BC48" s="86"/>
      <c r="BD48" s="86"/>
      <c r="BE48" s="86"/>
      <c r="BF48" s="86"/>
      <c r="BG48" s="86"/>
      <c r="BH48" s="86"/>
      <c r="BI48" s="86"/>
      <c r="BJ48" s="202"/>
      <c r="BK48" s="202"/>
      <c r="BL48" s="202"/>
      <c r="BM48" s="86"/>
      <c r="BN48" s="86"/>
      <c r="BO48" s="86"/>
      <c r="BP48" s="86"/>
      <c r="BQ48" s="86"/>
      <c r="BR48" s="86"/>
      <c r="BS48" s="86"/>
      <c r="BT48" s="86"/>
      <c r="BU48" s="86"/>
      <c r="BV48" s="86"/>
      <c r="BW48" s="86"/>
      <c r="BX48" s="86"/>
      <c r="BY48" s="86"/>
      <c r="BZ48" s="86"/>
      <c r="CA48" s="86"/>
      <c r="CB48" s="86"/>
      <c r="CC48" s="86"/>
      <c r="CD48" s="86"/>
      <c r="CE48" s="86"/>
      <c r="CF48" s="86"/>
      <c r="CG48" s="86"/>
      <c r="CH48" s="86"/>
      <c r="CI48" s="86"/>
      <c r="CJ48" s="86"/>
      <c r="CK48" s="86"/>
      <c r="CL48" s="86"/>
      <c r="CM48" s="86"/>
      <c r="CN48" s="86"/>
      <c r="CO48" s="86"/>
    </row>
    <row r="49" spans="8:93" s="227" customFormat="1" x14ac:dyDescent="0.3">
      <c r="H49" s="237"/>
      <c r="J49" s="238"/>
      <c r="K49" s="199"/>
      <c r="L49" s="86"/>
      <c r="M49" s="86"/>
      <c r="N49" s="86"/>
      <c r="O49" s="202"/>
      <c r="P49" s="86"/>
      <c r="Q49" s="86"/>
      <c r="R49" s="86"/>
      <c r="S49" s="86"/>
      <c r="T49" s="86"/>
      <c r="U49" s="86"/>
      <c r="V49" s="86"/>
      <c r="W49" s="86"/>
      <c r="X49" s="86"/>
      <c r="Y49" s="86"/>
      <c r="Z49" s="86"/>
      <c r="AA49" s="86"/>
      <c r="AB49" s="86"/>
      <c r="AC49" s="86"/>
      <c r="AD49" s="86"/>
      <c r="AE49" s="86"/>
      <c r="AF49" s="86"/>
      <c r="AG49" s="86"/>
      <c r="AH49" s="86"/>
      <c r="AI49" s="86"/>
      <c r="AJ49" s="86"/>
      <c r="AK49" s="86"/>
      <c r="AL49" s="199"/>
      <c r="AM49" s="86"/>
      <c r="AN49" s="86"/>
      <c r="AO49" s="86"/>
      <c r="AP49" s="225"/>
      <c r="AQ49" s="86"/>
      <c r="AR49" s="86"/>
      <c r="AS49" s="239"/>
      <c r="AT49" s="86"/>
      <c r="AU49" s="86"/>
      <c r="AV49" s="202"/>
      <c r="AW49" s="86"/>
      <c r="AX49" s="86"/>
      <c r="AY49" s="86"/>
      <c r="AZ49" s="86"/>
      <c r="BA49" s="86"/>
      <c r="BB49" s="86"/>
      <c r="BC49" s="86"/>
      <c r="BD49" s="86"/>
      <c r="BE49" s="86"/>
      <c r="BF49" s="86"/>
      <c r="BG49" s="86"/>
      <c r="BH49" s="86"/>
      <c r="BI49" s="86"/>
      <c r="BJ49" s="202"/>
      <c r="BK49" s="202"/>
      <c r="BL49" s="202"/>
      <c r="BM49" s="86"/>
      <c r="BN49" s="86"/>
      <c r="BO49" s="86"/>
      <c r="BP49" s="86"/>
      <c r="BQ49" s="86"/>
      <c r="BR49" s="86"/>
      <c r="BS49" s="86"/>
      <c r="BT49" s="86"/>
      <c r="BU49" s="86"/>
      <c r="BV49" s="86"/>
      <c r="BW49" s="86"/>
      <c r="BX49" s="86"/>
      <c r="BY49" s="86"/>
      <c r="BZ49" s="86"/>
      <c r="CA49" s="86"/>
      <c r="CB49" s="86"/>
      <c r="CC49" s="86"/>
      <c r="CD49" s="86"/>
      <c r="CE49" s="86"/>
      <c r="CF49" s="86"/>
      <c r="CG49" s="86"/>
      <c r="CH49" s="86"/>
      <c r="CI49" s="86"/>
      <c r="CJ49" s="86"/>
      <c r="CK49" s="86"/>
      <c r="CL49" s="86"/>
      <c r="CM49" s="86"/>
      <c r="CN49" s="86"/>
      <c r="CO49" s="86"/>
    </row>
    <row r="50" spans="8:93" s="227" customFormat="1" x14ac:dyDescent="0.3">
      <c r="H50" s="237"/>
      <c r="J50" s="238"/>
      <c r="K50" s="199"/>
      <c r="L50" s="86"/>
      <c r="M50" s="86"/>
      <c r="N50" s="86"/>
      <c r="O50" s="202"/>
      <c r="P50" s="86"/>
      <c r="Q50" s="86"/>
      <c r="R50" s="86"/>
      <c r="S50" s="86"/>
      <c r="T50" s="86"/>
      <c r="U50" s="86"/>
      <c r="V50" s="86"/>
      <c r="W50" s="86"/>
      <c r="X50" s="86"/>
      <c r="Y50" s="86"/>
      <c r="Z50" s="86"/>
      <c r="AA50" s="86"/>
      <c r="AB50" s="86"/>
      <c r="AC50" s="86"/>
      <c r="AD50" s="86"/>
      <c r="AE50" s="86"/>
      <c r="AF50" s="86"/>
      <c r="AG50" s="86"/>
      <c r="AH50" s="86"/>
      <c r="AI50" s="86"/>
      <c r="AJ50" s="86"/>
      <c r="AK50" s="86"/>
      <c r="AL50" s="199"/>
      <c r="AM50" s="86"/>
      <c r="AN50" s="86"/>
      <c r="AO50" s="86"/>
      <c r="AP50" s="225"/>
      <c r="AQ50" s="86"/>
      <c r="AR50" s="86"/>
      <c r="AS50" s="239"/>
      <c r="AT50" s="86"/>
      <c r="AU50" s="86"/>
      <c r="AV50" s="202"/>
      <c r="AW50" s="86"/>
      <c r="AX50" s="86"/>
      <c r="AY50" s="86"/>
      <c r="AZ50" s="86"/>
      <c r="BA50" s="86"/>
      <c r="BB50" s="86"/>
      <c r="BC50" s="86"/>
      <c r="BD50" s="86"/>
      <c r="BE50" s="86"/>
      <c r="BF50" s="86"/>
      <c r="BG50" s="86"/>
      <c r="BH50" s="86"/>
      <c r="BI50" s="86"/>
      <c r="BJ50" s="202"/>
      <c r="BK50" s="202"/>
      <c r="BL50" s="202"/>
      <c r="BM50" s="86"/>
      <c r="BN50" s="86"/>
      <c r="BO50" s="86"/>
      <c r="BP50" s="86"/>
      <c r="BQ50" s="86"/>
      <c r="BR50" s="86"/>
      <c r="BS50" s="86"/>
      <c r="BT50" s="86"/>
      <c r="BU50" s="86"/>
      <c r="BV50" s="86"/>
      <c r="BW50" s="86"/>
      <c r="BX50" s="86"/>
      <c r="BY50" s="86"/>
      <c r="BZ50" s="86"/>
      <c r="CA50" s="86"/>
      <c r="CB50" s="86"/>
      <c r="CC50" s="86"/>
      <c r="CD50" s="86"/>
      <c r="CE50" s="86"/>
      <c r="CF50" s="86"/>
      <c r="CG50" s="86"/>
      <c r="CH50" s="86"/>
      <c r="CI50" s="86"/>
      <c r="CJ50" s="86"/>
      <c r="CK50" s="86"/>
      <c r="CL50" s="86"/>
      <c r="CM50" s="86"/>
      <c r="CN50" s="86"/>
      <c r="CO50" s="86"/>
    </row>
    <row r="51" spans="8:93" s="227" customFormat="1" x14ac:dyDescent="0.3">
      <c r="H51" s="237"/>
      <c r="J51" s="238"/>
      <c r="K51" s="199"/>
      <c r="L51" s="86"/>
      <c r="M51" s="86"/>
      <c r="N51" s="86"/>
      <c r="O51" s="202"/>
      <c r="P51" s="86"/>
      <c r="Q51" s="86"/>
      <c r="R51" s="86"/>
      <c r="S51" s="86"/>
      <c r="T51" s="86"/>
      <c r="U51" s="86"/>
      <c r="V51" s="86"/>
      <c r="W51" s="86"/>
      <c r="X51" s="86"/>
      <c r="Y51" s="86"/>
      <c r="Z51" s="86"/>
      <c r="AA51" s="86"/>
      <c r="AB51" s="86"/>
      <c r="AC51" s="86"/>
      <c r="AD51" s="86"/>
      <c r="AE51" s="86"/>
      <c r="AF51" s="86"/>
      <c r="AG51" s="86"/>
      <c r="AH51" s="86"/>
      <c r="AI51" s="86"/>
      <c r="AJ51" s="86"/>
      <c r="AK51" s="86"/>
      <c r="AL51" s="199"/>
      <c r="AM51" s="86"/>
      <c r="AN51" s="86"/>
      <c r="AO51" s="86"/>
      <c r="AP51" s="225"/>
      <c r="AQ51" s="86"/>
      <c r="AR51" s="86"/>
      <c r="AS51" s="239"/>
      <c r="AT51" s="86"/>
      <c r="AU51" s="86"/>
      <c r="AV51" s="202"/>
      <c r="AW51" s="86"/>
      <c r="AX51" s="86"/>
      <c r="AY51" s="86"/>
      <c r="AZ51" s="86"/>
      <c r="BA51" s="86"/>
      <c r="BB51" s="86"/>
      <c r="BC51" s="86"/>
      <c r="BD51" s="86"/>
      <c r="BE51" s="86"/>
      <c r="BF51" s="86"/>
      <c r="BG51" s="86"/>
      <c r="BH51" s="86"/>
      <c r="BI51" s="86"/>
      <c r="BJ51" s="202"/>
      <c r="BK51" s="202"/>
      <c r="BL51" s="202"/>
      <c r="BM51" s="86"/>
      <c r="BN51" s="86"/>
      <c r="BO51" s="86"/>
      <c r="BP51" s="86"/>
      <c r="BQ51" s="86"/>
      <c r="BR51" s="86"/>
      <c r="BS51" s="86"/>
      <c r="BT51" s="86"/>
      <c r="BU51" s="86"/>
      <c r="BV51" s="86"/>
      <c r="BW51" s="86"/>
      <c r="BX51" s="86"/>
      <c r="BY51" s="86"/>
      <c r="BZ51" s="86"/>
      <c r="CA51" s="86"/>
      <c r="CB51" s="86"/>
      <c r="CC51" s="86"/>
      <c r="CD51" s="86"/>
      <c r="CE51" s="86"/>
      <c r="CF51" s="86"/>
      <c r="CG51" s="86"/>
      <c r="CH51" s="86"/>
      <c r="CI51" s="86"/>
      <c r="CJ51" s="86"/>
      <c r="CK51" s="86"/>
      <c r="CL51" s="86"/>
      <c r="CM51" s="86"/>
      <c r="CN51" s="86"/>
      <c r="CO51" s="86"/>
    </row>
    <row r="52" spans="8:93" s="227" customFormat="1" x14ac:dyDescent="0.3">
      <c r="H52" s="237"/>
      <c r="J52" s="238"/>
      <c r="K52" s="199"/>
      <c r="L52" s="86"/>
      <c r="M52" s="86"/>
      <c r="N52" s="86"/>
      <c r="O52" s="202"/>
      <c r="P52" s="86"/>
      <c r="Q52" s="86"/>
      <c r="R52" s="86"/>
      <c r="S52" s="86"/>
      <c r="T52" s="86"/>
      <c r="U52" s="86"/>
      <c r="V52" s="86"/>
      <c r="W52" s="86"/>
      <c r="X52" s="86"/>
      <c r="Y52" s="86"/>
      <c r="Z52" s="86"/>
      <c r="AA52" s="86"/>
      <c r="AB52" s="86"/>
      <c r="AC52" s="86"/>
      <c r="AD52" s="86"/>
      <c r="AE52" s="86"/>
      <c r="AF52" s="86"/>
      <c r="AG52" s="86"/>
      <c r="AH52" s="86"/>
      <c r="AI52" s="86"/>
      <c r="AJ52" s="86"/>
      <c r="AK52" s="86"/>
      <c r="AL52" s="199"/>
      <c r="AM52" s="86"/>
      <c r="AN52" s="86"/>
      <c r="AO52" s="86"/>
      <c r="AP52" s="225"/>
      <c r="AQ52" s="86"/>
      <c r="AR52" s="86"/>
      <c r="AS52" s="239"/>
      <c r="AT52" s="86"/>
      <c r="AU52" s="86"/>
      <c r="AV52" s="202"/>
      <c r="AW52" s="86"/>
      <c r="AX52" s="86"/>
      <c r="AY52" s="86"/>
      <c r="AZ52" s="86"/>
      <c r="BA52" s="86"/>
      <c r="BB52" s="86"/>
      <c r="BC52" s="86"/>
      <c r="BD52" s="86"/>
      <c r="BE52" s="86"/>
      <c r="BF52" s="86"/>
      <c r="BG52" s="86"/>
      <c r="BH52" s="86"/>
      <c r="BI52" s="86"/>
      <c r="BJ52" s="202"/>
      <c r="BK52" s="202"/>
      <c r="BL52" s="202"/>
      <c r="BM52" s="86"/>
      <c r="BN52" s="86"/>
      <c r="BO52" s="86"/>
      <c r="BP52" s="86"/>
      <c r="BQ52" s="86"/>
      <c r="BR52" s="86"/>
      <c r="BS52" s="86"/>
      <c r="BT52" s="86"/>
      <c r="BU52" s="86"/>
      <c r="BV52" s="86"/>
      <c r="BW52" s="86"/>
      <c r="BX52" s="86"/>
      <c r="BY52" s="86"/>
      <c r="BZ52" s="86"/>
      <c r="CA52" s="86"/>
      <c r="CB52" s="86"/>
      <c r="CC52" s="86"/>
      <c r="CD52" s="86"/>
      <c r="CE52" s="86"/>
      <c r="CF52" s="86"/>
      <c r="CG52" s="86"/>
      <c r="CH52" s="86"/>
      <c r="CI52" s="86"/>
      <c r="CJ52" s="86"/>
      <c r="CK52" s="86"/>
      <c r="CL52" s="86"/>
      <c r="CM52" s="86"/>
      <c r="CN52" s="86"/>
      <c r="CO52" s="86"/>
    </row>
    <row r="53" spans="8:93" s="227" customFormat="1" x14ac:dyDescent="0.3">
      <c r="H53" s="237"/>
      <c r="J53" s="238"/>
      <c r="K53" s="199"/>
      <c r="L53" s="86"/>
      <c r="M53" s="86"/>
      <c r="N53" s="86"/>
      <c r="O53" s="202"/>
      <c r="P53" s="86"/>
      <c r="Q53" s="86"/>
      <c r="R53" s="86"/>
      <c r="S53" s="86"/>
      <c r="T53" s="86"/>
      <c r="U53" s="86"/>
      <c r="V53" s="86"/>
      <c r="W53" s="86"/>
      <c r="X53" s="86"/>
      <c r="Y53" s="86"/>
      <c r="Z53" s="86"/>
      <c r="AA53" s="86"/>
      <c r="AB53" s="86"/>
      <c r="AC53" s="86"/>
      <c r="AD53" s="86"/>
      <c r="AE53" s="86"/>
      <c r="AF53" s="86"/>
      <c r="AG53" s="86"/>
      <c r="AH53" s="86"/>
      <c r="AI53" s="86"/>
      <c r="AJ53" s="86"/>
      <c r="AK53" s="86"/>
      <c r="AL53" s="199"/>
      <c r="AM53" s="86"/>
      <c r="AN53" s="86"/>
      <c r="AO53" s="86"/>
      <c r="AP53" s="225"/>
      <c r="AQ53" s="86"/>
      <c r="AR53" s="86"/>
      <c r="AS53" s="239"/>
      <c r="AT53" s="86"/>
      <c r="AU53" s="86"/>
      <c r="AV53" s="202"/>
      <c r="AW53" s="86"/>
      <c r="AX53" s="86"/>
      <c r="AY53" s="86"/>
      <c r="AZ53" s="86"/>
      <c r="BA53" s="86"/>
      <c r="BB53" s="86"/>
      <c r="BC53" s="86"/>
      <c r="BD53" s="86"/>
      <c r="BE53" s="86"/>
      <c r="BF53" s="86"/>
      <c r="BG53" s="86"/>
      <c r="BH53" s="86"/>
      <c r="BI53" s="86"/>
      <c r="BJ53" s="202"/>
      <c r="BK53" s="202"/>
      <c r="BL53" s="202"/>
      <c r="BM53" s="86"/>
      <c r="BN53" s="86"/>
      <c r="BO53" s="86"/>
      <c r="BP53" s="86"/>
      <c r="BQ53" s="86"/>
      <c r="BR53" s="86"/>
      <c r="BS53" s="86"/>
      <c r="BT53" s="86"/>
      <c r="BU53" s="86"/>
      <c r="BV53" s="86"/>
      <c r="BW53" s="86"/>
      <c r="BX53" s="86"/>
      <c r="BY53" s="86"/>
      <c r="BZ53" s="86"/>
      <c r="CA53" s="86"/>
      <c r="CB53" s="86"/>
      <c r="CC53" s="86"/>
      <c r="CD53" s="86"/>
      <c r="CE53" s="86"/>
      <c r="CF53" s="86"/>
      <c r="CG53" s="86"/>
      <c r="CH53" s="86"/>
      <c r="CI53" s="86"/>
      <c r="CJ53" s="86"/>
      <c r="CK53" s="86"/>
      <c r="CL53" s="86"/>
      <c r="CM53" s="86"/>
      <c r="CN53" s="86"/>
      <c r="CO53" s="86"/>
    </row>
    <row r="54" spans="8:93" s="227" customFormat="1" x14ac:dyDescent="0.3">
      <c r="H54" s="237"/>
      <c r="J54" s="238"/>
      <c r="K54" s="199"/>
      <c r="L54" s="86"/>
      <c r="M54" s="86"/>
      <c r="N54" s="86"/>
      <c r="O54" s="202"/>
      <c r="P54" s="86"/>
      <c r="Q54" s="86"/>
      <c r="R54" s="86"/>
      <c r="S54" s="86"/>
      <c r="T54" s="86"/>
      <c r="U54" s="86"/>
      <c r="V54" s="86"/>
      <c r="W54" s="86"/>
      <c r="X54" s="86"/>
      <c r="Y54" s="86"/>
      <c r="Z54" s="86"/>
      <c r="AA54" s="86"/>
      <c r="AB54" s="86"/>
      <c r="AC54" s="86"/>
      <c r="AD54" s="86"/>
      <c r="AE54" s="86"/>
      <c r="AF54" s="86"/>
      <c r="AG54" s="86"/>
      <c r="AH54" s="86"/>
      <c r="AI54" s="86"/>
      <c r="AJ54" s="86"/>
      <c r="AK54" s="86"/>
      <c r="AL54" s="199"/>
      <c r="AM54" s="86"/>
      <c r="AN54" s="86"/>
      <c r="AO54" s="86"/>
      <c r="AP54" s="225"/>
      <c r="AQ54" s="86"/>
      <c r="AR54" s="86"/>
      <c r="AS54" s="239"/>
      <c r="AT54" s="86"/>
      <c r="AU54" s="86"/>
      <c r="AV54" s="202"/>
      <c r="AW54" s="86"/>
      <c r="AX54" s="86"/>
      <c r="AY54" s="86"/>
      <c r="AZ54" s="86"/>
      <c r="BA54" s="86"/>
      <c r="BB54" s="86"/>
      <c r="BC54" s="86"/>
      <c r="BD54" s="86"/>
      <c r="BE54" s="86"/>
      <c r="BF54" s="86"/>
      <c r="BG54" s="86"/>
      <c r="BH54" s="86"/>
      <c r="BI54" s="86"/>
      <c r="BJ54" s="202"/>
      <c r="BK54" s="202"/>
      <c r="BL54" s="202"/>
      <c r="BM54" s="86"/>
      <c r="BN54" s="86"/>
      <c r="BO54" s="86"/>
      <c r="BP54" s="86"/>
      <c r="BQ54" s="86"/>
      <c r="BR54" s="86"/>
      <c r="BS54" s="86"/>
      <c r="BT54" s="86"/>
      <c r="BU54" s="86"/>
      <c r="BV54" s="86"/>
      <c r="BW54" s="86"/>
      <c r="BX54" s="86"/>
      <c r="BY54" s="86"/>
      <c r="BZ54" s="86"/>
      <c r="CA54" s="86"/>
      <c r="CB54" s="86"/>
      <c r="CC54" s="86"/>
      <c r="CD54" s="86"/>
      <c r="CE54" s="86"/>
      <c r="CF54" s="86"/>
      <c r="CG54" s="86"/>
      <c r="CH54" s="86"/>
      <c r="CI54" s="86"/>
      <c r="CJ54" s="86"/>
      <c r="CK54" s="86"/>
      <c r="CL54" s="86"/>
      <c r="CM54" s="86"/>
      <c r="CN54" s="86"/>
      <c r="CO54" s="86"/>
    </row>
    <row r="55" spans="8:93" s="227" customFormat="1" x14ac:dyDescent="0.3">
      <c r="H55" s="237"/>
      <c r="J55" s="238"/>
      <c r="K55" s="199"/>
      <c r="L55" s="86"/>
      <c r="M55" s="86"/>
      <c r="N55" s="86"/>
      <c r="O55" s="202"/>
      <c r="P55" s="86"/>
      <c r="Q55" s="86"/>
      <c r="R55" s="86"/>
      <c r="S55" s="86"/>
      <c r="T55" s="86"/>
      <c r="U55" s="86"/>
      <c r="V55" s="86"/>
      <c r="W55" s="86"/>
      <c r="X55" s="86"/>
      <c r="Y55" s="86"/>
      <c r="Z55" s="86"/>
      <c r="AA55" s="86"/>
      <c r="AB55" s="86"/>
      <c r="AC55" s="86"/>
      <c r="AD55" s="86"/>
      <c r="AE55" s="86"/>
      <c r="AF55" s="86"/>
      <c r="AG55" s="86"/>
      <c r="AH55" s="86"/>
      <c r="AI55" s="86"/>
      <c r="AJ55" s="86"/>
      <c r="AK55" s="86"/>
      <c r="AL55" s="199"/>
      <c r="AM55" s="86"/>
      <c r="AN55" s="86"/>
      <c r="AO55" s="86"/>
      <c r="AP55" s="225"/>
      <c r="AQ55" s="86"/>
      <c r="AR55" s="86"/>
      <c r="AS55" s="239"/>
      <c r="AT55" s="86"/>
      <c r="AU55" s="86"/>
      <c r="AV55" s="202"/>
      <c r="AW55" s="86"/>
      <c r="AX55" s="86"/>
      <c r="AY55" s="86"/>
      <c r="AZ55" s="86"/>
      <c r="BA55" s="86"/>
      <c r="BB55" s="86"/>
      <c r="BC55" s="86"/>
      <c r="BD55" s="86"/>
      <c r="BE55" s="86"/>
      <c r="BF55" s="86"/>
      <c r="BG55" s="86"/>
      <c r="BH55" s="86"/>
      <c r="BI55" s="86"/>
      <c r="BJ55" s="202"/>
      <c r="BK55" s="202"/>
      <c r="BL55" s="202"/>
      <c r="BM55" s="86"/>
      <c r="BN55" s="86"/>
      <c r="BO55" s="86"/>
      <c r="BP55" s="86"/>
      <c r="BQ55" s="86"/>
      <c r="BR55" s="86"/>
      <c r="BS55" s="86"/>
      <c r="BT55" s="86"/>
      <c r="BU55" s="86"/>
      <c r="BV55" s="86"/>
      <c r="BW55" s="86"/>
      <c r="BX55" s="86"/>
      <c r="BY55" s="86"/>
      <c r="BZ55" s="86"/>
      <c r="CA55" s="86"/>
      <c r="CB55" s="86"/>
      <c r="CC55" s="86"/>
      <c r="CD55" s="86"/>
      <c r="CE55" s="86"/>
      <c r="CF55" s="86"/>
      <c r="CG55" s="86"/>
      <c r="CH55" s="86"/>
      <c r="CI55" s="86"/>
      <c r="CJ55" s="86"/>
      <c r="CK55" s="86"/>
      <c r="CL55" s="86"/>
      <c r="CM55" s="86"/>
      <c r="CN55" s="86"/>
      <c r="CO55" s="86"/>
    </row>
    <row r="56" spans="8:93" s="227" customFormat="1" x14ac:dyDescent="0.3">
      <c r="H56" s="237"/>
      <c r="J56" s="238"/>
      <c r="K56" s="199"/>
      <c r="L56" s="86"/>
      <c r="M56" s="86"/>
      <c r="N56" s="86"/>
      <c r="O56" s="202"/>
      <c r="P56" s="86"/>
      <c r="Q56" s="86"/>
      <c r="R56" s="86"/>
      <c r="S56" s="86"/>
      <c r="T56" s="86"/>
      <c r="U56" s="86"/>
      <c r="V56" s="86"/>
      <c r="W56" s="86"/>
      <c r="X56" s="86"/>
      <c r="Y56" s="86"/>
      <c r="Z56" s="86"/>
      <c r="AA56" s="86"/>
      <c r="AB56" s="86"/>
      <c r="AC56" s="86"/>
      <c r="AD56" s="86"/>
      <c r="AE56" s="86"/>
      <c r="AF56" s="86"/>
      <c r="AG56" s="86"/>
      <c r="AH56" s="86"/>
      <c r="AI56" s="86"/>
      <c r="AJ56" s="86"/>
      <c r="AK56" s="86"/>
      <c r="AL56" s="199"/>
      <c r="AM56" s="86"/>
      <c r="AN56" s="86"/>
      <c r="AO56" s="86"/>
      <c r="AP56" s="225"/>
      <c r="AQ56" s="86"/>
      <c r="AR56" s="86"/>
      <c r="AS56" s="239"/>
      <c r="AT56" s="86"/>
      <c r="AU56" s="86"/>
      <c r="AV56" s="202"/>
      <c r="AW56" s="86"/>
      <c r="AX56" s="86"/>
      <c r="AY56" s="86"/>
      <c r="AZ56" s="86"/>
      <c r="BA56" s="86"/>
      <c r="BB56" s="86"/>
      <c r="BC56" s="86"/>
      <c r="BD56" s="86"/>
      <c r="BE56" s="86"/>
      <c r="BF56" s="86"/>
      <c r="BG56" s="86"/>
      <c r="BH56" s="86"/>
      <c r="BI56" s="86"/>
      <c r="BJ56" s="202"/>
      <c r="BK56" s="202"/>
      <c r="BL56" s="202"/>
      <c r="BM56" s="86"/>
      <c r="BN56" s="86"/>
      <c r="BO56" s="86"/>
      <c r="BP56" s="86"/>
      <c r="BQ56" s="86"/>
      <c r="BR56" s="86"/>
      <c r="BS56" s="86"/>
      <c r="BT56" s="86"/>
      <c r="BU56" s="86"/>
      <c r="BV56" s="86"/>
      <c r="BW56" s="86"/>
      <c r="BX56" s="86"/>
      <c r="BY56" s="86"/>
      <c r="BZ56" s="86"/>
      <c r="CA56" s="86"/>
      <c r="CB56" s="86"/>
      <c r="CC56" s="86"/>
      <c r="CD56" s="86"/>
      <c r="CE56" s="86"/>
      <c r="CF56" s="86"/>
      <c r="CG56" s="86"/>
      <c r="CH56" s="86"/>
      <c r="CI56" s="86"/>
      <c r="CJ56" s="86"/>
      <c r="CK56" s="86"/>
      <c r="CL56" s="86"/>
      <c r="CM56" s="86"/>
      <c r="CN56" s="86"/>
      <c r="CO56" s="86"/>
    </row>
    <row r="57" spans="8:93" s="227" customFormat="1" x14ac:dyDescent="0.3">
      <c r="H57" s="237"/>
      <c r="J57" s="238"/>
      <c r="K57" s="199"/>
      <c r="L57" s="86"/>
      <c r="M57" s="86"/>
      <c r="N57" s="86"/>
      <c r="O57" s="202"/>
      <c r="P57" s="86"/>
      <c r="Q57" s="86"/>
      <c r="R57" s="86"/>
      <c r="S57" s="86"/>
      <c r="T57" s="86"/>
      <c r="U57" s="86"/>
      <c r="V57" s="86"/>
      <c r="W57" s="86"/>
      <c r="X57" s="86"/>
      <c r="Y57" s="86"/>
      <c r="Z57" s="86"/>
      <c r="AA57" s="86"/>
      <c r="AB57" s="86"/>
      <c r="AC57" s="86"/>
      <c r="AD57" s="86"/>
      <c r="AE57" s="86"/>
      <c r="AF57" s="86"/>
      <c r="AG57" s="86"/>
      <c r="AH57" s="86"/>
      <c r="AI57" s="86"/>
      <c r="AJ57" s="86"/>
      <c r="AK57" s="86"/>
      <c r="AL57" s="199"/>
      <c r="AM57" s="86"/>
      <c r="AN57" s="86"/>
      <c r="AO57" s="86"/>
      <c r="AP57" s="225"/>
      <c r="AQ57" s="86"/>
      <c r="AR57" s="86"/>
      <c r="AS57" s="239"/>
      <c r="AT57" s="86"/>
      <c r="AU57" s="86"/>
      <c r="AV57" s="202"/>
      <c r="AW57" s="86"/>
      <c r="AX57" s="86"/>
      <c r="AY57" s="86"/>
      <c r="AZ57" s="86"/>
      <c r="BA57" s="86"/>
      <c r="BB57" s="86"/>
      <c r="BC57" s="86"/>
      <c r="BD57" s="86"/>
      <c r="BE57" s="86"/>
      <c r="BF57" s="86"/>
      <c r="BG57" s="86"/>
      <c r="BH57" s="86"/>
      <c r="BI57" s="86"/>
      <c r="BJ57" s="202"/>
      <c r="BK57" s="202"/>
      <c r="BL57" s="202"/>
      <c r="BM57" s="86"/>
      <c r="BN57" s="86"/>
      <c r="BO57" s="86"/>
      <c r="BP57" s="86"/>
      <c r="BQ57" s="86"/>
      <c r="BR57" s="86"/>
      <c r="BS57" s="86"/>
      <c r="BT57" s="86"/>
      <c r="BU57" s="86"/>
      <c r="BV57" s="86"/>
      <c r="BW57" s="86"/>
      <c r="BX57" s="86"/>
      <c r="BY57" s="86"/>
      <c r="BZ57" s="86"/>
      <c r="CA57" s="86"/>
      <c r="CB57" s="86"/>
      <c r="CC57" s="86"/>
      <c r="CD57" s="86"/>
      <c r="CE57" s="86"/>
      <c r="CF57" s="86"/>
      <c r="CG57" s="86"/>
      <c r="CH57" s="86"/>
      <c r="CI57" s="86"/>
      <c r="CJ57" s="86"/>
      <c r="CK57" s="86"/>
      <c r="CL57" s="86"/>
      <c r="CM57" s="86"/>
      <c r="CN57" s="86"/>
      <c r="CO57" s="86"/>
    </row>
    <row r="58" spans="8:93" s="227" customFormat="1" x14ac:dyDescent="0.3">
      <c r="H58" s="237"/>
      <c r="J58" s="238"/>
      <c r="K58" s="199"/>
      <c r="L58" s="86"/>
      <c r="M58" s="86"/>
      <c r="N58" s="86"/>
      <c r="O58" s="202"/>
      <c r="P58" s="86"/>
      <c r="Q58" s="86"/>
      <c r="R58" s="86"/>
      <c r="S58" s="86"/>
      <c r="T58" s="86"/>
      <c r="U58" s="86"/>
      <c r="V58" s="86"/>
      <c r="W58" s="86"/>
      <c r="X58" s="86"/>
      <c r="Y58" s="86"/>
      <c r="Z58" s="86"/>
      <c r="AA58" s="86"/>
      <c r="AB58" s="86"/>
      <c r="AC58" s="86"/>
      <c r="AD58" s="86"/>
      <c r="AE58" s="86"/>
      <c r="AF58" s="86"/>
      <c r="AG58" s="86"/>
      <c r="AH58" s="86"/>
      <c r="AI58" s="86"/>
      <c r="AJ58" s="86"/>
      <c r="AK58" s="86"/>
      <c r="AL58" s="199"/>
      <c r="AM58" s="86"/>
      <c r="AN58" s="86"/>
      <c r="AO58" s="86"/>
      <c r="AP58" s="225"/>
      <c r="AQ58" s="86"/>
      <c r="AR58" s="86"/>
      <c r="AS58" s="239"/>
      <c r="AT58" s="86"/>
      <c r="AU58" s="86"/>
      <c r="AV58" s="202"/>
      <c r="AW58" s="86"/>
      <c r="AX58" s="86"/>
      <c r="AY58" s="86"/>
      <c r="AZ58" s="86"/>
      <c r="BA58" s="86"/>
      <c r="BB58" s="86"/>
      <c r="BC58" s="86"/>
      <c r="BD58" s="86"/>
      <c r="BE58" s="86"/>
      <c r="BF58" s="86"/>
      <c r="BG58" s="86"/>
      <c r="BH58" s="86"/>
      <c r="BI58" s="86"/>
      <c r="BJ58" s="202"/>
      <c r="BK58" s="202"/>
      <c r="BL58" s="202"/>
      <c r="BM58" s="86"/>
      <c r="BN58" s="86"/>
      <c r="BO58" s="86"/>
      <c r="BP58" s="86"/>
      <c r="BQ58" s="86"/>
      <c r="BR58" s="86"/>
      <c r="BS58" s="86"/>
      <c r="BT58" s="86"/>
      <c r="BU58" s="86"/>
      <c r="BV58" s="86"/>
      <c r="BW58" s="86"/>
      <c r="BX58" s="86"/>
      <c r="BY58" s="86"/>
      <c r="BZ58" s="86"/>
      <c r="CA58" s="86"/>
      <c r="CB58" s="86"/>
      <c r="CC58" s="86"/>
      <c r="CD58" s="86"/>
      <c r="CE58" s="86"/>
      <c r="CF58" s="86"/>
      <c r="CG58" s="86"/>
      <c r="CH58" s="86"/>
      <c r="CI58" s="86"/>
      <c r="CJ58" s="86"/>
      <c r="CK58" s="86"/>
      <c r="CL58" s="86"/>
      <c r="CM58" s="86"/>
      <c r="CN58" s="86"/>
      <c r="CO58" s="86"/>
    </row>
    <row r="59" spans="8:93" s="227" customFormat="1" x14ac:dyDescent="0.3">
      <c r="H59" s="237"/>
      <c r="J59" s="238"/>
      <c r="K59" s="199"/>
      <c r="L59" s="86"/>
      <c r="M59" s="86"/>
      <c r="N59" s="86"/>
      <c r="O59" s="202"/>
      <c r="P59" s="86"/>
      <c r="Q59" s="86"/>
      <c r="R59" s="86"/>
      <c r="S59" s="86"/>
      <c r="T59" s="86"/>
      <c r="U59" s="86"/>
      <c r="V59" s="86"/>
      <c r="W59" s="86"/>
      <c r="X59" s="86"/>
      <c r="Y59" s="86"/>
      <c r="Z59" s="86"/>
      <c r="AA59" s="86"/>
      <c r="AB59" s="86"/>
      <c r="AC59" s="86"/>
      <c r="AD59" s="86"/>
      <c r="AE59" s="86"/>
      <c r="AF59" s="86"/>
      <c r="AG59" s="86"/>
      <c r="AH59" s="86"/>
      <c r="AI59" s="86"/>
      <c r="AJ59" s="86"/>
      <c r="AK59" s="86"/>
      <c r="AL59" s="199"/>
      <c r="AM59" s="86"/>
      <c r="AN59" s="86"/>
      <c r="AO59" s="86"/>
      <c r="AP59" s="225"/>
      <c r="AQ59" s="86"/>
      <c r="AR59" s="86"/>
      <c r="AS59" s="239"/>
      <c r="AT59" s="86"/>
      <c r="AU59" s="86"/>
      <c r="AV59" s="202"/>
      <c r="AW59" s="86"/>
      <c r="AX59" s="86"/>
      <c r="AY59" s="86"/>
      <c r="AZ59" s="86"/>
      <c r="BA59" s="86"/>
      <c r="BB59" s="86"/>
      <c r="BC59" s="86"/>
      <c r="BD59" s="86"/>
      <c r="BE59" s="86"/>
      <c r="BF59" s="86"/>
      <c r="BG59" s="86"/>
      <c r="BH59" s="86"/>
      <c r="BI59" s="86"/>
      <c r="BJ59" s="202"/>
      <c r="BK59" s="202"/>
      <c r="BL59" s="202"/>
      <c r="BM59" s="86"/>
      <c r="BN59" s="86"/>
      <c r="BO59" s="86"/>
      <c r="BP59" s="86"/>
      <c r="BQ59" s="86"/>
      <c r="BR59" s="86"/>
      <c r="BS59" s="86"/>
      <c r="BT59" s="86"/>
      <c r="BU59" s="86"/>
      <c r="BV59" s="86"/>
      <c r="BW59" s="86"/>
      <c r="BX59" s="86"/>
      <c r="BY59" s="86"/>
      <c r="BZ59" s="86"/>
      <c r="CA59" s="86"/>
      <c r="CB59" s="86"/>
      <c r="CC59" s="86"/>
      <c r="CD59" s="86"/>
      <c r="CE59" s="86"/>
      <c r="CF59" s="86"/>
      <c r="CG59" s="86"/>
      <c r="CH59" s="86"/>
      <c r="CI59" s="86"/>
      <c r="CJ59" s="86"/>
      <c r="CK59" s="86"/>
      <c r="CL59" s="86"/>
      <c r="CM59" s="86"/>
      <c r="CN59" s="86"/>
      <c r="CO59" s="86"/>
    </row>
    <row r="60" spans="8:93" x14ac:dyDescent="0.3">
      <c r="AS60" s="107"/>
    </row>
    <row r="61" spans="8:93" x14ac:dyDescent="0.3">
      <c r="AS61" s="107"/>
    </row>
    <row r="62" spans="8:93" x14ac:dyDescent="0.3">
      <c r="AS62" s="107"/>
    </row>
    <row r="63" spans="8:93" x14ac:dyDescent="0.3">
      <c r="AS63" s="107"/>
    </row>
    <row r="64" spans="8:93" x14ac:dyDescent="0.3">
      <c r="AS64" s="107"/>
    </row>
    <row r="65" spans="45:45" x14ac:dyDescent="0.3">
      <c r="AS65" s="107"/>
    </row>
    <row r="66" spans="45:45" x14ac:dyDescent="0.3">
      <c r="AS66" s="107"/>
    </row>
  </sheetData>
  <pageMargins left="0.7" right="0.7" top="0.75" bottom="0.75" header="0.3" footer="0.3"/>
  <pageSetup orientation="portrait" verticalDpi="0" r:id="rId1"/>
  <headerFooter>
    <oddFooter>&amp;L&amp;F&amp;C&amp;A&amp;R&amp;D&amp;T</oddFooter>
  </headerFooter>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50"/>
  </sheetPr>
  <dimension ref="B6:BV56"/>
  <sheetViews>
    <sheetView showGridLines="0" zoomScale="80" zoomScaleNormal="80" workbookViewId="0"/>
  </sheetViews>
  <sheetFormatPr defaultRowHeight="14.4" x14ac:dyDescent="0.3"/>
  <cols>
    <col min="1" max="1" width="3.44140625" customWidth="1"/>
    <col min="2" max="2" width="40.44140625" customWidth="1"/>
    <col min="3" max="3" width="16" customWidth="1"/>
    <col min="5" max="5" width="20" customWidth="1"/>
    <col min="6" max="6" width="23" customWidth="1"/>
    <col min="7" max="7" width="17" customWidth="1"/>
    <col min="8" max="8" width="12.44140625" customWidth="1"/>
    <col min="9" max="9" width="32.44140625" customWidth="1"/>
    <col min="10" max="10" width="11.6640625" customWidth="1"/>
    <col min="11" max="11" width="6.109375" customWidth="1"/>
    <col min="12" max="12" width="35.5546875" customWidth="1"/>
    <col min="13" max="13" width="21.6640625" customWidth="1"/>
    <col min="14" max="14" width="20" customWidth="1"/>
    <col min="15" max="15" width="18.6640625" customWidth="1"/>
    <col min="17" max="17" width="14" customWidth="1"/>
    <col min="24" max="24" width="10.44140625" customWidth="1"/>
    <col min="25" max="31" width="12.33203125" bestFit="1" customWidth="1"/>
  </cols>
  <sheetData>
    <row r="6" spans="2:33" x14ac:dyDescent="0.3">
      <c r="B6" s="19" t="s">
        <v>20</v>
      </c>
      <c r="C6" s="20"/>
      <c r="D6" s="21"/>
      <c r="F6" s="590" t="s">
        <v>19</v>
      </c>
      <c r="G6" s="317">
        <v>44197</v>
      </c>
      <c r="I6" s="321" t="s">
        <v>67</v>
      </c>
      <c r="J6" s="320" t="s">
        <v>34</v>
      </c>
      <c r="L6" s="330" t="s">
        <v>16</v>
      </c>
      <c r="M6" s="11" t="s">
        <v>17</v>
      </c>
      <c r="N6" s="325" t="s">
        <v>173</v>
      </c>
      <c r="O6" s="12" t="s">
        <v>172</v>
      </c>
      <c r="Q6" s="1" t="s">
        <v>0</v>
      </c>
    </row>
    <row r="7" spans="2:33" x14ac:dyDescent="0.3">
      <c r="B7" s="49" t="s">
        <v>21</v>
      </c>
      <c r="C7" s="22" t="s">
        <v>22</v>
      </c>
      <c r="D7" s="23"/>
      <c r="I7" s="56" t="s">
        <v>180</v>
      </c>
      <c r="J7" s="308">
        <f>IF(D9="Djibouti",'Data Sources'!F6,IF(D9="Ethiopia",'Data Sources'!D6,IF(D9="Kenya",'Data Sources'!F6,IF(D9="Rwanda",'Data Sources'!F6,IF(D9="Tanzania",'Data Sources'!G6,IF(D9="Uganda",'Data Sources'!H6,0))))))</f>
        <v>6.2489512437202261</v>
      </c>
      <c r="L7" s="331" t="s">
        <v>343</v>
      </c>
      <c r="M7" s="332" t="s">
        <v>171</v>
      </c>
      <c r="N7" s="13">
        <f>IF(D9="Djibouti",1.5,IF(D9="Ethiopia",'Data Sources'!D5,IF(D9="Kenya",1.5,IF(D9="Rwanda",1.5,IF(D9="Tanzania",1.5,IF(D9="Uganda",1.5,0))))))</f>
        <v>1.5</v>
      </c>
      <c r="O7" s="504">
        <f>N7*G25*(1+$R$12)</f>
        <v>450000</v>
      </c>
      <c r="Q7" s="2" t="s">
        <v>1</v>
      </c>
    </row>
    <row r="8" spans="2:33" x14ac:dyDescent="0.3">
      <c r="B8" s="509" t="s">
        <v>23</v>
      </c>
      <c r="C8" s="15" t="s">
        <v>167</v>
      </c>
      <c r="D8" s="24"/>
      <c r="F8" s="19" t="s">
        <v>168</v>
      </c>
      <c r="G8" s="26"/>
      <c r="I8" s="322" t="s">
        <v>181</v>
      </c>
      <c r="J8" s="14">
        <f>'Export Prices'!C4</f>
        <v>11.045999999999999</v>
      </c>
      <c r="L8" s="310" t="s">
        <v>25</v>
      </c>
      <c r="M8" s="333" t="s">
        <v>201</v>
      </c>
      <c r="N8" s="363">
        <f>IF(D9="Djibouti",'Data Sources'!C51,IF(D9="Ethiopia",'Data Sources'!D51,IF(D9="Kenya",'Data Sources'!E51,IF(D9="Rwanda",'Data Sources'!F51,IF(D9="Tanzania",'Data Sources'!G51,IF(D9="Uganda",'Data Sources'!H51,0))))))</f>
        <v>0.12810350049626462</v>
      </c>
      <c r="O8" s="505">
        <f>N8*G32*G25*(1+$R$12)</f>
        <v>7686.210029775878</v>
      </c>
      <c r="Q8" s="3" t="s">
        <v>2</v>
      </c>
    </row>
    <row r="9" spans="2:33" x14ac:dyDescent="0.3">
      <c r="B9" s="509" t="s">
        <v>24</v>
      </c>
      <c r="C9" s="22" t="s">
        <v>400</v>
      </c>
      <c r="D9" s="25" t="s">
        <v>42</v>
      </c>
      <c r="F9" s="500" t="s">
        <v>169</v>
      </c>
      <c r="G9" s="303" t="str">
        <f>VLOOKUP(D9,Currency!B8:F13,2,0)</f>
        <v>R franc</v>
      </c>
      <c r="I9" s="322" t="s">
        <v>179</v>
      </c>
      <c r="J9" s="47">
        <v>0.5</v>
      </c>
      <c r="L9" s="310" t="s">
        <v>77</v>
      </c>
      <c r="M9" s="333" t="s">
        <v>18</v>
      </c>
      <c r="N9" s="364">
        <v>0.1</v>
      </c>
      <c r="O9" s="505">
        <f>N9*C29*(1+$R$12)</f>
        <v>26863.596749581353</v>
      </c>
      <c r="Q9" s="4" t="s">
        <v>3</v>
      </c>
    </row>
    <row r="10" spans="2:33" x14ac:dyDescent="0.3">
      <c r="F10" s="509" t="s">
        <v>170</v>
      </c>
      <c r="G10" s="304" t="str">
        <f>VLOOKUP(D9,Currency!B8:F13,3,0)</f>
        <v>RWF</v>
      </c>
      <c r="I10" s="322" t="s">
        <v>178</v>
      </c>
      <c r="J10" s="47">
        <v>0.5</v>
      </c>
      <c r="L10" s="310" t="s">
        <v>183</v>
      </c>
      <c r="M10" s="333" t="s">
        <v>190</v>
      </c>
      <c r="N10" s="363">
        <f>IF(D9="Djibouti",'Data Sources'!C61,IF(D9="Ethiopia",'Data Sources'!D61,IF(D9="Kenya",'Data Sources'!E61,IF(D9="Rwanda",'Data Sources'!F61,IF(D9="Tanzania",'Data Sources'!G61,IF(D9="Uganda",'Data Sources'!H61,0))))))</f>
        <v>0.77677935599022252</v>
      </c>
      <c r="O10" s="505">
        <f>N10*M45*(1+$R$12)</f>
        <v>13982.028407824006</v>
      </c>
    </row>
    <row r="11" spans="2:33" x14ac:dyDescent="0.3">
      <c r="B11" s="71" t="s">
        <v>12</v>
      </c>
      <c r="C11" s="72"/>
      <c r="F11" s="49" t="str">
        <f>"Exchng Rate " &amp; "(" &amp; G10 &amp; "/USD" &amp;")"</f>
        <v>Exchng Rate (RWF/USD)</v>
      </c>
      <c r="G11" s="304">
        <f>VLOOKUP(D9,Currency!B8:F13,4,0)</f>
        <v>960.16111599999999</v>
      </c>
      <c r="I11" s="499" t="s">
        <v>176</v>
      </c>
      <c r="J11" s="309">
        <v>0.01</v>
      </c>
      <c r="L11" s="310" t="s">
        <v>79</v>
      </c>
      <c r="M11" s="333" t="s">
        <v>174</v>
      </c>
      <c r="N11" s="337" t="s">
        <v>203</v>
      </c>
      <c r="O11" s="505">
        <f>O35*(1+$R$12)</f>
        <v>17605.378637307782</v>
      </c>
      <c r="Q11" s="9" t="s">
        <v>13</v>
      </c>
      <c r="R11" s="489">
        <v>0</v>
      </c>
    </row>
    <row r="12" spans="2:33" x14ac:dyDescent="0.3">
      <c r="B12" s="1" t="s">
        <v>13</v>
      </c>
      <c r="C12" s="320" t="s">
        <v>14</v>
      </c>
      <c r="L12" s="310" t="s">
        <v>76</v>
      </c>
      <c r="M12" s="333" t="s">
        <v>174</v>
      </c>
      <c r="N12" s="307">
        <f>'Data Sources'!E65</f>
        <v>92.248454607764188</v>
      </c>
      <c r="O12" s="505">
        <f>N12*(1+$R$12)</f>
        <v>92.248454607764188</v>
      </c>
      <c r="Q12" s="9" t="s">
        <v>756</v>
      </c>
      <c r="R12" s="489">
        <v>0</v>
      </c>
      <c r="W12" s="781" t="s">
        <v>755</v>
      </c>
      <c r="X12" s="782"/>
      <c r="Y12" s="782"/>
      <c r="Z12" s="782"/>
      <c r="AA12" s="782"/>
      <c r="AB12" s="782"/>
      <c r="AC12" s="782"/>
      <c r="AD12" s="782"/>
      <c r="AE12" s="783"/>
    </row>
    <row r="13" spans="2:33" x14ac:dyDescent="0.3">
      <c r="B13" s="331" t="s">
        <v>83</v>
      </c>
      <c r="C13" s="312">
        <v>20000</v>
      </c>
      <c r="D13" s="107"/>
      <c r="E13" s="53" t="s">
        <v>157</v>
      </c>
      <c r="F13" s="72" t="s">
        <v>158</v>
      </c>
      <c r="G13" s="285" t="s">
        <v>74</v>
      </c>
      <c r="I13" s="16" t="s">
        <v>165</v>
      </c>
      <c r="J13" s="26"/>
      <c r="L13" s="310" t="s">
        <v>78</v>
      </c>
      <c r="M13" s="333" t="s">
        <v>174</v>
      </c>
      <c r="N13" s="307">
        <v>0</v>
      </c>
      <c r="O13" s="505">
        <f>N13*(1+$R$12)</f>
        <v>0</v>
      </c>
      <c r="Q13" s="9" t="s">
        <v>757</v>
      </c>
      <c r="R13" s="489">
        <v>0</v>
      </c>
      <c r="Y13" s="784" t="s">
        <v>13</v>
      </c>
      <c r="Z13" s="785"/>
      <c r="AA13" s="785"/>
      <c r="AB13" s="785"/>
      <c r="AC13" s="785"/>
      <c r="AD13" s="785"/>
      <c r="AE13" s="786"/>
    </row>
    <row r="14" spans="2:33" x14ac:dyDescent="0.3">
      <c r="B14" s="310" t="s">
        <v>84</v>
      </c>
      <c r="C14" s="307">
        <v>3500</v>
      </c>
      <c r="D14" s="107"/>
      <c r="E14" s="500" t="s">
        <v>159</v>
      </c>
      <c r="F14" s="48">
        <v>0.7</v>
      </c>
      <c r="G14" s="286">
        <f>$C$29*F14</f>
        <v>188045.17724706943</v>
      </c>
      <c r="I14" s="16" t="s">
        <v>166</v>
      </c>
      <c r="J14" s="315">
        <f>IF(D9="Djibouti",'Data Sources'!C54,IF(D9="Ethiopia",'Data Sources'!D54,IF(D9="Kenya",'Data Sources'!E54,IF(D9="Rwanda",'Data Sources'!F54,IF(D9="Tanzania",'Data Sources'!G54,IF(D9="Uganda",'Data Sources'!H54,0))))))</f>
        <v>0.3</v>
      </c>
      <c r="L14" s="310" t="s">
        <v>389</v>
      </c>
      <c r="M14" s="333" t="s">
        <v>566</v>
      </c>
      <c r="N14" s="364">
        <v>5.0000000000000001E-3</v>
      </c>
      <c r="O14" s="505">
        <f>N14*Fish_CashFlows!$P$12*(1+$R$12)</f>
        <v>2853.6669552138355</v>
      </c>
      <c r="Y14" s="652">
        <f>SUM($C$13:$C$28)*(1+Y$15)</f>
        <v>158686.99916099498</v>
      </c>
      <c r="Z14" s="653">
        <f t="shared" ref="Z14:AE14" si="0">SUM($C$13:$C$28)*(1+Z$15)</f>
        <v>211582.66554799333</v>
      </c>
      <c r="AA14" s="653">
        <f t="shared" si="0"/>
        <v>264478.33193499164</v>
      </c>
      <c r="AB14" s="653">
        <f t="shared" si="0"/>
        <v>317373.99832198996</v>
      </c>
      <c r="AC14" s="653">
        <f t="shared" si="0"/>
        <v>370269.66470898828</v>
      </c>
      <c r="AD14" s="653">
        <f t="shared" si="0"/>
        <v>423165.33109598665</v>
      </c>
      <c r="AE14" s="654">
        <f t="shared" si="0"/>
        <v>476060.99748298497</v>
      </c>
    </row>
    <row r="15" spans="2:33" x14ac:dyDescent="0.3">
      <c r="B15" s="310" t="s">
        <v>85</v>
      </c>
      <c r="C15" s="307">
        <v>30000</v>
      </c>
      <c r="D15" s="107"/>
      <c r="E15" s="501" t="s">
        <v>160</v>
      </c>
      <c r="F15" s="48">
        <v>0.3</v>
      </c>
      <c r="G15" s="286">
        <f>$C$29*F15</f>
        <v>80590.790248744044</v>
      </c>
      <c r="L15" s="310" t="s">
        <v>543</v>
      </c>
      <c r="M15" s="333" t="s">
        <v>566</v>
      </c>
      <c r="N15" s="364">
        <v>5.0000000000000001E-3</v>
      </c>
      <c r="O15" s="505">
        <f>N15*Fish_CashFlows!$P$12*(1+$R$12)</f>
        <v>2853.6669552138355</v>
      </c>
      <c r="Q15" s="741" t="s">
        <v>871</v>
      </c>
      <c r="R15" s="742">
        <f>J7*(1+$R$13)</f>
        <v>6.2489512437202261</v>
      </c>
      <c r="W15" s="778" t="s">
        <v>761</v>
      </c>
      <c r="X15" s="289">
        <f>Fish_CashFlows!BP4</f>
        <v>0.11548272775149648</v>
      </c>
      <c r="Y15" s="524">
        <v>-0.4</v>
      </c>
      <c r="Z15" s="524">
        <v>-0.2</v>
      </c>
      <c r="AA15" s="524">
        <v>0</v>
      </c>
      <c r="AB15" s="524">
        <v>0.2</v>
      </c>
      <c r="AC15" s="524">
        <v>0.4</v>
      </c>
      <c r="AD15" s="524">
        <v>0.6</v>
      </c>
      <c r="AE15" s="525">
        <v>0.8</v>
      </c>
    </row>
    <row r="16" spans="2:33" x14ac:dyDescent="0.3">
      <c r="B16" s="310" t="s">
        <v>86</v>
      </c>
      <c r="C16" s="307">
        <v>3000</v>
      </c>
      <c r="D16" s="107"/>
      <c r="E16" s="49" t="s">
        <v>161</v>
      </c>
      <c r="F16" s="48">
        <v>0</v>
      </c>
      <c r="G16" s="286">
        <f>$C$29*F16</f>
        <v>0</v>
      </c>
      <c r="I16" s="56" t="s">
        <v>70</v>
      </c>
      <c r="J16" s="21"/>
      <c r="L16" s="310" t="s">
        <v>559</v>
      </c>
      <c r="M16" s="333" t="s">
        <v>567</v>
      </c>
      <c r="N16" s="313">
        <v>2</v>
      </c>
      <c r="O16" s="505">
        <f>N16*10.7639*G39*(1+$R$12)</f>
        <v>3582.2259199999999</v>
      </c>
      <c r="Q16" s="741" t="s">
        <v>872</v>
      </c>
      <c r="R16" s="742">
        <f>J8*(1+$R$13)</f>
        <v>11.045999999999999</v>
      </c>
      <c r="W16" s="779"/>
      <c r="X16" s="492">
        <v>150000</v>
      </c>
      <c r="Y16" s="520">
        <f t="dataTable" ref="Y16:AE22" dt2D="1" dtr="1" r1="R11" r2="G25"/>
        <v>-3.6144548264928966E-2</v>
      </c>
      <c r="Z16" s="520" t="str">
        <v>NEG IRR</v>
      </c>
      <c r="AA16" s="520" t="str">
        <v>NEG IRR</v>
      </c>
      <c r="AB16" s="520" t="str">
        <v>NEG IRR</v>
      </c>
      <c r="AC16" s="520" t="str">
        <v>NEG IRR</v>
      </c>
      <c r="AD16" s="520" t="str">
        <v>NEG IRR</v>
      </c>
      <c r="AE16" s="521" t="str">
        <v>NEG IRR</v>
      </c>
      <c r="AG16" s="495">
        <v>0.1</v>
      </c>
    </row>
    <row r="17" spans="2:33" x14ac:dyDescent="0.3">
      <c r="B17" s="310" t="s">
        <v>87</v>
      </c>
      <c r="C17" s="307">
        <v>45000</v>
      </c>
      <c r="D17" s="107"/>
      <c r="E17" s="16" t="s">
        <v>162</v>
      </c>
      <c r="F17" s="289">
        <f>SUM(F14:F16)</f>
        <v>1</v>
      </c>
      <c r="G17" s="288">
        <f>SUM(G14:G16)</f>
        <v>268635.9674958135</v>
      </c>
      <c r="I17" s="16" t="s">
        <v>192</v>
      </c>
      <c r="J17" s="55">
        <v>25</v>
      </c>
      <c r="L17" s="310" t="s">
        <v>75</v>
      </c>
      <c r="M17" s="333" t="s">
        <v>171</v>
      </c>
      <c r="N17" s="363">
        <v>4.5999999999999999E-2</v>
      </c>
      <c r="O17" s="505">
        <f>N17*G29*(1+$R$12)</f>
        <v>3066.6666666666647</v>
      </c>
      <c r="W17" s="779"/>
      <c r="X17" s="493">
        <f>X16+25000</f>
        <v>175000</v>
      </c>
      <c r="Y17" s="520">
        <v>3.4443394082765533E-2</v>
      </c>
      <c r="Z17" s="520">
        <v>-4.4785206679291645E-2</v>
      </c>
      <c r="AA17" s="520">
        <v>-0.14176917722675519</v>
      </c>
      <c r="AB17" s="520" t="str">
        <v>NEG IRR</v>
      </c>
      <c r="AC17" s="520" t="str">
        <v>NEG IRR</v>
      </c>
      <c r="AD17" s="520" t="str">
        <v>NEG IRR</v>
      </c>
      <c r="AE17" s="521" t="str">
        <v>NEG IRR</v>
      </c>
      <c r="AG17" s="496">
        <v>0.14990000000000001</v>
      </c>
    </row>
    <row r="18" spans="2:33" x14ac:dyDescent="0.3">
      <c r="B18" s="310" t="s">
        <v>88</v>
      </c>
      <c r="C18" s="307">
        <v>150000</v>
      </c>
      <c r="D18" s="107"/>
      <c r="I18" s="508" t="s">
        <v>72</v>
      </c>
      <c r="J18" s="54">
        <f>C29</f>
        <v>268635.9674958135</v>
      </c>
      <c r="L18" s="310" t="s">
        <v>4</v>
      </c>
      <c r="M18" s="333" t="s">
        <v>174</v>
      </c>
      <c r="N18" s="307">
        <v>0</v>
      </c>
      <c r="O18" s="505">
        <f>N18*(1+$R$12)</f>
        <v>0</v>
      </c>
      <c r="W18" s="779"/>
      <c r="X18" s="493">
        <f t="shared" ref="X18:X21" si="1">X17+25000</f>
        <v>200000</v>
      </c>
      <c r="Y18" s="520">
        <v>0.10193872561636419</v>
      </c>
      <c r="Z18" s="520">
        <v>9.7485954172471523E-3</v>
      </c>
      <c r="AA18" s="520">
        <v>-5.0054893911324116E-2</v>
      </c>
      <c r="AB18" s="520">
        <v>-0.1265506147082428</v>
      </c>
      <c r="AC18" s="520" t="str">
        <v>NEG IRR</v>
      </c>
      <c r="AD18" s="520" t="str">
        <v>NEG IRR</v>
      </c>
      <c r="AE18" s="521" t="str">
        <v>NEG IRR</v>
      </c>
    </row>
    <row r="19" spans="2:33" x14ac:dyDescent="0.3">
      <c r="B19" s="310" t="s">
        <v>89</v>
      </c>
      <c r="C19" s="307">
        <v>2000</v>
      </c>
      <c r="D19" s="107"/>
      <c r="E19" s="53" t="s">
        <v>164</v>
      </c>
      <c r="F19" s="276"/>
      <c r="I19" s="508" t="s">
        <v>73</v>
      </c>
      <c r="J19" s="55">
        <v>0</v>
      </c>
      <c r="L19" s="310" t="s">
        <v>5</v>
      </c>
      <c r="M19" s="333" t="s">
        <v>174</v>
      </c>
      <c r="N19" s="307">
        <v>0</v>
      </c>
      <c r="O19" s="505">
        <f>N19*(1+$R$12)</f>
        <v>0</v>
      </c>
      <c r="W19" s="779"/>
      <c r="X19" s="493">
        <f t="shared" si="1"/>
        <v>225000</v>
      </c>
      <c r="Y19" s="520">
        <v>0.16920432725669454</v>
      </c>
      <c r="Z19" s="520">
        <v>6.0007988985986138E-2</v>
      </c>
      <c r="AA19" s="520">
        <v>-5.2421604034594838E-3</v>
      </c>
      <c r="AB19" s="520">
        <v>-5.3661958391613362E-2</v>
      </c>
      <c r="AC19" s="520">
        <v>-0.11736272513823354</v>
      </c>
      <c r="AD19" s="520" t="str">
        <v>NEG IRR</v>
      </c>
      <c r="AE19" s="521" t="str">
        <v>NEG IRR</v>
      </c>
    </row>
    <row r="20" spans="2:33" x14ac:dyDescent="0.3">
      <c r="B20" s="310" t="s">
        <v>407</v>
      </c>
      <c r="C20" s="307">
        <v>10970</v>
      </c>
      <c r="D20" s="107"/>
      <c r="E20" s="502" t="s">
        <v>182</v>
      </c>
      <c r="F20" s="275"/>
      <c r="G20" s="302">
        <f>IF(D9="Djibouti",Currency!Q8,IF(D9="Ethiopia",Currency!Q9,IF(D9="Kenya",Currency!Q10,IF(D9="Rwanda",Currency!Q11,IF(D9="Tanzania",Currency!Q12,IF(D9="Uganda",Currency!Q13,0))))))</f>
        <v>0.16700000000000001</v>
      </c>
      <c r="L20" s="310" t="s">
        <v>6</v>
      </c>
      <c r="M20" s="333" t="s">
        <v>174</v>
      </c>
      <c r="N20" s="307">
        <v>0</v>
      </c>
      <c r="O20" s="505">
        <f>N20*(1+$R$12)</f>
        <v>0</v>
      </c>
      <c r="Q20" s="390"/>
      <c r="W20" s="779"/>
      <c r="X20" s="493">
        <f t="shared" si="1"/>
        <v>250000</v>
      </c>
      <c r="Y20" s="520">
        <v>0.24619553742600075</v>
      </c>
      <c r="Z20" s="520">
        <v>0.11043356636694535</v>
      </c>
      <c r="AA20" s="520">
        <v>3.5256018016363022E-2</v>
      </c>
      <c r="AB20" s="520">
        <v>-1.5445846687853537E-2</v>
      </c>
      <c r="AC20" s="520">
        <v>-5.6457823570082888E-2</v>
      </c>
      <c r="AD20" s="520">
        <v>-0.11113687033657449</v>
      </c>
      <c r="AE20" s="521" t="str">
        <v>NEG IRR</v>
      </c>
    </row>
    <row r="21" spans="2:33" x14ac:dyDescent="0.3">
      <c r="B21" s="310" t="s">
        <v>873</v>
      </c>
      <c r="C21" s="740">
        <f>IF(D9="Djibouti",'Data Sources'!C85,IF(D9="Ethiopia",'Data Sources'!D85,IF(D9="Kenya",'Data Sources'!E85,IF(D9="Rwanda",'Data Sources'!F85,IF(D9="Tanzania",'Data Sources'!G85,IF(D9="Uganda",'Data Sources'!H85,0))))))</f>
        <v>8.3319349916269676</v>
      </c>
      <c r="D21" s="107"/>
      <c r="E21" s="503" t="s">
        <v>68</v>
      </c>
      <c r="F21" s="498"/>
      <c r="G21" s="52">
        <v>10</v>
      </c>
      <c r="L21" s="310" t="s">
        <v>7</v>
      </c>
      <c r="M21" s="333" t="s">
        <v>174</v>
      </c>
      <c r="N21" s="307">
        <v>0</v>
      </c>
      <c r="O21" s="505">
        <f>N21*(1+$R$12)</f>
        <v>0</v>
      </c>
      <c r="Q21" s="390"/>
      <c r="W21" s="779"/>
      <c r="X21" s="493">
        <f t="shared" si="1"/>
        <v>275000</v>
      </c>
      <c r="Y21" s="520">
        <v>0.33453702295967136</v>
      </c>
      <c r="Z21" s="520">
        <v>0.16033907868679886</v>
      </c>
      <c r="AA21" s="520">
        <v>7.5277076310376057E-2</v>
      </c>
      <c r="AB21" s="520">
        <v>1.8845910127979648E-2</v>
      </c>
      <c r="AC21" s="520">
        <v>-2.2840598438570114E-2</v>
      </c>
      <c r="AD21" s="520">
        <v>-5.8713608860298305E-2</v>
      </c>
      <c r="AE21" s="521">
        <v>-0.10661515183059878</v>
      </c>
    </row>
    <row r="22" spans="2:33" x14ac:dyDescent="0.3">
      <c r="B22" s="310" t="s">
        <v>4</v>
      </c>
      <c r="C22" s="307">
        <v>0</v>
      </c>
      <c r="D22" s="107"/>
      <c r="G22" s="390"/>
      <c r="L22" s="323" t="s">
        <v>8</v>
      </c>
      <c r="M22" s="334" t="s">
        <v>174</v>
      </c>
      <c r="N22" s="318">
        <v>0</v>
      </c>
      <c r="O22" s="506">
        <f>N22*(1+$R$12)</f>
        <v>0</v>
      </c>
      <c r="R22" s="257"/>
      <c r="W22" s="780"/>
      <c r="X22" s="494">
        <f>X21+25000</f>
        <v>300000</v>
      </c>
      <c r="Y22" s="522">
        <v>0.43139551558178302</v>
      </c>
      <c r="Z22" s="522">
        <v>0.21570175584719897</v>
      </c>
      <c r="AA22" s="522">
        <v>0.11548272775149648</v>
      </c>
      <c r="AB22" s="522">
        <v>5.2023799903494483E-2</v>
      </c>
      <c r="AC22" s="522">
        <v>7.0327546033910338E-3</v>
      </c>
      <c r="AD22" s="522">
        <v>-2.8500141426794912E-2</v>
      </c>
      <c r="AE22" s="523">
        <v>-6.0572994972692529E-2</v>
      </c>
    </row>
    <row r="23" spans="2:33" x14ac:dyDescent="0.3">
      <c r="B23" s="310" t="s">
        <v>5</v>
      </c>
      <c r="C23" s="307">
        <v>0</v>
      </c>
      <c r="D23" s="107"/>
      <c r="G23" s="390"/>
      <c r="L23" s="49" t="s">
        <v>175</v>
      </c>
      <c r="M23" s="507"/>
      <c r="N23" s="18">
        <v>0.01</v>
      </c>
      <c r="W23" s="68"/>
      <c r="X23" s="68"/>
      <c r="Y23" s="787" t="s">
        <v>756</v>
      </c>
      <c r="Z23" s="788"/>
      <c r="AA23" s="788"/>
      <c r="AB23" s="788"/>
      <c r="AC23" s="788"/>
      <c r="AD23" s="788"/>
      <c r="AE23" s="789"/>
    </row>
    <row r="24" spans="2:33" x14ac:dyDescent="0.3">
      <c r="B24" s="310" t="s">
        <v>6</v>
      </c>
      <c r="C24" s="307">
        <v>0</v>
      </c>
      <c r="D24" s="107"/>
      <c r="E24" s="277" t="s">
        <v>177</v>
      </c>
      <c r="F24" s="66"/>
      <c r="G24" s="311" t="s">
        <v>195</v>
      </c>
      <c r="H24" s="401" t="s">
        <v>17</v>
      </c>
      <c r="Y24" s="652">
        <f>SUM($O$7:$O$22)*(1+Y$25)</f>
        <v>317151.41326571465</v>
      </c>
      <c r="Z24" s="653">
        <f t="shared" ref="Z24:AE24" si="2">SUM($O$7:$O$22)*(1+Z$25)</f>
        <v>422868.55102095287</v>
      </c>
      <c r="AA24" s="653">
        <f t="shared" si="2"/>
        <v>528585.68877619109</v>
      </c>
      <c r="AB24" s="653">
        <f t="shared" si="2"/>
        <v>634302.82653142931</v>
      </c>
      <c r="AC24" s="653">
        <f t="shared" si="2"/>
        <v>740019.96428666753</v>
      </c>
      <c r="AD24" s="653">
        <f t="shared" si="2"/>
        <v>845737.10204190575</v>
      </c>
      <c r="AE24" s="654">
        <f t="shared" si="2"/>
        <v>951454.23979714396</v>
      </c>
    </row>
    <row r="25" spans="2:33" ht="15" customHeight="1" x14ac:dyDescent="0.3">
      <c r="B25" s="310" t="s">
        <v>7</v>
      </c>
      <c r="C25" s="307">
        <v>0</v>
      </c>
      <c r="D25" s="107"/>
      <c r="E25" s="65" t="s">
        <v>197</v>
      </c>
      <c r="F25" s="357"/>
      <c r="G25" s="324">
        <f>25000*12</f>
        <v>300000</v>
      </c>
      <c r="H25" s="306" t="s">
        <v>196</v>
      </c>
      <c r="J25" s="393"/>
      <c r="L25" s="19" t="s">
        <v>79</v>
      </c>
      <c r="M25" s="63"/>
      <c r="N25" s="63"/>
      <c r="O25" s="276"/>
      <c r="W25" s="778" t="s">
        <v>761</v>
      </c>
      <c r="X25" s="490">
        <f>Fish_CashFlows!BP4</f>
        <v>0.11548272775149648</v>
      </c>
      <c r="Y25" s="524">
        <v>-0.4</v>
      </c>
      <c r="Z25" s="524">
        <v>-0.2</v>
      </c>
      <c r="AA25" s="524">
        <v>0</v>
      </c>
      <c r="AB25" s="524">
        <v>0.2</v>
      </c>
      <c r="AC25" s="524">
        <v>0.4</v>
      </c>
      <c r="AD25" s="524">
        <v>0.6</v>
      </c>
      <c r="AE25" s="525">
        <v>0.8</v>
      </c>
    </row>
    <row r="26" spans="2:33" x14ac:dyDescent="0.3">
      <c r="B26" s="310" t="s">
        <v>8</v>
      </c>
      <c r="C26" s="307">
        <v>0</v>
      </c>
      <c r="D26" s="107"/>
      <c r="E26" s="61" t="s">
        <v>193</v>
      </c>
      <c r="F26" s="275"/>
      <c r="G26" s="471">
        <v>0.8</v>
      </c>
      <c r="H26" s="305" t="s">
        <v>155</v>
      </c>
      <c r="L26" s="64"/>
      <c r="M26" s="325" t="s">
        <v>80</v>
      </c>
      <c r="N26" s="72" t="s">
        <v>185</v>
      </c>
      <c r="O26" s="325" t="s">
        <v>185</v>
      </c>
      <c r="W26" s="779"/>
      <c r="X26" s="492">
        <v>150000</v>
      </c>
      <c r="Y26" s="520">
        <f t="dataTable" ref="Y26:AE32" dt2D="1" dtr="1" r1="R12" r2="G25" ca="1"/>
        <v>0.65269507090977052</v>
      </c>
      <c r="Z26" s="520">
        <v>0.20118138104459682</v>
      </c>
      <c r="AA26" s="520" t="str">
        <v>NEG IRR</v>
      </c>
      <c r="AB26" s="520" t="str">
        <v>NEG IRR</v>
      </c>
      <c r="AC26" s="520" t="str">
        <v>NEG IRR</v>
      </c>
      <c r="AD26" s="520" t="str">
        <v>NEG IRR</v>
      </c>
      <c r="AE26" s="521" t="str">
        <v>NEG IRR</v>
      </c>
    </row>
    <row r="27" spans="2:33" x14ac:dyDescent="0.3">
      <c r="B27" s="310" t="s">
        <v>9</v>
      </c>
      <c r="C27" s="307">
        <v>0</v>
      </c>
      <c r="D27" s="107"/>
      <c r="E27" s="61" t="s">
        <v>194</v>
      </c>
      <c r="F27" s="275"/>
      <c r="G27" s="471">
        <v>0.1</v>
      </c>
      <c r="H27" s="305" t="s">
        <v>155</v>
      </c>
      <c r="J27" s="390"/>
      <c r="L27" s="310" t="s">
        <v>82</v>
      </c>
      <c r="M27" s="327" t="s">
        <v>69</v>
      </c>
      <c r="N27" s="324">
        <f>IF(D9="Djibouti",'Data Sources'!C69,IF(D9="Ethiopia",'Data Sources'!D69,IF(D9="Kenya",'Data Sources'!E69,IF(D9="Rwanda",'Data Sources'!F69,IF(D9="Tanzania",'Data Sources'!G69,IF(D9="Uganda",'Data Sources'!H69,0))))))</f>
        <v>18226.10779418399</v>
      </c>
      <c r="O27" s="67">
        <f>IF(M27="Y",N27,0)</f>
        <v>0</v>
      </c>
      <c r="W27" s="779"/>
      <c r="X27" s="493">
        <f>X26+25000</f>
        <v>175000</v>
      </c>
      <c r="Y27" s="520">
        <v>0.85527214487023695</v>
      </c>
      <c r="Z27" s="520">
        <v>0.30523074216713786</v>
      </c>
      <c r="AA27" s="520">
        <v>-0.14176917722675519</v>
      </c>
      <c r="AB27" s="520" t="str">
        <v>NEG IRR</v>
      </c>
      <c r="AC27" s="520" t="str">
        <v>NEG IRR</v>
      </c>
      <c r="AD27" s="520" t="str">
        <v>NEG IRR</v>
      </c>
      <c r="AE27" s="521" t="str">
        <v>NEG IRR</v>
      </c>
    </row>
    <row r="28" spans="2:33" x14ac:dyDescent="0.3">
      <c r="B28" s="323" t="s">
        <v>10</v>
      </c>
      <c r="C28" s="318">
        <v>0</v>
      </c>
      <c r="D28" s="107"/>
      <c r="E28" s="61" t="s">
        <v>198</v>
      </c>
      <c r="F28" s="275"/>
      <c r="G28" s="409">
        <f>G25*(G26-G27)*100/(100-100*G27)</f>
        <v>233333.33333333337</v>
      </c>
      <c r="H28" s="305" t="s">
        <v>196</v>
      </c>
      <c r="J28" s="390"/>
      <c r="L28" s="310" t="s">
        <v>521</v>
      </c>
      <c r="M28" s="328" t="s">
        <v>81</v>
      </c>
      <c r="N28" s="319">
        <f>IF(D9="Djibouti",'Data Sources'!C73,IF(D9="Ethiopia",'Data Sources'!D73,IF(D9="Kenya",'Data Sources'!E73,IF(D9="Rwanda",'Data Sources'!F73,IF(D9="Tanzania",'Data Sources'!G73,IF(D9="Uganda",'Data Sources'!H73,0))))))</f>
        <v>7269.6132801945296</v>
      </c>
      <c r="O28" s="69">
        <f t="shared" ref="O28:O34" si="3">IF(M28="Y",N28,0)</f>
        <v>7269.6132801945296</v>
      </c>
      <c r="R28" s="21"/>
      <c r="W28" s="779"/>
      <c r="X28" s="493">
        <f t="shared" ref="X28:X31" si="4">X27+25000</f>
        <v>200000</v>
      </c>
      <c r="Y28" s="520">
        <v>1.058562300768223</v>
      </c>
      <c r="Z28" s="520">
        <v>0.42498691575709691</v>
      </c>
      <c r="AA28" s="520">
        <v>-5.0054893911324116E-2</v>
      </c>
      <c r="AB28" s="520" t="str">
        <v>NEG IRR</v>
      </c>
      <c r="AC28" s="520" t="str">
        <v>NEG IRR</v>
      </c>
      <c r="AD28" s="520" t="str">
        <v>NEG IRR</v>
      </c>
      <c r="AE28" s="521" t="str">
        <v>NEG IRR</v>
      </c>
    </row>
    <row r="29" spans="2:33" x14ac:dyDescent="0.3">
      <c r="B29" s="509" t="s">
        <v>15</v>
      </c>
      <c r="C29" s="10">
        <f>(SUM(C13:C20)+SUM(C22:C28)+(C21*G40))*(1+$R$11)</f>
        <v>268635.9674958135</v>
      </c>
      <c r="E29" s="61" t="s">
        <v>202</v>
      </c>
      <c r="F29" s="275"/>
      <c r="G29" s="410">
        <f>G25-G28</f>
        <v>66666.666666666628</v>
      </c>
      <c r="H29" s="305" t="s">
        <v>196</v>
      </c>
      <c r="L29" s="310" t="s">
        <v>387</v>
      </c>
      <c r="M29" s="328" t="s">
        <v>81</v>
      </c>
      <c r="N29" s="319">
        <f>IF(D9="Djibouti",'Data Sources'!C77,IF(D9="Ethiopia",'Data Sources'!D77,IF(D9="Kenya",'Data Sources'!E77,IF(D9="Rwanda",'Data Sources'!F77,IF(D9="Tanzania",'Data Sources'!G77,IF(D9="Uganda",'Data Sources'!H77,0))))))</f>
        <v>5186.6295322877877</v>
      </c>
      <c r="O29" s="69">
        <f t="shared" si="3"/>
        <v>5186.6295322877877</v>
      </c>
      <c r="W29" s="779"/>
      <c r="X29" s="493">
        <f t="shared" si="4"/>
        <v>225000</v>
      </c>
      <c r="Y29" s="520">
        <v>1.2618926632230227</v>
      </c>
      <c r="Z29" s="520">
        <v>0.55322786278894553</v>
      </c>
      <c r="AA29" s="520">
        <v>-5.2421604034594838E-3</v>
      </c>
      <c r="AB29" s="520" t="str">
        <v>NEG IRR</v>
      </c>
      <c r="AC29" s="520" t="str">
        <v>NEG IRR</v>
      </c>
      <c r="AD29" s="520" t="str">
        <v>NEG IRR</v>
      </c>
      <c r="AE29" s="521" t="str">
        <v>NEG IRR</v>
      </c>
    </row>
    <row r="30" spans="2:33" x14ac:dyDescent="0.3">
      <c r="E30" s="61" t="s">
        <v>514</v>
      </c>
      <c r="F30" s="275"/>
      <c r="G30" s="472">
        <v>0.01</v>
      </c>
      <c r="H30" s="305" t="s">
        <v>155</v>
      </c>
      <c r="L30" s="310" t="s">
        <v>184</v>
      </c>
      <c r="M30" s="328" t="s">
        <v>69</v>
      </c>
      <c r="N30" s="319">
        <v>0</v>
      </c>
      <c r="O30" s="69">
        <f t="shared" si="3"/>
        <v>0</v>
      </c>
      <c r="W30" s="779"/>
      <c r="X30" s="493">
        <f t="shared" si="4"/>
        <v>250000</v>
      </c>
      <c r="Y30" s="520">
        <v>1.4651494563748027</v>
      </c>
      <c r="Z30" s="520">
        <v>0.68483155036349785</v>
      </c>
      <c r="AA30" s="520">
        <v>3.5256018016363022E-2</v>
      </c>
      <c r="AB30" s="520" t="str">
        <v>NEG IRR</v>
      </c>
      <c r="AC30" s="520" t="str">
        <v>NEG IRR</v>
      </c>
      <c r="AD30" s="520" t="str">
        <v>NEG IRR</v>
      </c>
      <c r="AE30" s="521" t="str">
        <v>NEG IRR</v>
      </c>
    </row>
    <row r="31" spans="2:33" x14ac:dyDescent="0.3">
      <c r="B31" s="356" t="s">
        <v>880</v>
      </c>
      <c r="E31" s="61" t="s">
        <v>515</v>
      </c>
      <c r="F31" s="275"/>
      <c r="G31" s="410">
        <f>(1-G30)*G29</f>
        <v>65999.999999999956</v>
      </c>
      <c r="H31" s="305" t="s">
        <v>196</v>
      </c>
      <c r="L31" s="310" t="s">
        <v>386</v>
      </c>
      <c r="M31" s="328" t="s">
        <v>81</v>
      </c>
      <c r="N31" s="319">
        <f>IF(D9="Djibouti",'Data Sources'!C81,IF(D9="Ethiopia",'Data Sources'!D81,IF(D9="Kenya",'Data Sources'!E81,IF(D9="Rwanda",'Data Sources'!F81,IF(D9="Tanzania",'Data Sources'!G81,IF(D9="Uganda",'Data Sources'!H81,0))))))</f>
        <v>5149.1358248254664</v>
      </c>
      <c r="O31" s="69">
        <f t="shared" si="3"/>
        <v>5149.1358248254664</v>
      </c>
      <c r="W31" s="779"/>
      <c r="X31" s="493">
        <f t="shared" si="4"/>
        <v>275000</v>
      </c>
      <c r="Y31" s="520">
        <v>1.668330345658076</v>
      </c>
      <c r="Z31" s="520">
        <v>0.81758464708831791</v>
      </c>
      <c r="AA31" s="520">
        <v>7.5277076310376057E-2</v>
      </c>
      <c r="AB31" s="520" t="str">
        <v>NEG IRR</v>
      </c>
      <c r="AC31" s="520" t="str">
        <v>NEG IRR</v>
      </c>
      <c r="AD31" s="520" t="str">
        <v>NEG IRR</v>
      </c>
      <c r="AE31" s="521" t="str">
        <v>NEG IRR</v>
      </c>
    </row>
    <row r="32" spans="2:33" x14ac:dyDescent="0.3">
      <c r="B32" s="766" t="s">
        <v>881</v>
      </c>
      <c r="C32" s="767">
        <v>6.0000000000000001E-3</v>
      </c>
      <c r="E32" s="61" t="s">
        <v>199</v>
      </c>
      <c r="F32" s="275"/>
      <c r="G32" s="411">
        <v>0.2</v>
      </c>
      <c r="H32" s="305" t="s">
        <v>200</v>
      </c>
      <c r="L32" s="310" t="s">
        <v>388</v>
      </c>
      <c r="M32" s="328" t="s">
        <v>69</v>
      </c>
      <c r="N32" s="319">
        <v>0</v>
      </c>
      <c r="O32" s="69">
        <f t="shared" si="3"/>
        <v>0</v>
      </c>
      <c r="W32" s="780"/>
      <c r="X32" s="494">
        <f>X31+25000</f>
        <v>300000</v>
      </c>
      <c r="Y32" s="522">
        <v>1.8714511912485836</v>
      </c>
      <c r="Z32" s="522">
        <v>0.95068579970420353</v>
      </c>
      <c r="AA32" s="522">
        <v>0.11548272775149648</v>
      </c>
      <c r="AB32" s="522" t="str">
        <v>NEG IRR</v>
      </c>
      <c r="AC32" s="522" t="str">
        <v>NEG IRR</v>
      </c>
      <c r="AD32" s="522" t="str">
        <v>NEG IRR</v>
      </c>
      <c r="AE32" s="523" t="str">
        <v>NEG IRR</v>
      </c>
    </row>
    <row r="33" spans="2:74" x14ac:dyDescent="0.3">
      <c r="B33" s="726" t="s">
        <v>882</v>
      </c>
      <c r="C33" s="407">
        <v>1000</v>
      </c>
      <c r="E33" s="61" t="s">
        <v>551</v>
      </c>
      <c r="F33" s="275"/>
      <c r="G33" s="473">
        <f>1000/166.4</f>
        <v>6.0096153846153841</v>
      </c>
      <c r="H33" s="305" t="s">
        <v>550</v>
      </c>
      <c r="L33" s="310" t="s">
        <v>4</v>
      </c>
      <c r="M33" s="328" t="s">
        <v>69</v>
      </c>
      <c r="N33" s="319">
        <v>0</v>
      </c>
      <c r="O33" s="69">
        <f t="shared" si="3"/>
        <v>0</v>
      </c>
      <c r="R33" s="257"/>
      <c r="W33" s="68"/>
      <c r="X33" s="68"/>
      <c r="Y33" s="787" t="s">
        <v>757</v>
      </c>
      <c r="Z33" s="788"/>
      <c r="AA33" s="788"/>
      <c r="AB33" s="788"/>
      <c r="AC33" s="788"/>
      <c r="AD33" s="788"/>
      <c r="AE33" s="789"/>
    </row>
    <row r="34" spans="2:74" x14ac:dyDescent="0.3">
      <c r="B34" s="726" t="s">
        <v>883</v>
      </c>
      <c r="C34" s="767">
        <v>4.1870000000000003</v>
      </c>
      <c r="E34" s="61" t="s">
        <v>544</v>
      </c>
      <c r="F34" s="275"/>
      <c r="G34" s="412">
        <v>11</v>
      </c>
      <c r="H34" s="305" t="s">
        <v>547</v>
      </c>
      <c r="I34" s="354"/>
      <c r="L34" s="323" t="s">
        <v>5</v>
      </c>
      <c r="M34" s="329" t="s">
        <v>69</v>
      </c>
      <c r="N34" s="319">
        <v>0</v>
      </c>
      <c r="O34" s="70">
        <f t="shared" si="3"/>
        <v>0</v>
      </c>
      <c r="Y34" s="649">
        <f t="shared" ref="Y34:AE34" si="5">AVERAGE($R$15:$R$16)*(1+Y$35)</f>
        <v>5.1884853731160678</v>
      </c>
      <c r="Z34" s="650">
        <f t="shared" si="5"/>
        <v>6.9179804974880916</v>
      </c>
      <c r="AA34" s="650">
        <f t="shared" si="5"/>
        <v>8.6474756218601136</v>
      </c>
      <c r="AB34" s="650">
        <f t="shared" si="5"/>
        <v>10.376970746232136</v>
      </c>
      <c r="AC34" s="650">
        <f t="shared" si="5"/>
        <v>12.106465870604158</v>
      </c>
      <c r="AD34" s="650">
        <f t="shared" si="5"/>
        <v>13.835960994976183</v>
      </c>
      <c r="AE34" s="651">
        <f t="shared" si="5"/>
        <v>15.565456119348205</v>
      </c>
    </row>
    <row r="35" spans="2:74" ht="15" customHeight="1" x14ac:dyDescent="0.3">
      <c r="B35" s="726" t="s">
        <v>884</v>
      </c>
      <c r="C35" s="407">
        <v>160</v>
      </c>
      <c r="E35" s="61" t="s">
        <v>549</v>
      </c>
      <c r="F35" s="275"/>
      <c r="G35" s="412">
        <v>1</v>
      </c>
      <c r="H35" s="305" t="s">
        <v>547</v>
      </c>
      <c r="L35" s="16" t="s">
        <v>162</v>
      </c>
      <c r="M35" s="326"/>
      <c r="N35" s="63"/>
      <c r="O35" s="519">
        <f>SUM(O27:O34)</f>
        <v>17605.378637307782</v>
      </c>
      <c r="W35" s="778" t="s">
        <v>761</v>
      </c>
      <c r="X35" s="491">
        <f>Fish_CashFlows!BP4</f>
        <v>0.11548272775149648</v>
      </c>
      <c r="Y35" s="524">
        <v>-0.4</v>
      </c>
      <c r="Z35" s="524">
        <v>-0.2</v>
      </c>
      <c r="AA35" s="524">
        <v>0</v>
      </c>
      <c r="AB35" s="524">
        <v>0.2</v>
      </c>
      <c r="AC35" s="524">
        <v>0.4</v>
      </c>
      <c r="AD35" s="524">
        <v>0.6</v>
      </c>
      <c r="AE35" s="525">
        <v>0.8</v>
      </c>
    </row>
    <row r="36" spans="2:74" x14ac:dyDescent="0.3">
      <c r="B36" s="726" t="s">
        <v>885</v>
      </c>
      <c r="C36" s="407">
        <v>100</v>
      </c>
      <c r="E36" s="61" t="s">
        <v>555</v>
      </c>
      <c r="F36" s="275"/>
      <c r="G36" s="413">
        <f>M43*M42*M40*(G34+G35)</f>
        <v>3600</v>
      </c>
      <c r="H36" s="305" t="s">
        <v>545</v>
      </c>
      <c r="W36" s="779"/>
      <c r="X36" s="492">
        <v>150000</v>
      </c>
      <c r="Y36" s="520" t="str">
        <f t="dataTable" ref="Y36:AE42" dt2D="1" dtr="1" r1="R13" r2="G25" ca="1"/>
        <v>NEG IRR</v>
      </c>
      <c r="Z36" s="520" t="str">
        <v>NEG IRR</v>
      </c>
      <c r="AA36" s="520" t="str">
        <v>NEG IRR</v>
      </c>
      <c r="AB36" s="520">
        <v>0.19524765136628175</v>
      </c>
      <c r="AC36" s="520">
        <v>0.63787349756921063</v>
      </c>
      <c r="AD36" s="520">
        <v>1.129349180267972</v>
      </c>
      <c r="AE36" s="521">
        <v>1.6212035231406783</v>
      </c>
    </row>
    <row r="37" spans="2:74" x14ac:dyDescent="0.3">
      <c r="B37" s="726" t="s">
        <v>886</v>
      </c>
      <c r="C37" s="768">
        <f>C35-C36</f>
        <v>60</v>
      </c>
      <c r="E37" s="61" t="s">
        <v>556</v>
      </c>
      <c r="F37" s="275"/>
      <c r="G37" s="414">
        <f>G36/(G34+G35)</f>
        <v>300</v>
      </c>
      <c r="H37" s="305" t="s">
        <v>546</v>
      </c>
      <c r="L37" s="277" t="s">
        <v>186</v>
      </c>
      <c r="M37" s="278"/>
      <c r="W37" s="779"/>
      <c r="X37" s="493">
        <f>X36+25000</f>
        <v>175000</v>
      </c>
      <c r="Y37" s="520" t="str">
        <v>NEG IRR</v>
      </c>
      <c r="Z37" s="520" t="str">
        <v>NEG IRR</v>
      </c>
      <c r="AA37" s="520">
        <v>-0.14176917722675519</v>
      </c>
      <c r="AB37" s="520">
        <v>0.30840530330762195</v>
      </c>
      <c r="AC37" s="520">
        <v>0.86395441623399805</v>
      </c>
      <c r="AD37" s="520">
        <v>1.4381240829358681</v>
      </c>
      <c r="AE37" s="521">
        <v>2.0115653142306602</v>
      </c>
    </row>
    <row r="38" spans="2:74" x14ac:dyDescent="0.3">
      <c r="B38" s="769" t="s">
        <v>887</v>
      </c>
      <c r="C38" s="403">
        <f>C32*C33*C34*C37</f>
        <v>1507.32</v>
      </c>
      <c r="E38" s="61" t="s">
        <v>557</v>
      </c>
      <c r="F38" s="275"/>
      <c r="G38" s="63">
        <f>G25/G37</f>
        <v>1000</v>
      </c>
      <c r="H38" s="305" t="s">
        <v>548</v>
      </c>
      <c r="L38" s="510" t="s">
        <v>558</v>
      </c>
      <c r="M38" s="6">
        <v>200</v>
      </c>
      <c r="W38" s="779"/>
      <c r="X38" s="493">
        <f t="shared" ref="X38:X41" si="6">X37+25000</f>
        <v>200000</v>
      </c>
      <c r="Y38" s="520" t="str">
        <v>NEG IRR</v>
      </c>
      <c r="Z38" s="520" t="str">
        <v>NEG IRR</v>
      </c>
      <c r="AA38" s="520">
        <v>-5.0054893911324116E-2</v>
      </c>
      <c r="AB38" s="520">
        <v>0.43981645652408785</v>
      </c>
      <c r="AC38" s="520">
        <v>1.0908436953741707</v>
      </c>
      <c r="AD38" s="520">
        <v>1.7467115423310191</v>
      </c>
      <c r="AE38" s="521">
        <v>2.4017845407967071</v>
      </c>
    </row>
    <row r="39" spans="2:74" x14ac:dyDescent="0.3">
      <c r="E39" s="61" t="s">
        <v>552</v>
      </c>
      <c r="F39" s="275"/>
      <c r="G39" s="474">
        <f>G38/G33</f>
        <v>166.4</v>
      </c>
      <c r="H39" s="305" t="s">
        <v>554</v>
      </c>
      <c r="L39" s="511" t="s">
        <v>191</v>
      </c>
      <c r="M39" s="396">
        <f>G38/M38</f>
        <v>5</v>
      </c>
      <c r="W39" s="779"/>
      <c r="X39" s="493">
        <f t="shared" si="6"/>
        <v>225000</v>
      </c>
      <c r="Y39" s="520" t="str">
        <v>NEG IRR</v>
      </c>
      <c r="Z39" s="520" t="str">
        <v>NEG IRR</v>
      </c>
      <c r="AA39" s="520">
        <v>-5.2421604034594838E-3</v>
      </c>
      <c r="AB39" s="520">
        <v>0.58034513329242476</v>
      </c>
      <c r="AC39" s="520">
        <v>1.3177176366297663</v>
      </c>
      <c r="AD39" s="520">
        <v>2.0551665454542136</v>
      </c>
      <c r="AE39" s="521">
        <v>2.7919209391220852</v>
      </c>
    </row>
    <row r="40" spans="2:74" x14ac:dyDescent="0.3">
      <c r="E40" s="61" t="s">
        <v>553</v>
      </c>
      <c r="F40" s="275"/>
      <c r="G40" s="416">
        <v>500</v>
      </c>
      <c r="H40" s="305" t="s">
        <v>554</v>
      </c>
      <c r="I40" s="354"/>
      <c r="L40" s="511" t="s">
        <v>187</v>
      </c>
      <c r="M40" s="8">
        <v>1</v>
      </c>
      <c r="W40" s="779"/>
      <c r="X40" s="493">
        <f t="shared" si="6"/>
        <v>250000</v>
      </c>
      <c r="Y40" s="520" t="str">
        <v>NEG IRR</v>
      </c>
      <c r="Z40" s="520" t="str">
        <v>NEG IRR</v>
      </c>
      <c r="AA40" s="520">
        <v>3.5256018016363022E-2</v>
      </c>
      <c r="AB40" s="520">
        <v>0.72409405695987616</v>
      </c>
      <c r="AC40" s="520">
        <v>1.5444781104412533</v>
      </c>
      <c r="AD40" s="520">
        <v>2.3635368338405511</v>
      </c>
      <c r="AE40" s="521">
        <v>3.182006327416536</v>
      </c>
    </row>
    <row r="41" spans="2:74" x14ac:dyDescent="0.3">
      <c r="B41" s="356" t="s">
        <v>888</v>
      </c>
      <c r="E41" s="60" t="s">
        <v>715</v>
      </c>
      <c r="F41" s="498"/>
      <c r="G41" s="475">
        <v>5.0000000000000001E-4</v>
      </c>
      <c r="H41" s="316" t="s">
        <v>155</v>
      </c>
      <c r="L41" s="512" t="s">
        <v>188</v>
      </c>
      <c r="M41" s="8">
        <v>12</v>
      </c>
      <c r="W41" s="779"/>
      <c r="X41" s="493">
        <f t="shared" si="6"/>
        <v>275000</v>
      </c>
      <c r="Y41" s="520" t="str">
        <v>NEG IRR</v>
      </c>
      <c r="Z41" s="520" t="str">
        <v>NEG IRR</v>
      </c>
      <c r="AA41" s="520">
        <v>7.5277076310376057E-2</v>
      </c>
      <c r="AB41" s="520">
        <v>0.86880493100016087</v>
      </c>
      <c r="AC41" s="520">
        <v>1.7711410470108029</v>
      </c>
      <c r="AD41" s="520">
        <v>2.6718519489502874</v>
      </c>
      <c r="AE41" s="521">
        <v>3.5720584107503939</v>
      </c>
    </row>
    <row r="42" spans="2:74" x14ac:dyDescent="0.3">
      <c r="B42" s="766" t="s">
        <v>889</v>
      </c>
      <c r="C42" s="407">
        <v>20</v>
      </c>
      <c r="L42" s="511" t="s">
        <v>205</v>
      </c>
      <c r="M42" s="397">
        <v>6</v>
      </c>
      <c r="W42" s="780"/>
      <c r="X42" s="494">
        <f>X41+25000</f>
        <v>300000</v>
      </c>
      <c r="Y42" s="522" t="str">
        <v>NEG IRR</v>
      </c>
      <c r="Z42" s="522" t="str">
        <v>NEG IRR</v>
      </c>
      <c r="AA42" s="522">
        <v>0.11548272775149648</v>
      </c>
      <c r="AB42" s="522">
        <v>1.0137499948911461</v>
      </c>
      <c r="AC42" s="522">
        <v>1.9977324389434155</v>
      </c>
      <c r="AD42" s="522">
        <v>2.9801297474017523</v>
      </c>
      <c r="AE42" s="523">
        <v>3.9620876472977349</v>
      </c>
    </row>
    <row r="43" spans="2:74" x14ac:dyDescent="0.3">
      <c r="B43" s="726" t="s">
        <v>890</v>
      </c>
      <c r="C43" s="407">
        <v>52</v>
      </c>
      <c r="L43" s="511" t="s">
        <v>204</v>
      </c>
      <c r="M43" s="397">
        <v>50</v>
      </c>
    </row>
    <row r="44" spans="2:74" x14ac:dyDescent="0.3">
      <c r="B44" s="726" t="s">
        <v>891</v>
      </c>
      <c r="C44" s="770">
        <f>AVERAGE(C42:C43)</f>
        <v>36</v>
      </c>
      <c r="L44" s="511" t="s">
        <v>189</v>
      </c>
      <c r="M44" s="335">
        <f>M40*M41*M39</f>
        <v>60</v>
      </c>
    </row>
    <row r="45" spans="2:74" x14ac:dyDescent="0.3">
      <c r="B45" s="726" t="s">
        <v>892</v>
      </c>
      <c r="C45" s="771">
        <f>C34*(597-0.56*C44)</f>
        <v>2415.2290800000001</v>
      </c>
      <c r="L45" s="513" t="s">
        <v>206</v>
      </c>
      <c r="M45" s="336">
        <f>M44*M43*M42</f>
        <v>18000</v>
      </c>
    </row>
    <row r="46" spans="2:74" x14ac:dyDescent="0.3">
      <c r="B46" s="726" t="s">
        <v>893</v>
      </c>
      <c r="C46" s="772">
        <f>G28*C45</f>
        <v>563553452.00000012</v>
      </c>
    </row>
    <row r="47" spans="2:74" x14ac:dyDescent="0.3">
      <c r="B47" s="726" t="s">
        <v>894</v>
      </c>
      <c r="C47" s="770">
        <f>C46/(M43*M42*G34*M40*3600)</f>
        <v>47.437159259259268</v>
      </c>
      <c r="E47" s="390"/>
      <c r="BV47" s="299" t="s">
        <v>31</v>
      </c>
    </row>
    <row r="48" spans="2:74" x14ac:dyDescent="0.3">
      <c r="B48" s="769" t="s">
        <v>895</v>
      </c>
      <c r="C48" s="408" t="str">
        <f>IF(C38-C47&gt;0,"YES","NO")</f>
        <v>YES</v>
      </c>
      <c r="J48" s="390"/>
      <c r="BV48" s="27" t="s">
        <v>35</v>
      </c>
    </row>
    <row r="49" spans="7:74" x14ac:dyDescent="0.3">
      <c r="G49" s="390"/>
      <c r="BV49" s="27" t="s">
        <v>39</v>
      </c>
    </row>
    <row r="50" spans="7:74" x14ac:dyDescent="0.3">
      <c r="BV50" s="27" t="s">
        <v>42</v>
      </c>
    </row>
    <row r="51" spans="7:74" x14ac:dyDescent="0.3">
      <c r="BV51" s="27" t="s">
        <v>45</v>
      </c>
    </row>
    <row r="52" spans="7:74" x14ac:dyDescent="0.3">
      <c r="BV52" s="30" t="s">
        <v>48</v>
      </c>
    </row>
    <row r="55" spans="7:74" x14ac:dyDescent="0.3">
      <c r="BV55" t="s">
        <v>81</v>
      </c>
    </row>
    <row r="56" spans="7:74" x14ac:dyDescent="0.3">
      <c r="BV56" t="s">
        <v>69</v>
      </c>
    </row>
  </sheetData>
  <mergeCells count="7">
    <mergeCell ref="W35:W42"/>
    <mergeCell ref="W12:AE12"/>
    <mergeCell ref="Y13:AE13"/>
    <mergeCell ref="W15:W22"/>
    <mergeCell ref="Y23:AE23"/>
    <mergeCell ref="W25:W32"/>
    <mergeCell ref="Y33:AE33"/>
  </mergeCells>
  <conditionalFormatting sqref="Y16:AE22">
    <cfRule type="containsText" dxfId="187" priority="13" operator="containsText" text="NEG IRR">
      <formula>NOT(ISERROR(SEARCH("NEG IRR",Y16)))</formula>
    </cfRule>
    <cfRule type="containsText" dxfId="186" priority="22" operator="containsText" text="ERROR">
      <formula>NOT(ISERROR(SEARCH("ERROR",Y16)))</formula>
    </cfRule>
    <cfRule type="cellIs" dxfId="185" priority="23" operator="between">
      <formula>$AG$16</formula>
      <formula>$AG$17</formula>
    </cfRule>
    <cfRule type="cellIs" dxfId="184" priority="24" operator="greaterThan">
      <formula>$AG$17</formula>
    </cfRule>
    <cfRule type="cellIs" dxfId="183" priority="25" operator="lessThan">
      <formula>$AG$16</formula>
    </cfRule>
  </conditionalFormatting>
  <conditionalFormatting sqref="Y26:AE32">
    <cfRule type="containsText" dxfId="182" priority="8" operator="containsText" text="NEG IRR">
      <formula>NOT(ISERROR(SEARCH("NEG IRR",Y26)))</formula>
    </cfRule>
    <cfRule type="containsText" dxfId="181" priority="9" operator="containsText" text="ERROR">
      <formula>NOT(ISERROR(SEARCH("ERROR",Y26)))</formula>
    </cfRule>
    <cfRule type="cellIs" dxfId="180" priority="10" operator="between">
      <formula>$AG$16</formula>
      <formula>$AG$17</formula>
    </cfRule>
    <cfRule type="cellIs" dxfId="179" priority="11" operator="greaterThan">
      <formula>$AG$17</formula>
    </cfRule>
    <cfRule type="cellIs" dxfId="178" priority="12" operator="lessThan">
      <formula>$AG$16</formula>
    </cfRule>
  </conditionalFormatting>
  <conditionalFormatting sqref="Y36:AE42">
    <cfRule type="containsText" dxfId="177" priority="3" operator="containsText" text="NEG IRR">
      <formula>NOT(ISERROR(SEARCH("NEG IRR",Y36)))</formula>
    </cfRule>
    <cfRule type="containsText" dxfId="176" priority="4" operator="containsText" text="ERROR">
      <formula>NOT(ISERROR(SEARCH("ERROR",Y36)))</formula>
    </cfRule>
    <cfRule type="cellIs" dxfId="175" priority="5" operator="between">
      <formula>$AG$16</formula>
      <formula>$AG$17</formula>
    </cfRule>
    <cfRule type="cellIs" dxfId="174" priority="6" operator="greaterThan">
      <formula>$AG$17</formula>
    </cfRule>
    <cfRule type="cellIs" dxfId="173" priority="7" operator="lessThan">
      <formula>$AG$16</formula>
    </cfRule>
  </conditionalFormatting>
  <conditionalFormatting sqref="C48">
    <cfRule type="containsText" dxfId="172" priority="1" operator="containsText" text="YES">
      <formula>NOT(ISERROR(SEARCH("YES",C48)))</formula>
    </cfRule>
    <cfRule type="containsText" dxfId="171" priority="2" operator="containsText" text="NO">
      <formula>NOT(ISERROR(SEARCH("NO",C48)))</formula>
    </cfRule>
  </conditionalFormatting>
  <dataValidations count="2">
    <dataValidation type="list" allowBlank="1" showInputMessage="1" showErrorMessage="1" sqref="D9" xr:uid="{00000000-0002-0000-0100-000000000000}">
      <formula1>$BV$47:$BV$52</formula1>
    </dataValidation>
    <dataValidation type="list" allowBlank="1" showInputMessage="1" showErrorMessage="1" sqref="M27:M34" xr:uid="{00000000-0002-0000-0100-000001000000}">
      <formula1>$BV$55:$BV$56</formula1>
    </dataValidation>
  </dataValidations>
  <pageMargins left="0.7" right="0.7" top="0.75" bottom="0.75" header="0.3" footer="0.3"/>
  <pageSetup orientation="portrait" r:id="rId1"/>
  <drawing r:id="rId2"/>
  <legacy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74957C-F8C1-4B37-8276-415EA6E4E346}">
  <sheetPr>
    <tabColor theme="9"/>
  </sheetPr>
  <dimension ref="B2:DQ66"/>
  <sheetViews>
    <sheetView zoomScale="80" zoomScaleNormal="80" workbookViewId="0"/>
  </sheetViews>
  <sheetFormatPr defaultColWidth="14.33203125" defaultRowHeight="14.4" x14ac:dyDescent="0.3"/>
  <cols>
    <col min="1" max="1" width="4.33203125" style="75" customWidth="1"/>
    <col min="2" max="7" width="14.33203125" style="75"/>
    <col min="8" max="8" width="14.33203125" style="76"/>
    <col min="9" max="9" width="14.33203125" style="75"/>
    <col min="10" max="10" width="14.33203125" style="77"/>
    <col min="11" max="11" width="14.33203125" style="78"/>
    <col min="12" max="12" width="15.6640625" style="79" customWidth="1"/>
    <col min="13" max="14" width="14.33203125" style="79"/>
    <col min="15" max="15" width="14.33203125" style="80"/>
    <col min="16" max="37" width="14.33203125" style="79"/>
    <col min="38" max="38" width="15.109375" style="78" bestFit="1" customWidth="1"/>
    <col min="39" max="41" width="14.33203125" style="79"/>
    <col min="42" max="42" width="14.33203125" style="81"/>
    <col min="43" max="47" width="14.33203125" style="79"/>
    <col min="48" max="48" width="14.33203125" style="80"/>
    <col min="49" max="61" width="14.33203125" style="79"/>
    <col min="62" max="62" width="14.33203125" style="80"/>
    <col min="63" max="63" width="16.33203125" style="80" bestFit="1" customWidth="1"/>
    <col min="64" max="64" width="14.33203125" style="80"/>
    <col min="65" max="93" width="14.33203125" style="79"/>
    <col min="94" max="16384" width="14.33203125" style="75"/>
  </cols>
  <sheetData>
    <row r="2" spans="2:121" x14ac:dyDescent="0.3">
      <c r="AY2" s="82" t="s">
        <v>90</v>
      </c>
      <c r="AZ2" s="83"/>
      <c r="BA2" s="83"/>
      <c r="BB2" s="84"/>
      <c r="BE2" s="82" t="s">
        <v>91</v>
      </c>
      <c r="BF2" s="85"/>
      <c r="BG2" s="86"/>
      <c r="BJ2" s="82" t="s">
        <v>153</v>
      </c>
      <c r="BK2" s="85"/>
      <c r="BN2" s="82" t="s">
        <v>92</v>
      </c>
      <c r="BO2" s="83"/>
      <c r="BP2" s="83"/>
      <c r="BQ2" s="84"/>
      <c r="BS2" s="82" t="s">
        <v>93</v>
      </c>
      <c r="BT2" s="84"/>
    </row>
    <row r="3" spans="2:121" s="87" customFormat="1" ht="28.8" x14ac:dyDescent="0.3">
      <c r="F3" s="88" t="s">
        <v>94</v>
      </c>
      <c r="H3" s="89"/>
      <c r="I3" s="90" t="s">
        <v>739</v>
      </c>
      <c r="J3" s="90" t="s">
        <v>95</v>
      </c>
      <c r="K3" s="90" t="s">
        <v>213</v>
      </c>
      <c r="L3" s="90" t="s">
        <v>214</v>
      </c>
      <c r="M3" s="91"/>
      <c r="N3" s="91"/>
      <c r="O3" s="92"/>
      <c r="P3" s="90" t="s">
        <v>736</v>
      </c>
      <c r="Q3" s="91"/>
      <c r="R3" s="91"/>
      <c r="S3" s="91"/>
      <c r="T3" s="91"/>
      <c r="U3" s="91"/>
      <c r="V3" s="91"/>
      <c r="W3" s="91"/>
      <c r="X3" s="91"/>
      <c r="Y3" s="91"/>
      <c r="Z3" s="91"/>
      <c r="AA3" s="91"/>
      <c r="AB3" s="93"/>
      <c r="AC3" s="93"/>
      <c r="AD3" s="93"/>
      <c r="AE3" s="93"/>
      <c r="AF3" s="93"/>
      <c r="AG3" s="90" t="s">
        <v>737</v>
      </c>
      <c r="AH3" s="90" t="s">
        <v>750</v>
      </c>
      <c r="AI3" s="90" t="s">
        <v>96</v>
      </c>
      <c r="AJ3" s="93"/>
      <c r="AK3" s="94"/>
      <c r="AL3" s="95"/>
      <c r="AM3" s="94"/>
      <c r="AN3" s="94"/>
      <c r="AO3" s="96"/>
      <c r="AP3" s="90" t="s">
        <v>97</v>
      </c>
      <c r="AQ3" s="96"/>
      <c r="AR3" s="91"/>
      <c r="AS3" s="91"/>
      <c r="AT3" s="91"/>
      <c r="AU3" s="91"/>
      <c r="AV3" s="92"/>
      <c r="AW3" s="91"/>
      <c r="AX3" s="91"/>
      <c r="AY3" s="97" t="s">
        <v>38</v>
      </c>
      <c r="AZ3" s="97" t="s">
        <v>222</v>
      </c>
      <c r="BA3" s="97" t="s">
        <v>98</v>
      </c>
      <c r="BB3" s="97" t="s">
        <v>223</v>
      </c>
      <c r="BD3" s="91"/>
      <c r="BE3" s="98" t="s">
        <v>38</v>
      </c>
      <c r="BF3" s="98" t="s">
        <v>222</v>
      </c>
      <c r="BG3" s="91"/>
      <c r="BH3" s="79"/>
      <c r="BI3" s="79"/>
      <c r="BJ3" s="97" t="s">
        <v>151</v>
      </c>
      <c r="BK3" s="97" t="s">
        <v>152</v>
      </c>
      <c r="BN3" s="97" t="s">
        <v>98</v>
      </c>
      <c r="BO3" s="97" t="s">
        <v>99</v>
      </c>
      <c r="BP3" s="97" t="s">
        <v>38</v>
      </c>
      <c r="BQ3" s="97" t="s">
        <v>222</v>
      </c>
      <c r="BR3" s="91"/>
      <c r="BS3" s="97" t="s">
        <v>38</v>
      </c>
      <c r="BT3" s="97" t="s">
        <v>222</v>
      </c>
      <c r="BU3" s="97" t="s">
        <v>100</v>
      </c>
      <c r="BV3" s="88" t="s">
        <v>101</v>
      </c>
      <c r="BW3" s="91"/>
      <c r="BX3" s="91"/>
      <c r="BY3" s="91"/>
      <c r="BZ3" s="91"/>
      <c r="CA3" s="91"/>
      <c r="CB3" s="91"/>
      <c r="CC3" s="91"/>
      <c r="CD3" s="91"/>
      <c r="CE3" s="91"/>
      <c r="CF3" s="91"/>
      <c r="CG3" s="91"/>
      <c r="CH3" s="91"/>
      <c r="CI3" s="91"/>
      <c r="CJ3" s="91"/>
      <c r="CK3" s="91"/>
      <c r="CL3" s="91"/>
      <c r="CM3" s="91"/>
      <c r="CN3" s="91"/>
      <c r="CO3" s="91"/>
    </row>
    <row r="4" spans="2:121" x14ac:dyDescent="0.3">
      <c r="F4" s="99">
        <f t="array" ref="F4">MAX(($F$12:$F$44&gt;0)*($B$12:$B$44))</f>
        <v>25</v>
      </c>
      <c r="I4" s="101">
        <f>AVERAGEIF(I12:I44,"&gt;0")</f>
        <v>78178.100000000049</v>
      </c>
      <c r="J4" s="100">
        <f>AVERAGEIF(J12:J44,"&gt;0")</f>
        <v>1.0000000000000004E-2</v>
      </c>
      <c r="K4" s="101">
        <f>AVERAGEIF(K12:K44,"&gt;0")</f>
        <v>4.1686264115404095</v>
      </c>
      <c r="L4" s="101">
        <f>AVERAGEIF(L12:L44,"&gt;0")</f>
        <v>4.1686264115404095</v>
      </c>
      <c r="P4" s="101">
        <f>AVERAGEIF(P12:P44,"&gt;0")</f>
        <v>325810.55911402288</v>
      </c>
      <c r="AG4" s="101">
        <f>AVERAGEIF(AG12:AG44,"&gt;0")</f>
        <v>277232.98822977667</v>
      </c>
      <c r="AH4" s="101">
        <f>AVERAGEIF(AH12:AH44,"&gt;0")</f>
        <v>48577.570884246241</v>
      </c>
      <c r="AI4" s="100">
        <f>AVERAGEIF(AI12:AI44,"&gt;0")</f>
        <v>0.14930763838470065</v>
      </c>
      <c r="AP4" s="100">
        <f>AVERAGEIF(AP12:AP44,"&gt;0")</f>
        <v>6.1256781173170308E-2</v>
      </c>
      <c r="AY4" s="103">
        <f>IRR(BF11:BF44)</f>
        <v>0.13587105789433407</v>
      </c>
      <c r="AZ4" s="104">
        <f>NPV(AY4,BF11:BF44)</f>
        <v>2.2079369156460656E-10</v>
      </c>
      <c r="BA4" s="103">
        <f>XIRR(BG11:BG44,E11:E44,1)</f>
        <v>0.13578053936362267</v>
      </c>
      <c r="BB4" s="101">
        <f>XNPV(BA4,BG11:BG44,E11:E44)</f>
        <v>5.3765903805924609E-3</v>
      </c>
      <c r="BE4" s="103">
        <f>IRR(BE11:BE44)</f>
        <v>0.15598906143675006</v>
      </c>
      <c r="BF4" s="105">
        <f>NPV(BE4,BE11:BE44)</f>
        <v>-6.2744713497757971E-11</v>
      </c>
      <c r="BJ4" s="106">
        <f>AVERAGEIF(BM12:BM44,"&gt;0")</f>
        <v>1.04716819963105</v>
      </c>
      <c r="BK4" s="106">
        <f t="array" ref="BK4">MIN(IF(BM12:BM44&lt;&gt;0,BM12:BM44))</f>
        <v>0.96317811020909427</v>
      </c>
      <c r="BN4" s="103">
        <f>XIRR(BP11:BP44,D11:D44,1)</f>
        <v>0.12856019660830498</v>
      </c>
      <c r="BO4" s="106">
        <f>XNPV(BN4,BP11:BP44,D11:D44)</f>
        <v>-3.5498179795467877E-3</v>
      </c>
      <c r="BP4" s="103">
        <f>IFERROR(IRR(BP11:BP44),"NEG IRR")</f>
        <v>0.12864344597335342</v>
      </c>
      <c r="BQ4" s="105">
        <f>NPV(BP4,BP11:BP44)</f>
        <v>1.2268761125486351E-10</v>
      </c>
      <c r="BS4" s="103">
        <f>IRR(BO11:BO44)</f>
        <v>0.16477555566285118</v>
      </c>
      <c r="BT4" s="105">
        <f>NPV(BS4,BO11:BO44)</f>
        <v>1.5460485075904583E-10</v>
      </c>
      <c r="BU4" s="105">
        <f>MATCH(1,$BU$12:$BU$44,0)</f>
        <v>12</v>
      </c>
      <c r="BV4" s="99">
        <f t="array" ref="BV4">MAX(($BV$12:$BV$44&gt;0)*($B$12:$B$44))</f>
        <v>25</v>
      </c>
    </row>
    <row r="5" spans="2:121" x14ac:dyDescent="0.3">
      <c r="H5" s="108"/>
      <c r="I5" s="102"/>
    </row>
    <row r="6" spans="2:121" x14ac:dyDescent="0.3">
      <c r="G6" s="109"/>
      <c r="H6" s="109"/>
      <c r="I6" s="109"/>
      <c r="K6" s="110"/>
      <c r="O6" s="112"/>
      <c r="P6" s="111"/>
      <c r="AS6" s="113"/>
      <c r="AV6" s="114"/>
    </row>
    <row r="7" spans="2:121" x14ac:dyDescent="0.3">
      <c r="G7" s="450" t="s">
        <v>102</v>
      </c>
      <c r="H7" s="451"/>
      <c r="I7" s="452"/>
      <c r="J7" s="453"/>
      <c r="K7" s="460" t="s">
        <v>103</v>
      </c>
      <c r="L7" s="461"/>
      <c r="M7" s="462"/>
      <c r="N7" s="463"/>
      <c r="O7" s="116"/>
      <c r="P7" s="116"/>
      <c r="Q7" s="117" t="s">
        <v>104</v>
      </c>
      <c r="R7" s="115"/>
      <c r="S7" s="115"/>
      <c r="T7" s="115"/>
      <c r="U7" s="115"/>
      <c r="V7" s="115"/>
      <c r="W7" s="115"/>
      <c r="X7" s="115"/>
      <c r="Y7" s="115"/>
      <c r="Z7" s="115"/>
      <c r="AA7" s="115"/>
      <c r="AB7" s="115"/>
      <c r="AC7" s="115"/>
      <c r="AD7" s="115"/>
      <c r="AE7" s="115"/>
      <c r="AF7" s="115"/>
      <c r="AG7" s="118"/>
      <c r="AH7" s="117" t="s">
        <v>105</v>
      </c>
      <c r="AI7" s="118"/>
      <c r="AJ7" s="105" t="s">
        <v>106</v>
      </c>
      <c r="AK7" s="105" t="s">
        <v>107</v>
      </c>
      <c r="AL7" s="119" t="s">
        <v>108</v>
      </c>
      <c r="AM7" s="105" t="s">
        <v>109</v>
      </c>
      <c r="AN7" s="120" t="s">
        <v>110</v>
      </c>
      <c r="AO7" s="121" t="s">
        <v>111</v>
      </c>
      <c r="AP7" s="123"/>
      <c r="AS7" s="425" t="s">
        <v>112</v>
      </c>
      <c r="AT7" s="426"/>
      <c r="AU7" s="427"/>
      <c r="AV7" s="430" t="s">
        <v>13</v>
      </c>
      <c r="AW7" s="431"/>
      <c r="AX7" s="432"/>
      <c r="AY7" s="124" t="s">
        <v>113</v>
      </c>
      <c r="AZ7" s="83"/>
      <c r="BA7" s="83"/>
      <c r="BB7" s="83"/>
      <c r="BC7" s="125" t="s">
        <v>114</v>
      </c>
      <c r="BD7" s="127" t="s">
        <v>110</v>
      </c>
      <c r="BE7" s="128" t="s">
        <v>115</v>
      </c>
      <c r="BF7" s="126"/>
      <c r="BG7" s="105" t="s">
        <v>116</v>
      </c>
      <c r="BH7" s="129" t="s">
        <v>117</v>
      </c>
      <c r="BI7" s="130"/>
      <c r="BJ7" s="131"/>
      <c r="BK7" s="131"/>
      <c r="BL7" s="131"/>
      <c r="BM7" s="132"/>
      <c r="BN7" s="133" t="s">
        <v>118</v>
      </c>
      <c r="BO7" s="133"/>
      <c r="BP7" s="134"/>
      <c r="BQ7" s="126"/>
      <c r="BR7" s="126"/>
      <c r="BS7" s="126"/>
      <c r="BT7" s="126"/>
      <c r="BU7" s="126"/>
      <c r="BV7" s="127"/>
      <c r="CI7" s="135"/>
      <c r="CS7" s="136"/>
      <c r="DD7" s="136"/>
      <c r="DJ7" s="136"/>
      <c r="DQ7" s="136"/>
    </row>
    <row r="8" spans="2:121" s="163" customFormat="1" ht="57.6" x14ac:dyDescent="0.3">
      <c r="B8" s="34" t="s">
        <v>51</v>
      </c>
      <c r="C8" s="137" t="s">
        <v>52</v>
      </c>
      <c r="D8" s="36" t="s">
        <v>56</v>
      </c>
      <c r="E8" s="138" t="s">
        <v>57</v>
      </c>
      <c r="F8" s="449" t="s">
        <v>119</v>
      </c>
      <c r="G8" s="142" t="s">
        <v>696</v>
      </c>
      <c r="H8" s="140" t="s">
        <v>208</v>
      </c>
      <c r="I8" s="141" t="s">
        <v>697</v>
      </c>
      <c r="J8" s="459" t="s">
        <v>212</v>
      </c>
      <c r="K8" s="464" t="s">
        <v>690</v>
      </c>
      <c r="L8" s="141" t="s">
        <v>691</v>
      </c>
      <c r="M8" s="141" t="s">
        <v>210</v>
      </c>
      <c r="N8" s="144" t="s">
        <v>211</v>
      </c>
      <c r="O8" s="143" t="s">
        <v>120</v>
      </c>
      <c r="P8" s="147" t="s">
        <v>121</v>
      </c>
      <c r="Q8" s="141" t="str">
        <f>Veg_Inputs!L7</f>
        <v>Cost of Fresh Veg (incl. Transport)</v>
      </c>
      <c r="R8" s="141" t="str">
        <f>Veg_Inputs!L8</f>
        <v>Electricity Costs</v>
      </c>
      <c r="S8" s="141" t="str">
        <f>Veg_Inputs!L9</f>
        <v>Equipment O&amp;M</v>
      </c>
      <c r="T8" s="141" t="str">
        <f>Veg_Inputs!L10</f>
        <v>Labor (Non-payroll)</v>
      </c>
      <c r="U8" s="141" t="str">
        <f>Veg_Inputs!L11</f>
        <v>Payroll</v>
      </c>
      <c r="V8" s="141" t="str">
        <f>Veg_Inputs!L12</f>
        <v>Insurances</v>
      </c>
      <c r="W8" s="141" t="str">
        <f>Veg_Inputs!L13</f>
        <v>Equipment Leases</v>
      </c>
      <c r="X8" s="141" t="str">
        <f>Veg_Inputs!L14</f>
        <v>Office and Admin Expenses</v>
      </c>
      <c r="Y8" s="141" t="str">
        <f>Veg_Inputs!L15</f>
        <v xml:space="preserve">Distribution/Marketing Expenses </v>
      </c>
      <c r="Z8" s="145" t="str">
        <f>Veg_Inputs!L16</f>
        <v>Utilities, Property Tax</v>
      </c>
      <c r="AA8" s="145" t="str">
        <f>Veg_Inputs!L17</f>
        <v>Packaging</v>
      </c>
      <c r="AB8" s="141" t="str">
        <f>Veg_Inputs!L18</f>
        <v>Other 1</v>
      </c>
      <c r="AC8" s="141" t="str">
        <f>Veg_Inputs!L19</f>
        <v>Other 2</v>
      </c>
      <c r="AD8" s="141" t="str">
        <f>Veg_Inputs!L20</f>
        <v>Other 3</v>
      </c>
      <c r="AE8" s="141" t="str">
        <f>Veg_Inputs!L21</f>
        <v>Other 4</v>
      </c>
      <c r="AF8" s="141" t="str">
        <f>Veg_Inputs!L22</f>
        <v>Other 5</v>
      </c>
      <c r="AG8" s="142" t="s">
        <v>122</v>
      </c>
      <c r="AH8" s="142" t="s">
        <v>105</v>
      </c>
      <c r="AI8" s="144" t="s">
        <v>123</v>
      </c>
      <c r="AJ8" s="139" t="s">
        <v>124</v>
      </c>
      <c r="AK8" s="139" t="s">
        <v>107</v>
      </c>
      <c r="AL8" s="146" t="s">
        <v>125</v>
      </c>
      <c r="AM8" s="147" t="s">
        <v>126</v>
      </c>
      <c r="AN8" s="147" t="s">
        <v>110</v>
      </c>
      <c r="AO8" s="148" t="s">
        <v>111</v>
      </c>
      <c r="AP8" s="149" t="s">
        <v>127</v>
      </c>
      <c r="AQ8" s="150"/>
      <c r="AR8" s="150"/>
      <c r="AS8" s="428" t="s">
        <v>128</v>
      </c>
      <c r="AT8" s="429" t="s">
        <v>129</v>
      </c>
      <c r="AU8" s="156" t="s">
        <v>130</v>
      </c>
      <c r="AV8" s="433" t="s">
        <v>215</v>
      </c>
      <c r="AW8" s="429" t="s">
        <v>131</v>
      </c>
      <c r="AX8" s="156" t="s">
        <v>132</v>
      </c>
      <c r="AY8" s="152" t="s">
        <v>133</v>
      </c>
      <c r="AZ8" s="152" t="s">
        <v>134</v>
      </c>
      <c r="BA8" s="152" t="s">
        <v>131</v>
      </c>
      <c r="BB8" s="151" t="s">
        <v>135</v>
      </c>
      <c r="BC8" s="153" t="s">
        <v>136</v>
      </c>
      <c r="BD8" s="155" t="s">
        <v>137</v>
      </c>
      <c r="BE8" s="156" t="s">
        <v>138</v>
      </c>
      <c r="BF8" s="154" t="s">
        <v>139</v>
      </c>
      <c r="BG8" s="42" t="s">
        <v>116</v>
      </c>
      <c r="BH8" s="157" t="s">
        <v>140</v>
      </c>
      <c r="BI8" s="158" t="s">
        <v>141</v>
      </c>
      <c r="BJ8" s="159" t="s">
        <v>142</v>
      </c>
      <c r="BK8" s="159" t="s">
        <v>63</v>
      </c>
      <c r="BL8" s="159" t="s">
        <v>131</v>
      </c>
      <c r="BM8" s="160" t="s">
        <v>143</v>
      </c>
      <c r="BN8" s="152" t="s">
        <v>144</v>
      </c>
      <c r="BO8" s="152" t="s">
        <v>145</v>
      </c>
      <c r="BP8" s="41" t="s">
        <v>146</v>
      </c>
      <c r="BQ8" s="161" t="s">
        <v>147</v>
      </c>
      <c r="BR8" s="161" t="s">
        <v>64</v>
      </c>
      <c r="BS8" s="161" t="s">
        <v>65</v>
      </c>
      <c r="BT8" s="161" t="s">
        <v>148</v>
      </c>
      <c r="BU8" s="161" t="s">
        <v>100</v>
      </c>
      <c r="BV8" s="144" t="s">
        <v>149</v>
      </c>
      <c r="BW8" s="162"/>
      <c r="BX8" s="162"/>
      <c r="BY8" s="162"/>
      <c r="BZ8" s="162"/>
      <c r="CA8" s="162"/>
      <c r="CB8" s="162"/>
      <c r="CC8" s="162"/>
      <c r="CD8" s="162"/>
      <c r="CE8" s="162"/>
      <c r="CF8" s="162"/>
      <c r="CG8" s="162"/>
      <c r="CH8" s="162"/>
      <c r="CI8" s="102"/>
      <c r="CJ8" s="162"/>
      <c r="CK8" s="162"/>
      <c r="CL8" s="162"/>
      <c r="CM8" s="162"/>
      <c r="CN8" s="162"/>
      <c r="CO8" s="162"/>
      <c r="CS8" s="164"/>
      <c r="DD8" s="75"/>
      <c r="DJ8" s="75"/>
      <c r="DQ8" s="75"/>
    </row>
    <row r="9" spans="2:121" s="163" customFormat="1" x14ac:dyDescent="0.3">
      <c r="B9" s="165"/>
      <c r="C9" s="166"/>
      <c r="D9" s="167"/>
      <c r="E9" s="170"/>
      <c r="F9" s="171"/>
      <c r="G9" s="172">
        <f>SUM(G12:G44)</f>
        <v>1966250</v>
      </c>
      <c r="H9" s="173"/>
      <c r="I9" s="172">
        <f>SUM(I12:I44)</f>
        <v>1954452.5000000014</v>
      </c>
      <c r="J9" s="191"/>
      <c r="K9" s="174"/>
      <c r="L9" s="102"/>
      <c r="M9" s="102">
        <f t="shared" ref="M9:AH9" si="0">SUM(M12:M44)</f>
        <v>4072631.9889252861</v>
      </c>
      <c r="N9" s="175">
        <f t="shared" si="0"/>
        <v>4072631.9889252861</v>
      </c>
      <c r="O9" s="177">
        <f t="shared" si="0"/>
        <v>0</v>
      </c>
      <c r="P9" s="178">
        <f t="shared" si="0"/>
        <v>8145263.9778505722</v>
      </c>
      <c r="Q9" s="102">
        <f t="shared" si="0"/>
        <v>5024396.6768564489</v>
      </c>
      <c r="R9" s="102">
        <f t="shared" si="0"/>
        <v>155337.59725947853</v>
      </c>
      <c r="S9" s="102">
        <f t="shared" si="0"/>
        <v>820989.23370557162</v>
      </c>
      <c r="T9" s="102">
        <f t="shared" si="0"/>
        <v>151873.80864134262</v>
      </c>
      <c r="U9" s="102">
        <f t="shared" si="0"/>
        <v>183222.99881603173</v>
      </c>
      <c r="V9" s="102">
        <f t="shared" si="0"/>
        <v>2605.3915072127552</v>
      </c>
      <c r="W9" s="102">
        <f t="shared" si="0"/>
        <v>0</v>
      </c>
      <c r="X9" s="102">
        <f t="shared" si="0"/>
        <v>40982.808408456651</v>
      </c>
      <c r="Y9" s="102">
        <f t="shared" si="0"/>
        <v>40982.808408456651</v>
      </c>
      <c r="Z9" s="102">
        <f t="shared" si="0"/>
        <v>304006.97511660011</v>
      </c>
      <c r="AA9" s="102">
        <f t="shared" si="0"/>
        <v>206426.40702481804</v>
      </c>
      <c r="AB9" s="102">
        <f t="shared" si="0"/>
        <v>0</v>
      </c>
      <c r="AC9" s="102">
        <f t="shared" si="0"/>
        <v>0</v>
      </c>
      <c r="AD9" s="102">
        <f t="shared" si="0"/>
        <v>0</v>
      </c>
      <c r="AE9" s="102"/>
      <c r="AF9" s="102"/>
      <c r="AG9" s="178">
        <f t="shared" si="0"/>
        <v>6930824.7057444165</v>
      </c>
      <c r="AH9" s="176">
        <f t="shared" si="0"/>
        <v>1214439.272106156</v>
      </c>
      <c r="AI9" s="175"/>
      <c r="AJ9" s="178">
        <f t="shared" ref="AJ9:AO9" si="1">SUM(AJ12:AJ44)</f>
        <v>290685.63342318067</v>
      </c>
      <c r="AK9" s="178">
        <f t="shared" si="1"/>
        <v>923753.6386829752</v>
      </c>
      <c r="AL9" s="178">
        <f t="shared" si="1"/>
        <v>194259.73315226816</v>
      </c>
      <c r="AM9" s="178">
        <f t="shared" si="1"/>
        <v>729493.90553070698</v>
      </c>
      <c r="AN9" s="178">
        <f t="shared" si="1"/>
        <v>218848.17165921204</v>
      </c>
      <c r="AO9" s="176">
        <f t="shared" si="1"/>
        <v>510645.73387149477</v>
      </c>
      <c r="AP9" s="179"/>
      <c r="AQ9" s="162"/>
      <c r="AR9" s="162"/>
      <c r="AS9" s="180">
        <f>SUM(AS12:AS44)</f>
        <v>8145263.9778505722</v>
      </c>
      <c r="AT9" s="181">
        <f>SUM(AT12:AT44)</f>
        <v>6930824.7057444165</v>
      </c>
      <c r="AU9" s="183">
        <f>SUM(AU12:AU44)</f>
        <v>1214439.272106156</v>
      </c>
      <c r="AV9" s="180">
        <f t="shared" ref="AV9:BA9" si="2">SUM(AV10:AV44)</f>
        <v>290685.63342318061</v>
      </c>
      <c r="AW9" s="181">
        <f t="shared" si="2"/>
        <v>290685.63342318061</v>
      </c>
      <c r="AX9" s="183">
        <f t="shared" si="2"/>
        <v>923753.63868297508</v>
      </c>
      <c r="AY9" s="102">
        <f t="shared" si="2"/>
        <v>87205.69002695418</v>
      </c>
      <c r="AZ9" s="102">
        <f t="shared" si="2"/>
        <v>203479.94339622642</v>
      </c>
      <c r="BA9" s="102">
        <f t="shared" si="2"/>
        <v>290685.63342318061</v>
      </c>
      <c r="BB9" s="176">
        <f t="shared" ref="BB9:BL9" si="3">SUM(BB12:BB44)</f>
        <v>1214439.272106156</v>
      </c>
      <c r="BC9" s="180">
        <f>SUM(BC10:BC44)</f>
        <v>0</v>
      </c>
      <c r="BD9" s="182">
        <f>SUM(BD10:BD44)</f>
        <v>218848.17165921204</v>
      </c>
      <c r="BE9" s="183">
        <f>SUM(BE12:BE44)</f>
        <v>1214439.272106156</v>
      </c>
      <c r="BF9" s="183">
        <f>SUM(BF12:BF44)</f>
        <v>995591.10044694354</v>
      </c>
      <c r="BG9" s="182">
        <f>SUM(BG12:BG44)</f>
        <v>995591.10044694354</v>
      </c>
      <c r="BH9" s="180">
        <f t="shared" si="3"/>
        <v>1339722.2976018495</v>
      </c>
      <c r="BI9" s="181">
        <f t="shared" si="3"/>
        <v>1136242.3542056228</v>
      </c>
      <c r="BJ9" s="181">
        <f t="shared" si="3"/>
        <v>194259.73315226816</v>
      </c>
      <c r="BK9" s="181">
        <f t="shared" si="3"/>
        <v>203479.94339622644</v>
      </c>
      <c r="BL9" s="181">
        <f t="shared" si="3"/>
        <v>397739.67654849461</v>
      </c>
      <c r="BM9" s="182"/>
      <c r="BN9" s="180">
        <f t="shared" ref="BN9:BS9" si="4">SUM(BN10:BN44)</f>
        <v>597851.42389844882</v>
      </c>
      <c r="BO9" s="181">
        <f t="shared" si="4"/>
        <v>729493.90553070686</v>
      </c>
      <c r="BP9" s="181">
        <f t="shared" si="4"/>
        <v>510645.73387149483</v>
      </c>
      <c r="BQ9" s="181">
        <f t="shared" si="4"/>
        <v>0</v>
      </c>
      <c r="BR9" s="181">
        <f t="shared" si="4"/>
        <v>0</v>
      </c>
      <c r="BS9" s="181">
        <f t="shared" si="4"/>
        <v>0</v>
      </c>
      <c r="BT9" s="181"/>
      <c r="BU9" s="181"/>
      <c r="BV9" s="182">
        <f>SUM(BV11:BV44)</f>
        <v>1.7007550923153758E-10</v>
      </c>
      <c r="BW9" s="162"/>
      <c r="BX9" s="162"/>
      <c r="BY9" s="162"/>
      <c r="BZ9" s="162"/>
      <c r="CA9" s="162"/>
      <c r="CB9" s="162"/>
      <c r="CC9" s="162"/>
      <c r="CD9" s="162"/>
      <c r="CE9" s="162"/>
      <c r="CF9" s="162"/>
      <c r="CG9" s="162"/>
      <c r="CH9" s="162"/>
      <c r="CI9" s="102"/>
      <c r="CJ9" s="162"/>
      <c r="CK9" s="162"/>
      <c r="CL9" s="162"/>
      <c r="CM9" s="162"/>
      <c r="CN9" s="162"/>
      <c r="CO9" s="162"/>
      <c r="CS9" s="164"/>
      <c r="DD9" s="75"/>
      <c r="DJ9" s="75"/>
      <c r="DQ9" s="75"/>
    </row>
    <row r="10" spans="2:121" s="163" customFormat="1" x14ac:dyDescent="0.3">
      <c r="B10" s="186"/>
      <c r="C10" s="187"/>
      <c r="D10" s="186"/>
      <c r="E10" s="169"/>
      <c r="F10" s="190"/>
      <c r="J10" s="191"/>
      <c r="K10" s="174"/>
      <c r="L10" s="102"/>
      <c r="M10" s="193"/>
      <c r="N10" s="194"/>
      <c r="O10" s="194"/>
      <c r="P10" s="195"/>
      <c r="Q10" s="162"/>
      <c r="R10" s="162"/>
      <c r="S10" s="162"/>
      <c r="T10" s="162"/>
      <c r="U10" s="162"/>
      <c r="V10" s="162"/>
      <c r="W10" s="162"/>
      <c r="X10" s="162"/>
      <c r="Y10" s="162"/>
      <c r="Z10" s="162"/>
      <c r="AA10" s="162"/>
      <c r="AB10" s="162"/>
      <c r="AC10" s="162"/>
      <c r="AD10" s="162"/>
      <c r="AE10" s="162"/>
      <c r="AF10" s="162"/>
      <c r="AG10" s="195"/>
      <c r="AH10" s="192"/>
      <c r="AI10" s="194"/>
      <c r="AJ10" s="195"/>
      <c r="AK10" s="195"/>
      <c r="AL10" s="195"/>
      <c r="AM10" s="195"/>
      <c r="AN10" s="195"/>
      <c r="AO10" s="192"/>
      <c r="AP10" s="179"/>
      <c r="AQ10" s="162"/>
      <c r="AR10" s="162"/>
      <c r="AS10" s="196"/>
      <c r="AT10" s="86"/>
      <c r="AU10" s="197"/>
      <c r="AV10" s="196"/>
      <c r="AW10" s="198"/>
      <c r="AX10" s="197"/>
      <c r="AY10" s="162"/>
      <c r="AZ10" s="162"/>
      <c r="BA10" s="79"/>
      <c r="BB10" s="196"/>
      <c r="BC10" s="196"/>
      <c r="BD10" s="200"/>
      <c r="BE10" s="197"/>
      <c r="BF10" s="200"/>
      <c r="BG10" s="200"/>
      <c r="BH10" s="196"/>
      <c r="BI10" s="86"/>
      <c r="BJ10" s="201"/>
      <c r="BK10" s="201"/>
      <c r="BL10" s="202"/>
      <c r="BM10" s="203"/>
      <c r="BN10" s="196"/>
      <c r="BO10" s="86"/>
      <c r="BP10" s="193"/>
      <c r="BQ10" s="86"/>
      <c r="BR10" s="86"/>
      <c r="BS10" s="86"/>
      <c r="BT10" s="86"/>
      <c r="BU10" s="86"/>
      <c r="BV10" s="175"/>
      <c r="BW10" s="162"/>
      <c r="BX10" s="162"/>
      <c r="BY10" s="162"/>
      <c r="BZ10" s="162"/>
      <c r="CA10" s="162"/>
      <c r="CB10" s="162"/>
      <c r="CC10" s="162"/>
      <c r="CD10" s="162"/>
      <c r="CE10" s="162"/>
      <c r="CF10" s="162"/>
      <c r="CG10" s="162"/>
      <c r="CH10" s="162"/>
      <c r="CI10" s="102"/>
      <c r="CJ10" s="162"/>
      <c r="CK10" s="162"/>
      <c r="CL10" s="162"/>
      <c r="CM10" s="162"/>
      <c r="CN10" s="162"/>
      <c r="CO10" s="162"/>
      <c r="CS10" s="164"/>
      <c r="DD10" s="75"/>
      <c r="DJ10" s="75"/>
      <c r="DQ10" s="75"/>
    </row>
    <row r="11" spans="2:121" s="163" customFormat="1" x14ac:dyDescent="0.3">
      <c r="B11" s="73">
        <v>0</v>
      </c>
      <c r="C11" s="74">
        <f>YEAR(D11)</f>
        <v>2021</v>
      </c>
      <c r="D11" s="205">
        <f>Fish_Inputs!G6</f>
        <v>44197</v>
      </c>
      <c r="E11" s="206">
        <f>EDATE(D11,12)-1</f>
        <v>44561</v>
      </c>
      <c r="F11" s="443">
        <v>0</v>
      </c>
      <c r="G11" s="172"/>
      <c r="H11" s="173"/>
      <c r="I11" s="102"/>
      <c r="J11" s="191"/>
      <c r="K11" s="174"/>
      <c r="L11" s="102"/>
      <c r="M11" s="102"/>
      <c r="N11" s="175"/>
      <c r="O11" s="207"/>
      <c r="P11" s="454"/>
      <c r="Q11" s="102"/>
      <c r="R11" s="102"/>
      <c r="S11" s="102"/>
      <c r="T11" s="102"/>
      <c r="U11" s="102"/>
      <c r="V11" s="102"/>
      <c r="W11" s="102"/>
      <c r="X11" s="102"/>
      <c r="Y11" s="102"/>
      <c r="Z11" s="193"/>
      <c r="AA11" s="193"/>
      <c r="AB11" s="102"/>
      <c r="AC11" s="102"/>
      <c r="AD11" s="102"/>
      <c r="AE11" s="102"/>
      <c r="AF11" s="102"/>
      <c r="AG11" s="340"/>
      <c r="AH11" s="176"/>
      <c r="AI11" s="175"/>
      <c r="AJ11" s="190"/>
      <c r="AK11" s="190"/>
      <c r="AL11" s="208"/>
      <c r="AM11" s="178"/>
      <c r="AN11" s="178"/>
      <c r="AO11" s="209"/>
      <c r="AP11" s="179"/>
      <c r="AQ11" s="162"/>
      <c r="AR11" s="162"/>
      <c r="AS11" s="196"/>
      <c r="AT11" s="86"/>
      <c r="AU11" s="197"/>
      <c r="AV11" s="680">
        <f>IF(B11=0,Veg_Inputs!$C$29,0)</f>
        <v>290685.63342318061</v>
      </c>
      <c r="AW11" s="198">
        <f t="shared" ref="AW11:AW44" si="5">SUM(AV11:AV11)</f>
        <v>290685.63342318061</v>
      </c>
      <c r="AX11" s="197">
        <f t="shared" ref="AX11:AX44" si="6">AU11-AW11</f>
        <v>-290685.63342318061</v>
      </c>
      <c r="AY11" s="681">
        <f>IF(B11=0,Veg_Inputs!$G$15+Veg_Inputs!$G$16,0)</f>
        <v>87205.69002695418</v>
      </c>
      <c r="AZ11" s="681">
        <f>IF(B11=0,Veg_Inputs!$G$14,0)</f>
        <v>203479.94339622642</v>
      </c>
      <c r="BA11" s="79">
        <f t="shared" ref="BA11:BA44" si="7">SUM(AY11:AZ11)</f>
        <v>290685.63342318061</v>
      </c>
      <c r="BB11" s="196">
        <f t="shared" ref="BB11:BB44" si="8">AX11+BA11</f>
        <v>0</v>
      </c>
      <c r="BC11" s="682">
        <f>Veg_Inputs!$G$20*AVERAGE(BR11,BS11)</f>
        <v>0</v>
      </c>
      <c r="BD11" s="231">
        <f t="shared" ref="BD11:BD44" si="9">AN11</f>
        <v>0</v>
      </c>
      <c r="BE11" s="210">
        <f>AX11</f>
        <v>-290685.63342318061</v>
      </c>
      <c r="BF11" s="211">
        <f>AX11</f>
        <v>-290685.63342318061</v>
      </c>
      <c r="BG11" s="211">
        <f>AX11</f>
        <v>-290685.63342318061</v>
      </c>
      <c r="BH11" s="212"/>
      <c r="BI11" s="290">
        <f>Veg_Inputs!G14</f>
        <v>203479.94339622642</v>
      </c>
      <c r="BJ11" s="201"/>
      <c r="BK11" s="201"/>
      <c r="BL11" s="202"/>
      <c r="BM11" s="203"/>
      <c r="BN11" s="196"/>
      <c r="BO11" s="683">
        <f>-Veg_Inputs!G15</f>
        <v>-87205.69002695418</v>
      </c>
      <c r="BP11" s="683">
        <f>-Veg_Inputs!G15</f>
        <v>-87205.69002695418</v>
      </c>
      <c r="BQ11" s="683">
        <f>BB11</f>
        <v>0</v>
      </c>
      <c r="BR11" s="86"/>
      <c r="BS11" s="683">
        <f t="shared" ref="BS11:BS44" si="10">BQ11+BR11</f>
        <v>0</v>
      </c>
      <c r="BT11" s="683">
        <f>-Veg_Inputs!G15</f>
        <v>-87205.69002695418</v>
      </c>
      <c r="BU11" s="86"/>
      <c r="BV11" s="214">
        <f t="shared" ref="BV11:BV44" si="11">BP11/((1+$BP$4)^B11)</f>
        <v>-87205.69002695418</v>
      </c>
      <c r="BW11" s="162"/>
      <c r="BX11" s="162"/>
      <c r="BY11" s="162"/>
      <c r="BZ11" s="162"/>
      <c r="CA11" s="162"/>
      <c r="CB11" s="162"/>
      <c r="CC11" s="162"/>
      <c r="CD11" s="162"/>
      <c r="CE11" s="162"/>
      <c r="CF11" s="162"/>
      <c r="CG11" s="162"/>
      <c r="CH11" s="162"/>
      <c r="CI11" s="102"/>
      <c r="CJ11" s="162"/>
      <c r="CK11" s="162"/>
      <c r="CL11" s="162"/>
      <c r="CM11" s="162"/>
      <c r="CN11" s="162"/>
      <c r="CO11" s="162"/>
      <c r="CS11" s="164"/>
      <c r="DD11" s="75"/>
      <c r="DJ11" s="75"/>
      <c r="DQ11" s="75"/>
    </row>
    <row r="12" spans="2:121" s="162" customFormat="1" x14ac:dyDescent="0.3">
      <c r="B12" s="184">
        <f>B11+1</f>
        <v>1</v>
      </c>
      <c r="C12" s="346">
        <f t="shared" ref="C12:C44" si="12">YEAR(D12)</f>
        <v>2022</v>
      </c>
      <c r="D12" s="347">
        <f>EDATE(D11,12)</f>
        <v>44562</v>
      </c>
      <c r="E12" s="440">
        <f>EDATE(E11,12)</f>
        <v>44926</v>
      </c>
      <c r="F12" s="445">
        <f>IF(AND(B12&gt;0,B12&lt;=Veg_Inputs!$J$17),1,0)</f>
        <v>1</v>
      </c>
      <c r="G12" s="447">
        <f>IF(F12=1,Veg_Inputs!$G$31,0)</f>
        <v>78650</v>
      </c>
      <c r="H12" s="348">
        <f>IF(AND(F11=0,F12=1),100%,IF(AND(F11=0,F12=0),100%,H11-Veg_Inputs!$G$45))*F12</f>
        <v>1</v>
      </c>
      <c r="I12" s="216">
        <f>H12*G12</f>
        <v>78650</v>
      </c>
      <c r="J12" s="219">
        <f>Veg_Inputs!$J$11</f>
        <v>0.01</v>
      </c>
      <c r="K12" s="444">
        <f>IF(B12=1,Veg_Inputs!$R$15,K11*(1+Veg_CashFlows!J12))*F12</f>
        <v>3.6899381843105674</v>
      </c>
      <c r="L12" s="338">
        <f>IF(B12=1,Veg_Inputs!$R$16,L11*(1+Veg_CashFlows!J12))*F12</f>
        <v>3.6899381843105674</v>
      </c>
      <c r="M12" s="122">
        <f>K12*I12*Veg_Inputs!$J$9</f>
        <v>145106.81909801307</v>
      </c>
      <c r="N12" s="222">
        <f>L12*I12*Veg_Inputs!$J$10</f>
        <v>145106.81909801307</v>
      </c>
      <c r="O12" s="217">
        <f>BC11</f>
        <v>0</v>
      </c>
      <c r="P12" s="122">
        <f>SUM(M12:O12)+IF(B12=Veg_Inputs!$J$17,Veg_Inputs!$J$19,0)</f>
        <v>290213.63819602615</v>
      </c>
      <c r="Q12" s="218">
        <f>IF(B12=1,Veg_Inputs!$O$7,Q11*(1+Veg_Inputs!$N$23))*F12</f>
        <v>177897.57412398921</v>
      </c>
      <c r="R12" s="122">
        <f>IF(B12=1,Veg_Inputs!$O$8,R11*(1+Veg_Inputs!$N$23))*F12</f>
        <v>5500.0000000000009</v>
      </c>
      <c r="S12" s="122">
        <f>IF(B12=1,Veg_Inputs!$O$9,S11*(1+Veg_Inputs!$N$23))*F12</f>
        <v>29068.563342318062</v>
      </c>
      <c r="T12" s="122">
        <f>IF(B12=1,Veg_Inputs!$O$10,T11*(1+Veg_Inputs!$N$23))*F12</f>
        <v>5377.3584905660373</v>
      </c>
      <c r="U12" s="122">
        <f>IF(B12=1,Veg_Inputs!$O$11,U11*(1+Veg_Inputs!$N$23))*F12</f>
        <v>6487.3315363881393</v>
      </c>
      <c r="V12" s="122">
        <f>IF(B12=1,Veg_Inputs!$O$12,V11*(1+Veg_Inputs!$N$23))*F12</f>
        <v>92.248454607764188</v>
      </c>
      <c r="W12" s="122">
        <f>IF(B12=1,Veg_Inputs!$O$13,W11*(1+Veg_Inputs!$N$23))*F12</f>
        <v>0</v>
      </c>
      <c r="X12" s="122">
        <f>IF(B12=1,Veg_Inputs!$O$14,X11*(1+Veg_Inputs!$N$23))*F12</f>
        <v>1451.0681909801308</v>
      </c>
      <c r="Y12" s="122">
        <f>IF(B12=1,Veg_Inputs!$O$15,Y11*(1+Veg_Inputs!$N$23))*F12</f>
        <v>1451.0681909801308</v>
      </c>
      <c r="Z12" s="122">
        <f>IF(B12=1,Veg_Inputs!$O$16,Z11*(1+Veg_Inputs!$N$23))*F12</f>
        <v>10763.9</v>
      </c>
      <c r="AA12" s="122">
        <f>IF(B12=1,Veg_Inputs!$O$17,AA11*(1+Veg_Inputs!$N$23))*F12</f>
        <v>7308.8888888888878</v>
      </c>
      <c r="AB12" s="181">
        <f>IF(B12=1,Veg_Inputs!$O$18,AB11*(1+Veg_Inputs!$N$23))*F12</f>
        <v>0</v>
      </c>
      <c r="AC12" s="482">
        <f>IF(B12=1,Veg_Inputs!$O$19,AC11*(1+Veg_Inputs!$N$23))*F12</f>
        <v>0</v>
      </c>
      <c r="AD12" s="122">
        <f>IF(B12=1,Veg_Inputs!$O$20,AD11*(1+Veg_Inputs!$N$23))*F12</f>
        <v>0</v>
      </c>
      <c r="AE12" s="122">
        <f>IF(B12=1,Veg_Inputs!$O$21,AE11*(1+Veg_Inputs!$N$23))*F12</f>
        <v>0</v>
      </c>
      <c r="AF12" s="132">
        <f>IF(B12=1,Veg_Inputs!$O$22,AF11*(1+Veg_Inputs!$N$23))*F12</f>
        <v>0</v>
      </c>
      <c r="AG12" s="132">
        <f>SUM(Q12:AF12)*F12</f>
        <v>245398.0012187183</v>
      </c>
      <c r="AH12" s="122">
        <f t="shared" ref="AH12:AH44" si="13">P12-AG12</f>
        <v>44815.636977307848</v>
      </c>
      <c r="AI12" s="219">
        <f t="shared" ref="AI12:AI44" si="14">IFERROR(AH12/P12,0)</f>
        <v>0.15442291842617306</v>
      </c>
      <c r="AJ12" s="220">
        <f>Deprec!I11</f>
        <v>11627.425336927225</v>
      </c>
      <c r="AK12" s="122">
        <f t="shared" ref="AK12:AK44" si="15">AH12-AJ12</f>
        <v>33188.211640380621</v>
      </c>
      <c r="AL12" s="221">
        <f>BJ12</f>
        <v>29504.591792452829</v>
      </c>
      <c r="AM12" s="122">
        <f>AK12-AL12</f>
        <v>3683.6198479277919</v>
      </c>
      <c r="AN12" s="438">
        <f>IF(AM12&lt;0,0,(AM12*Veg_Inputs!$J$14))</f>
        <v>1105.0859543783374</v>
      </c>
      <c r="AO12" s="122">
        <f>AM12-AN12</f>
        <v>2578.5338935494547</v>
      </c>
      <c r="AP12" s="123">
        <f t="shared" ref="AP12:AP44" si="16">IFERROR(AO12/P12,0)</f>
        <v>8.8849507885903414E-3</v>
      </c>
      <c r="AQ12" s="185"/>
      <c r="AR12" s="185"/>
      <c r="AS12" s="218">
        <f t="shared" ref="AS12:AS44" si="17">P12</f>
        <v>290213.63819602615</v>
      </c>
      <c r="AT12" s="122">
        <f t="shared" ref="AT12:AT44" si="18">AG12</f>
        <v>245398.0012187183</v>
      </c>
      <c r="AU12" s="438">
        <f>AS12-AT12</f>
        <v>44815.636977307848</v>
      </c>
      <c r="AV12" s="218">
        <f>IF(B12=0,Veg_Inputs!$C$29,0)</f>
        <v>0</v>
      </c>
      <c r="AW12" s="435">
        <f t="shared" si="5"/>
        <v>0</v>
      </c>
      <c r="AX12" s="438">
        <f t="shared" si="6"/>
        <v>44815.636977307848</v>
      </c>
      <c r="AY12" s="184">
        <f>IF(B12=0,Veg_Inputs!$G$15+Veg_Inputs!$G$16,0)</f>
        <v>0</v>
      </c>
      <c r="AZ12" s="185">
        <f>IF(B12=0,Veg_Inputs!$G$14,0)</f>
        <v>0</v>
      </c>
      <c r="BA12" s="132">
        <f t="shared" si="7"/>
        <v>0</v>
      </c>
      <c r="BB12" s="218">
        <f t="shared" si="8"/>
        <v>44815.636977307848</v>
      </c>
      <c r="BC12" s="218">
        <f>Veg_Inputs!$G$20*AVERAGE(BR12,BS12)</f>
        <v>0</v>
      </c>
      <c r="BD12" s="132">
        <f t="shared" si="9"/>
        <v>1105.0859543783374</v>
      </c>
      <c r="BE12" s="132">
        <f t="shared" ref="BE12:BE44" si="19">BG12+BD12-O12</f>
        <v>44815.636977307848</v>
      </c>
      <c r="BF12" s="122">
        <f t="shared" ref="BF12:BF44" si="20">BG12-O12</f>
        <v>43710.551022929511</v>
      </c>
      <c r="BG12" s="438">
        <f t="shared" ref="BG12:BG44" si="21">BB12-BD12</f>
        <v>43710.551022929511</v>
      </c>
      <c r="BH12" s="122">
        <f>BI11</f>
        <v>203479.94339622642</v>
      </c>
      <c r="BI12" s="122">
        <f>BH12-BK12</f>
        <v>193210.5675338298</v>
      </c>
      <c r="BJ12" s="122">
        <f>-Debt_Calc!AG10</f>
        <v>29504.591792452829</v>
      </c>
      <c r="BK12" s="122">
        <f>Debt_Calc!AH10</f>
        <v>10269.375862396617</v>
      </c>
      <c r="BL12" s="122">
        <f t="shared" ref="BL12:BL44" si="22">SUM(BJ12:BK12)</f>
        <v>39773.967654849446</v>
      </c>
      <c r="BM12" s="217">
        <f>IFERROR(BG12/BL12,0)</f>
        <v>1.0989738665813014</v>
      </c>
      <c r="BN12" s="122">
        <f>BG12-BL12</f>
        <v>3936.5833680800642</v>
      </c>
      <c r="BO12" s="122">
        <f t="shared" ref="BO12:BO44" si="23">BN12+BD12</f>
        <v>5041.6693224584014</v>
      </c>
      <c r="BP12" s="122">
        <f>BN12+BR12</f>
        <v>3936.5833680800642</v>
      </c>
      <c r="BQ12" s="122">
        <f t="shared" ref="BQ12:BQ44" si="24">BN12-BP12</f>
        <v>0</v>
      </c>
      <c r="BR12" s="122">
        <f t="shared" ref="BR12:BR44" si="25">BS11</f>
        <v>0</v>
      </c>
      <c r="BS12" s="122">
        <f t="shared" si="10"/>
        <v>0</v>
      </c>
      <c r="BT12" s="122">
        <f t="shared" ref="BT12:BT44" si="26">BP12+BT11</f>
        <v>-83269.106658874109</v>
      </c>
      <c r="BU12" s="122">
        <f>IF(BU11&gt;=1,2,IF(BT12&gt;0,1,0))</f>
        <v>0</v>
      </c>
      <c r="BV12" s="222">
        <f t="shared" si="11"/>
        <v>3487.8892728474716</v>
      </c>
      <c r="BW12" s="102"/>
      <c r="BX12" s="102"/>
      <c r="BY12" s="102"/>
      <c r="BZ12" s="102"/>
      <c r="CA12" s="102"/>
      <c r="CI12" s="102"/>
      <c r="CS12" s="349"/>
      <c r="CT12" s="102"/>
      <c r="CU12" s="102"/>
      <c r="CV12" s="102"/>
      <c r="CW12" s="102"/>
      <c r="CX12" s="102"/>
      <c r="CY12" s="102"/>
      <c r="CZ12" s="102"/>
      <c r="DA12" s="102"/>
      <c r="DB12" s="102"/>
      <c r="DC12" s="102"/>
      <c r="DD12" s="79"/>
      <c r="DJ12" s="79"/>
      <c r="DQ12" s="79"/>
    </row>
    <row r="13" spans="2:121" s="193" customFormat="1" x14ac:dyDescent="0.3">
      <c r="B13" s="192">
        <f t="shared" ref="B13:B44" si="27">B12+1</f>
        <v>2</v>
      </c>
      <c r="C13" s="350">
        <f t="shared" si="12"/>
        <v>2023</v>
      </c>
      <c r="D13" s="351">
        <f t="shared" ref="D13:E28" si="28">EDATE(D12,12)</f>
        <v>44927</v>
      </c>
      <c r="E13" s="441">
        <f t="shared" si="28"/>
        <v>45291</v>
      </c>
      <c r="F13" s="445">
        <f>IF(AND(B13&gt;0,B13&lt;=Veg_Inputs!$J$17),1,0)</f>
        <v>1</v>
      </c>
      <c r="G13" s="447">
        <f>IF(F13=1,Veg_Inputs!$G$31,0)</f>
        <v>78650</v>
      </c>
      <c r="H13" s="348">
        <f>IF(AND(F12=0,F13=1),100%,IF(AND(F12=0,F13=0),100%,H12-Veg_Inputs!$G$45))*F13</f>
        <v>0.99950000000000006</v>
      </c>
      <c r="I13" s="216">
        <f t="shared" ref="I13:I44" si="29">H13*G13</f>
        <v>78610.675000000003</v>
      </c>
      <c r="J13" s="219">
        <f>Veg_Inputs!$J$11</f>
        <v>0.01</v>
      </c>
      <c r="K13" s="444">
        <f>IF(B13=1,Veg_Inputs!$R$15,K12*(1+Veg_CashFlows!J13))*F13</f>
        <v>3.726837566153673</v>
      </c>
      <c r="L13" s="338">
        <f>IF(B13=1,Veg_Inputs!$R$16,L12*(1+Veg_CashFlows!J13))*F13</f>
        <v>3.726837566153673</v>
      </c>
      <c r="M13" s="122">
        <f>K13*I13*Veg_Inputs!$J$9</f>
        <v>146484.60834534871</v>
      </c>
      <c r="N13" s="222">
        <f>L13*I13*Veg_Inputs!$J$10</f>
        <v>146484.60834534871</v>
      </c>
      <c r="O13" s="423">
        <f t="shared" ref="O13:O44" si="30">BC12</f>
        <v>0</v>
      </c>
      <c r="P13" s="122">
        <f>SUM(M13:O13)+IF(B13=Veg_Inputs!$J$17,Veg_Inputs!$J$19,0)</f>
        <v>292969.21669069742</v>
      </c>
      <c r="Q13" s="218">
        <f>IF(B13=1,Veg_Inputs!$O$7,Q12*(1+Veg_Inputs!$N$23))*F13</f>
        <v>179676.54986522911</v>
      </c>
      <c r="R13" s="122">
        <f>IF(B13=1,Veg_Inputs!$O$8,R12*(1+Veg_Inputs!$N$23))*F13</f>
        <v>5555.0000000000009</v>
      </c>
      <c r="S13" s="122">
        <f>IF(B13=1,Veg_Inputs!$O$9,S12*(1+Veg_Inputs!$N$23))*F13</f>
        <v>29359.248975741244</v>
      </c>
      <c r="T13" s="122">
        <f>IF(B13=1,Veg_Inputs!$O$10,T12*(1+Veg_Inputs!$N$23))*F13</f>
        <v>5431.132075471698</v>
      </c>
      <c r="U13" s="122">
        <f>IF(B13=1,Veg_Inputs!$O$11,U12*(1+Veg_Inputs!$N$23))*F13</f>
        <v>6552.2048517520207</v>
      </c>
      <c r="V13" s="122">
        <f>IF(B13=1,Veg_Inputs!$O$12,V12*(1+Veg_Inputs!$N$23))*F13</f>
        <v>93.170939153841829</v>
      </c>
      <c r="W13" s="122">
        <f>IF(B13=1,Veg_Inputs!$O$13,W12*(1+Veg_Inputs!$N$23))*F13</f>
        <v>0</v>
      </c>
      <c r="X13" s="122">
        <f>IF(B13=1,Veg_Inputs!$O$14,X12*(1+Veg_Inputs!$N$23))*F13</f>
        <v>1465.5788728899322</v>
      </c>
      <c r="Y13" s="122">
        <f>IF(B13=1,Veg_Inputs!$O$15,Y12*(1+Veg_Inputs!$N$23))*F13</f>
        <v>1465.5788728899322</v>
      </c>
      <c r="Z13" s="122">
        <f>IF(B13=1,Veg_Inputs!$O$16,Z12*(1+Veg_Inputs!$N$23))*F13</f>
        <v>10871.538999999999</v>
      </c>
      <c r="AA13" s="122">
        <f>IF(B13=1,Veg_Inputs!$O$17,AA12*(1+Veg_Inputs!$N$23))*F13</f>
        <v>7381.9777777777763</v>
      </c>
      <c r="AB13" s="181">
        <f>IF(B13=1,Veg_Inputs!$O$18,AB12*(1+Veg_Inputs!$N$23))*F13</f>
        <v>0</v>
      </c>
      <c r="AC13" s="482">
        <f>IF(B13=1,Veg_Inputs!$O$19,AC12*(1+Veg_Inputs!$N$23))*F13</f>
        <v>0</v>
      </c>
      <c r="AD13" s="122">
        <f>IF(B13=1,Veg_Inputs!$O$20,AD12*(1+Veg_Inputs!$N$23))*F13</f>
        <v>0</v>
      </c>
      <c r="AE13" s="122">
        <f>IF(B13=1,Veg_Inputs!$O$21,AE12*(1+Veg_Inputs!$N$23))*F13</f>
        <v>0</v>
      </c>
      <c r="AF13" s="132">
        <f>IF(B13=1,Veg_Inputs!$O$22,AF12*(1+Veg_Inputs!$N$23))*F13</f>
        <v>0</v>
      </c>
      <c r="AG13" s="200">
        <f t="shared" ref="AG13:AG44" si="31">SUM(Q13:AF13)*F13</f>
        <v>247851.98123090551</v>
      </c>
      <c r="AH13" s="86">
        <f t="shared" si="13"/>
        <v>45117.235459791904</v>
      </c>
      <c r="AI13" s="225">
        <f t="shared" si="14"/>
        <v>0.15399991838536564</v>
      </c>
      <c r="AJ13" s="220">
        <f>Deprec!I12</f>
        <v>11627.425336927225</v>
      </c>
      <c r="AK13" s="86">
        <f t="shared" si="15"/>
        <v>33489.810122864677</v>
      </c>
      <c r="AL13" s="455">
        <f t="shared" ref="AL13:AL44" si="32">BJ13</f>
        <v>28015.532292405318</v>
      </c>
      <c r="AM13" s="86">
        <f t="shared" ref="AM13:AM44" si="33">AK13-AL13</f>
        <v>5474.2778304593594</v>
      </c>
      <c r="AN13" s="438">
        <f>IF(AM13&lt;0,0,(AM13*Veg_Inputs!$J$14))</f>
        <v>1642.2833491378078</v>
      </c>
      <c r="AO13" s="86">
        <f t="shared" ref="AO13:AO44" si="34">AM13-AN13</f>
        <v>3831.9944813215516</v>
      </c>
      <c r="AP13" s="226">
        <f t="shared" si="16"/>
        <v>1.3079853660417791E-2</v>
      </c>
      <c r="AS13" s="196">
        <f t="shared" si="17"/>
        <v>292969.21669069742</v>
      </c>
      <c r="AT13" s="86">
        <f t="shared" si="18"/>
        <v>247851.98123090551</v>
      </c>
      <c r="AU13" s="197">
        <f t="shared" ref="AU13:AU44" si="35">AS13-AT13</f>
        <v>45117.235459791904</v>
      </c>
      <c r="AV13" s="218">
        <f>IF(B13=0,Veg_Inputs!$C$29,0)</f>
        <v>0</v>
      </c>
      <c r="AW13" s="198">
        <f t="shared" si="5"/>
        <v>0</v>
      </c>
      <c r="AX13" s="197">
        <f t="shared" si="6"/>
        <v>45117.235459791904</v>
      </c>
      <c r="AY13" s="184">
        <f>IF(B13=0,Veg_Inputs!$G$15+Veg_Inputs!$G$16,0)</f>
        <v>0</v>
      </c>
      <c r="AZ13" s="185">
        <f>IF(B13=0,Veg_Inputs!$G$14,0)</f>
        <v>0</v>
      </c>
      <c r="BA13" s="200">
        <f t="shared" si="7"/>
        <v>0</v>
      </c>
      <c r="BB13" s="196">
        <f t="shared" si="8"/>
        <v>45117.235459791904</v>
      </c>
      <c r="BC13" s="218">
        <f>Veg_Inputs!$G$20*AVERAGE(BR13,BS13)</f>
        <v>0</v>
      </c>
      <c r="BD13" s="200">
        <f t="shared" si="9"/>
        <v>1642.2833491378078</v>
      </c>
      <c r="BE13" s="200">
        <f t="shared" si="19"/>
        <v>45117.235459791904</v>
      </c>
      <c r="BF13" s="86">
        <f t="shared" si="20"/>
        <v>43474.952110654092</v>
      </c>
      <c r="BG13" s="197">
        <f t="shared" si="21"/>
        <v>43474.952110654092</v>
      </c>
      <c r="BH13" s="86">
        <f t="shared" ref="BH13:BH44" si="36">BI12</f>
        <v>193210.5675338298</v>
      </c>
      <c r="BI13" s="86">
        <f t="shared" ref="BI13:BI44" si="37">BH13-BK13</f>
        <v>181452.13217138569</v>
      </c>
      <c r="BJ13" s="122">
        <f>-Debt_Calc!AG11</f>
        <v>28015.532292405318</v>
      </c>
      <c r="BK13" s="122">
        <f>Debt_Calc!AH11</f>
        <v>11758.435362444128</v>
      </c>
      <c r="BL13" s="86">
        <f t="shared" si="22"/>
        <v>39773.967654849446</v>
      </c>
      <c r="BM13" s="423">
        <f t="shared" ref="BM13:BM44" si="38">IFERROR(BG13/BL13,0)</f>
        <v>1.0930504215199512</v>
      </c>
      <c r="BN13" s="86">
        <f t="shared" ref="BN13:BN44" si="39">BG13-BL13</f>
        <v>3700.9844558046461</v>
      </c>
      <c r="BO13" s="86">
        <f t="shared" si="23"/>
        <v>5343.2678049424539</v>
      </c>
      <c r="BP13" s="86">
        <f t="shared" ref="BP13:BP44" si="40">BN13+BR13</f>
        <v>3700.9844558046461</v>
      </c>
      <c r="BQ13" s="86">
        <f t="shared" si="24"/>
        <v>0</v>
      </c>
      <c r="BR13" s="86">
        <f t="shared" si="25"/>
        <v>0</v>
      </c>
      <c r="BS13" s="86">
        <f t="shared" si="10"/>
        <v>0</v>
      </c>
      <c r="BT13" s="86">
        <f t="shared" si="26"/>
        <v>-79568.122203069463</v>
      </c>
      <c r="BU13" s="86">
        <f t="shared" ref="BU13:BU44" si="41">IF(BU12&gt;=1,2,IF(BT13&gt;0,1,0))</f>
        <v>0</v>
      </c>
      <c r="BV13" s="214">
        <f t="shared" si="11"/>
        <v>2905.3852882562232</v>
      </c>
      <c r="BW13" s="102"/>
      <c r="BX13" s="102"/>
      <c r="BY13" s="102"/>
      <c r="BZ13" s="102"/>
      <c r="CA13" s="102"/>
      <c r="CI13" s="102"/>
      <c r="CS13" s="102"/>
      <c r="CT13" s="102"/>
      <c r="CU13" s="102"/>
      <c r="CV13" s="102"/>
      <c r="CW13" s="102"/>
      <c r="CX13" s="102"/>
      <c r="CY13" s="102"/>
      <c r="CZ13" s="102"/>
      <c r="DA13" s="102"/>
      <c r="DB13" s="102"/>
      <c r="DC13" s="102"/>
      <c r="DD13" s="86"/>
      <c r="DJ13" s="86"/>
      <c r="DQ13" s="86"/>
    </row>
    <row r="14" spans="2:121" s="193" customFormat="1" x14ac:dyDescent="0.3">
      <c r="B14" s="192">
        <f t="shared" si="27"/>
        <v>3</v>
      </c>
      <c r="C14" s="350">
        <f t="shared" si="12"/>
        <v>2024</v>
      </c>
      <c r="D14" s="351">
        <f t="shared" si="28"/>
        <v>45292</v>
      </c>
      <c r="E14" s="441">
        <f>EDATE(E13,12)</f>
        <v>45657</v>
      </c>
      <c r="F14" s="445">
        <f>IF(AND(B14&gt;0,B14&lt;=Veg_Inputs!$J$17),1,0)</f>
        <v>1</v>
      </c>
      <c r="G14" s="447">
        <f>IF(F14=1,Veg_Inputs!$G$31,0)</f>
        <v>78650</v>
      </c>
      <c r="H14" s="348">
        <f>IF(AND(F13=0,F14=1),100%,IF(AND(F13=0,F14=0),100%,H13-Veg_Inputs!$G$45))*F14</f>
        <v>0.99900000000000011</v>
      </c>
      <c r="I14" s="216">
        <f t="shared" si="29"/>
        <v>78571.350000000006</v>
      </c>
      <c r="J14" s="219">
        <f>Veg_Inputs!$J$11</f>
        <v>0.01</v>
      </c>
      <c r="K14" s="444">
        <f>IF(B14=1,Veg_Inputs!$R$15,K13*(1+Veg_CashFlows!J14))*F14</f>
        <v>3.7641059418152096</v>
      </c>
      <c r="L14" s="338">
        <f>IF(B14=1,Veg_Inputs!$R$16,L13*(1+Veg_CashFlows!J14))*F14</f>
        <v>3.7641059418152096</v>
      </c>
      <c r="M14" s="122">
        <f>K14*I14*Veg_Inputs!$J$9</f>
        <v>147875.44269572126</v>
      </c>
      <c r="N14" s="222">
        <f>L14*I14*Veg_Inputs!$J$10</f>
        <v>147875.44269572126</v>
      </c>
      <c r="O14" s="423">
        <f t="shared" si="30"/>
        <v>0</v>
      </c>
      <c r="P14" s="122">
        <f>SUM(M14:O14)+IF(B14=Veg_Inputs!$J$17,Veg_Inputs!$J$19,0)</f>
        <v>295750.88539144251</v>
      </c>
      <c r="Q14" s="218">
        <f>IF(B14=1,Veg_Inputs!$O$7,Q13*(1+Veg_Inputs!$N$23))*F14</f>
        <v>181473.31536388141</v>
      </c>
      <c r="R14" s="122">
        <f>IF(B14=1,Veg_Inputs!$O$8,R13*(1+Veg_Inputs!$N$23))*F14</f>
        <v>5610.5500000000011</v>
      </c>
      <c r="S14" s="122">
        <f>IF(B14=1,Veg_Inputs!$O$9,S13*(1+Veg_Inputs!$N$23))*F14</f>
        <v>29652.841465498655</v>
      </c>
      <c r="T14" s="122">
        <f>IF(B14=1,Veg_Inputs!$O$10,T13*(1+Veg_Inputs!$N$23))*F14</f>
        <v>5485.4433962264147</v>
      </c>
      <c r="U14" s="122">
        <f>IF(B14=1,Veg_Inputs!$O$11,U13*(1+Veg_Inputs!$N$23))*F14</f>
        <v>6617.7269002695411</v>
      </c>
      <c r="V14" s="122">
        <f>IF(B14=1,Veg_Inputs!$O$12,V13*(1+Veg_Inputs!$N$23))*F14</f>
        <v>94.102648545380248</v>
      </c>
      <c r="W14" s="122">
        <f>IF(B14=1,Veg_Inputs!$O$13,W13*(1+Veg_Inputs!$N$23))*F14</f>
        <v>0</v>
      </c>
      <c r="X14" s="122">
        <f>IF(B14=1,Veg_Inputs!$O$14,X13*(1+Veg_Inputs!$N$23))*F14</f>
        <v>1480.2346616188315</v>
      </c>
      <c r="Y14" s="122">
        <f>IF(B14=1,Veg_Inputs!$O$15,Y13*(1+Veg_Inputs!$N$23))*F14</f>
        <v>1480.2346616188315</v>
      </c>
      <c r="Z14" s="122">
        <f>IF(B14=1,Veg_Inputs!$O$16,Z13*(1+Veg_Inputs!$N$23))*F14</f>
        <v>10980.254389999998</v>
      </c>
      <c r="AA14" s="122">
        <f>IF(B14=1,Veg_Inputs!$O$17,AA13*(1+Veg_Inputs!$N$23))*F14</f>
        <v>7455.797555555554</v>
      </c>
      <c r="AB14" s="181">
        <f>IF(B14=1,Veg_Inputs!$O$18,AB13*(1+Veg_Inputs!$N$23))*F14</f>
        <v>0</v>
      </c>
      <c r="AC14" s="482">
        <f>IF(B14=1,Veg_Inputs!$O$19,AC13*(1+Veg_Inputs!$N$23))*F14</f>
        <v>0</v>
      </c>
      <c r="AD14" s="122">
        <f>IF(B14=1,Veg_Inputs!$O$20,AD13*(1+Veg_Inputs!$N$23))*F14</f>
        <v>0</v>
      </c>
      <c r="AE14" s="122">
        <f>IF(B14=1,Veg_Inputs!$O$21,AE13*(1+Veg_Inputs!$N$23))*F14</f>
        <v>0</v>
      </c>
      <c r="AF14" s="132">
        <f>IF(B14=1,Veg_Inputs!$O$22,AF13*(1+Veg_Inputs!$N$23))*F14</f>
        <v>0</v>
      </c>
      <c r="AG14" s="200">
        <f t="shared" si="31"/>
        <v>250330.50104321461</v>
      </c>
      <c r="AH14" s="86">
        <f t="shared" si="13"/>
        <v>45420.384348227904</v>
      </c>
      <c r="AI14" s="225">
        <f t="shared" si="14"/>
        <v>0.15357649492109393</v>
      </c>
      <c r="AJ14" s="220">
        <f>Deprec!I13</f>
        <v>11627.425336927225</v>
      </c>
      <c r="AK14" s="86">
        <f t="shared" si="15"/>
        <v>33792.959011300678</v>
      </c>
      <c r="AL14" s="455">
        <f t="shared" si="32"/>
        <v>26310.559164850922</v>
      </c>
      <c r="AM14" s="86">
        <f t="shared" si="33"/>
        <v>7482.3998464497563</v>
      </c>
      <c r="AN14" s="438">
        <f>IF(AM14&lt;0,0,(AM14*Veg_Inputs!$J$14))</f>
        <v>2244.7199539349267</v>
      </c>
      <c r="AO14" s="86">
        <f t="shared" si="34"/>
        <v>5237.6798925148296</v>
      </c>
      <c r="AP14" s="226">
        <f t="shared" si="16"/>
        <v>1.770976910375931E-2</v>
      </c>
      <c r="AS14" s="196">
        <f t="shared" si="17"/>
        <v>295750.88539144251</v>
      </c>
      <c r="AT14" s="86">
        <f t="shared" si="18"/>
        <v>250330.50104321461</v>
      </c>
      <c r="AU14" s="197">
        <f t="shared" si="35"/>
        <v>45420.384348227904</v>
      </c>
      <c r="AV14" s="218">
        <f>IF(B14=0,Veg_Inputs!$C$29,0)</f>
        <v>0</v>
      </c>
      <c r="AW14" s="198">
        <f t="shared" si="5"/>
        <v>0</v>
      </c>
      <c r="AX14" s="197">
        <f t="shared" si="6"/>
        <v>45420.384348227904</v>
      </c>
      <c r="AY14" s="184">
        <f>IF(B14=0,Veg_Inputs!$G$15+Veg_Inputs!$G$16,0)</f>
        <v>0</v>
      </c>
      <c r="AZ14" s="185">
        <f>IF(B14=0,Veg_Inputs!$G$14,0)</f>
        <v>0</v>
      </c>
      <c r="BA14" s="200">
        <f t="shared" si="7"/>
        <v>0</v>
      </c>
      <c r="BB14" s="196">
        <f t="shared" si="8"/>
        <v>45420.384348227904</v>
      </c>
      <c r="BC14" s="218">
        <f>Veg_Inputs!$G$20*AVERAGE(BR14,BS14)</f>
        <v>0</v>
      </c>
      <c r="BD14" s="200">
        <f t="shared" si="9"/>
        <v>2244.7199539349267</v>
      </c>
      <c r="BE14" s="200">
        <f t="shared" si="19"/>
        <v>45420.384348227904</v>
      </c>
      <c r="BF14" s="86">
        <f t="shared" si="20"/>
        <v>43175.66439429298</v>
      </c>
      <c r="BG14" s="197">
        <f t="shared" si="21"/>
        <v>43175.66439429298</v>
      </c>
      <c r="BH14" s="86">
        <f t="shared" si="36"/>
        <v>181452.13217138569</v>
      </c>
      <c r="BI14" s="86">
        <f t="shared" si="37"/>
        <v>167988.72368138714</v>
      </c>
      <c r="BJ14" s="122">
        <f>-Debt_Calc!AG12</f>
        <v>26310.559164850922</v>
      </c>
      <c r="BK14" s="122">
        <f>Debt_Calc!AH12</f>
        <v>13463.408489998532</v>
      </c>
      <c r="BL14" s="86">
        <f t="shared" si="22"/>
        <v>39773.967654849454</v>
      </c>
      <c r="BM14" s="423">
        <f t="shared" si="38"/>
        <v>1.085525707894238</v>
      </c>
      <c r="BN14" s="86">
        <f t="shared" si="39"/>
        <v>3401.6967394435269</v>
      </c>
      <c r="BO14" s="86">
        <f t="shared" si="23"/>
        <v>5646.4166933784536</v>
      </c>
      <c r="BP14" s="86">
        <f t="shared" si="40"/>
        <v>3401.6967394435269</v>
      </c>
      <c r="BQ14" s="86">
        <f t="shared" si="24"/>
        <v>0</v>
      </c>
      <c r="BR14" s="86">
        <f t="shared" si="25"/>
        <v>0</v>
      </c>
      <c r="BS14" s="86">
        <f t="shared" si="10"/>
        <v>0</v>
      </c>
      <c r="BT14" s="86">
        <f t="shared" si="26"/>
        <v>-76166.425463625928</v>
      </c>
      <c r="BU14" s="86">
        <f t="shared" si="41"/>
        <v>0</v>
      </c>
      <c r="BV14" s="214">
        <f t="shared" si="11"/>
        <v>2366.0575389584405</v>
      </c>
      <c r="BW14" s="102"/>
      <c r="BX14" s="102"/>
      <c r="BY14" s="102"/>
      <c r="BZ14" s="102"/>
      <c r="CA14" s="102"/>
      <c r="CI14" s="102"/>
      <c r="CS14" s="102"/>
      <c r="CT14" s="102"/>
      <c r="CU14" s="102"/>
      <c r="CV14" s="102"/>
      <c r="CW14" s="102"/>
      <c r="CX14" s="102"/>
      <c r="CY14" s="102"/>
      <c r="CZ14" s="102"/>
      <c r="DA14" s="102"/>
      <c r="DB14" s="102"/>
      <c r="DC14" s="102"/>
      <c r="DD14" s="86"/>
      <c r="DJ14" s="86"/>
      <c r="DQ14" s="86"/>
    </row>
    <row r="15" spans="2:121" s="86" customFormat="1" x14ac:dyDescent="0.3">
      <c r="B15" s="192">
        <f t="shared" si="27"/>
        <v>4</v>
      </c>
      <c r="C15" s="350">
        <f t="shared" si="12"/>
        <v>2025</v>
      </c>
      <c r="D15" s="351">
        <f t="shared" si="28"/>
        <v>45658</v>
      </c>
      <c r="E15" s="441">
        <f t="shared" si="28"/>
        <v>46022</v>
      </c>
      <c r="F15" s="445">
        <f>IF(AND(B15&gt;0,B15&lt;=Veg_Inputs!$J$17),1,0)</f>
        <v>1</v>
      </c>
      <c r="G15" s="447">
        <f>IF(F15=1,Veg_Inputs!$G$31,0)</f>
        <v>78650</v>
      </c>
      <c r="H15" s="348">
        <f>IF(AND(F14=0,F15=1),100%,IF(AND(F14=0,F15=0),100%,H14-Veg_Inputs!$G$45))*F15</f>
        <v>0.99850000000000017</v>
      </c>
      <c r="I15" s="216">
        <f t="shared" si="29"/>
        <v>78532.025000000009</v>
      </c>
      <c r="J15" s="219">
        <f>Veg_Inputs!$J$11</f>
        <v>0.01</v>
      </c>
      <c r="K15" s="444">
        <f>IF(B15=1,Veg_Inputs!$R$15,K14*(1+Veg_CashFlows!J15))*F15</f>
        <v>3.8017470012333616</v>
      </c>
      <c r="L15" s="338">
        <f>IF(B15=1,Veg_Inputs!$R$16,L14*(1+Veg_CashFlows!J15))*F15</f>
        <v>3.8017470012333616</v>
      </c>
      <c r="M15" s="122">
        <f>K15*I15*Veg_Inputs!$J$9</f>
        <v>149279.44527226672</v>
      </c>
      <c r="N15" s="222">
        <f>L15*I15*Veg_Inputs!$J$10</f>
        <v>149279.44527226672</v>
      </c>
      <c r="O15" s="423">
        <f t="shared" si="30"/>
        <v>0</v>
      </c>
      <c r="P15" s="122">
        <f>SUM(M15:O15)+IF(B15=Veg_Inputs!$J$17,Veg_Inputs!$J$19,0)</f>
        <v>298558.89054453344</v>
      </c>
      <c r="Q15" s="218">
        <f>IF(B15=1,Veg_Inputs!$O$7,Q14*(1+Veg_Inputs!$N$23))*F15</f>
        <v>183288.04851752022</v>
      </c>
      <c r="R15" s="122">
        <f>IF(B15=1,Veg_Inputs!$O$8,R14*(1+Veg_Inputs!$N$23))*F15</f>
        <v>5666.6555000000008</v>
      </c>
      <c r="S15" s="122">
        <f>IF(B15=1,Veg_Inputs!$O$9,S14*(1+Veg_Inputs!$N$23))*F15</f>
        <v>29949.369880153641</v>
      </c>
      <c r="T15" s="122">
        <f>IF(B15=1,Veg_Inputs!$O$10,T14*(1+Veg_Inputs!$N$23))*F15</f>
        <v>5540.2978301886787</v>
      </c>
      <c r="U15" s="122">
        <f>IF(B15=1,Veg_Inputs!$O$11,U14*(1+Veg_Inputs!$N$23))*F15</f>
        <v>6683.9041692722367</v>
      </c>
      <c r="V15" s="122">
        <f>IF(B15=1,Veg_Inputs!$O$12,V14*(1+Veg_Inputs!$N$23))*F15</f>
        <v>95.043675030834052</v>
      </c>
      <c r="W15" s="122">
        <f>IF(B15=1,Veg_Inputs!$O$13,W14*(1+Veg_Inputs!$N$23))*F15</f>
        <v>0</v>
      </c>
      <c r="X15" s="122">
        <f>IF(B15=1,Veg_Inputs!$O$14,X14*(1+Veg_Inputs!$N$23))*F15</f>
        <v>1495.0370082350198</v>
      </c>
      <c r="Y15" s="122">
        <f>IF(B15=1,Veg_Inputs!$O$15,Y14*(1+Veg_Inputs!$N$23))*F15</f>
        <v>1495.0370082350198</v>
      </c>
      <c r="Z15" s="122">
        <f>IF(B15=1,Veg_Inputs!$O$16,Z14*(1+Veg_Inputs!$N$23))*F15</f>
        <v>11090.056933899998</v>
      </c>
      <c r="AA15" s="122">
        <f>IF(B15=1,Veg_Inputs!$O$17,AA14*(1+Veg_Inputs!$N$23))*F15</f>
        <v>7530.3555311111095</v>
      </c>
      <c r="AB15" s="181">
        <f>IF(B15=1,Veg_Inputs!$O$18,AB14*(1+Veg_Inputs!$N$23))*F15</f>
        <v>0</v>
      </c>
      <c r="AC15" s="482">
        <f>IF(B15=1,Veg_Inputs!$O$19,AC14*(1+Veg_Inputs!$N$23))*F15</f>
        <v>0</v>
      </c>
      <c r="AD15" s="122">
        <f>IF(B15=1,Veg_Inputs!$O$20,AD14*(1+Veg_Inputs!$N$23))*F15</f>
        <v>0</v>
      </c>
      <c r="AE15" s="122">
        <f>IF(B15=1,Veg_Inputs!$O$21,AE14*(1+Veg_Inputs!$N$23))*F15</f>
        <v>0</v>
      </c>
      <c r="AF15" s="132">
        <f>IF(B15=1,Veg_Inputs!$O$22,AF14*(1+Veg_Inputs!$N$23))*F15</f>
        <v>0</v>
      </c>
      <c r="AG15" s="200">
        <f t="shared" si="31"/>
        <v>252833.80605364675</v>
      </c>
      <c r="AH15" s="86">
        <f t="shared" si="13"/>
        <v>45725.084490886686</v>
      </c>
      <c r="AI15" s="225">
        <f t="shared" si="14"/>
        <v>0.15315264739726875</v>
      </c>
      <c r="AJ15" s="220">
        <f>Deprec!I14</f>
        <v>11627.425336927225</v>
      </c>
      <c r="AK15" s="86">
        <f t="shared" si="15"/>
        <v>34097.659153959459</v>
      </c>
      <c r="AL15" s="455">
        <f t="shared" si="32"/>
        <v>24358.364933801135</v>
      </c>
      <c r="AM15" s="86">
        <f t="shared" si="33"/>
        <v>9739.2942201583246</v>
      </c>
      <c r="AN15" s="438">
        <f>IF(AM15&lt;0,0,(AM15*Veg_Inputs!$J$14))</f>
        <v>2921.7882660474975</v>
      </c>
      <c r="AO15" s="86">
        <f t="shared" si="34"/>
        <v>6817.5059541108276</v>
      </c>
      <c r="AP15" s="226">
        <f t="shared" si="16"/>
        <v>2.2834710906369474E-2</v>
      </c>
      <c r="AS15" s="196">
        <f t="shared" si="17"/>
        <v>298558.89054453344</v>
      </c>
      <c r="AT15" s="86">
        <f t="shared" si="18"/>
        <v>252833.80605364675</v>
      </c>
      <c r="AU15" s="197">
        <f t="shared" si="35"/>
        <v>45725.084490886686</v>
      </c>
      <c r="AV15" s="218">
        <f>IF(B15=0,Veg_Inputs!$C$29,0)</f>
        <v>0</v>
      </c>
      <c r="AW15" s="198">
        <f t="shared" si="5"/>
        <v>0</v>
      </c>
      <c r="AX15" s="197">
        <f t="shared" si="6"/>
        <v>45725.084490886686</v>
      </c>
      <c r="AY15" s="184">
        <f>IF(B15=0,Veg_Inputs!$G$15+Veg_Inputs!$G$16,0)</f>
        <v>0</v>
      </c>
      <c r="AZ15" s="185">
        <f>IF(B15=0,Veg_Inputs!$G$14,0)</f>
        <v>0</v>
      </c>
      <c r="BA15" s="200">
        <f t="shared" si="7"/>
        <v>0</v>
      </c>
      <c r="BB15" s="196">
        <f t="shared" si="8"/>
        <v>45725.084490886686</v>
      </c>
      <c r="BC15" s="218">
        <f>Veg_Inputs!$G$20*AVERAGE(BR15,BS15)</f>
        <v>0</v>
      </c>
      <c r="BD15" s="200">
        <f t="shared" si="9"/>
        <v>2921.7882660474975</v>
      </c>
      <c r="BE15" s="200">
        <f t="shared" si="19"/>
        <v>45725.084490886686</v>
      </c>
      <c r="BF15" s="86">
        <f t="shared" si="20"/>
        <v>42803.296224839185</v>
      </c>
      <c r="BG15" s="197">
        <f t="shared" si="21"/>
        <v>42803.296224839185</v>
      </c>
      <c r="BH15" s="86">
        <f t="shared" si="36"/>
        <v>167988.72368138714</v>
      </c>
      <c r="BI15" s="86">
        <f t="shared" si="37"/>
        <v>152573.12096033883</v>
      </c>
      <c r="BJ15" s="122">
        <f>-Debt_Calc!AG13</f>
        <v>24358.364933801135</v>
      </c>
      <c r="BK15" s="122">
        <f>Debt_Calc!AH13</f>
        <v>15415.602721048319</v>
      </c>
      <c r="BL15" s="86">
        <f t="shared" si="22"/>
        <v>39773.967654849454</v>
      </c>
      <c r="BM15" s="423">
        <f t="shared" si="38"/>
        <v>1.0761636001788315</v>
      </c>
      <c r="BN15" s="86">
        <f t="shared" si="39"/>
        <v>3029.3285699897315</v>
      </c>
      <c r="BO15" s="86">
        <f t="shared" si="23"/>
        <v>5951.1168360372285</v>
      </c>
      <c r="BP15" s="86">
        <f t="shared" si="40"/>
        <v>3029.3285699897315</v>
      </c>
      <c r="BQ15" s="86">
        <f t="shared" si="24"/>
        <v>0</v>
      </c>
      <c r="BR15" s="86">
        <f t="shared" si="25"/>
        <v>0</v>
      </c>
      <c r="BS15" s="86">
        <f t="shared" si="10"/>
        <v>0</v>
      </c>
      <c r="BT15" s="86">
        <f t="shared" si="26"/>
        <v>-73137.09689363619</v>
      </c>
      <c r="BU15" s="86">
        <f t="shared" si="41"/>
        <v>0</v>
      </c>
      <c r="BV15" s="214">
        <f t="shared" si="11"/>
        <v>1866.8925596039717</v>
      </c>
    </row>
    <row r="16" spans="2:121" s="86" customFormat="1" x14ac:dyDescent="0.3">
      <c r="B16" s="192">
        <f t="shared" si="27"/>
        <v>5</v>
      </c>
      <c r="C16" s="350">
        <f t="shared" si="12"/>
        <v>2026</v>
      </c>
      <c r="D16" s="351">
        <f t="shared" si="28"/>
        <v>46023</v>
      </c>
      <c r="E16" s="441">
        <f t="shared" si="28"/>
        <v>46387</v>
      </c>
      <c r="F16" s="445">
        <f>IF(AND(B16&gt;0,B16&lt;=Veg_Inputs!$J$17),1,0)</f>
        <v>1</v>
      </c>
      <c r="G16" s="447">
        <f>IF(F16=1,Veg_Inputs!$G$31,0)</f>
        <v>78650</v>
      </c>
      <c r="H16" s="348">
        <f>IF(AND(F15=0,F16=1),100%,IF(AND(F15=0,F16=0),100%,H15-Veg_Inputs!$G$45))*F16</f>
        <v>0.99800000000000022</v>
      </c>
      <c r="I16" s="216">
        <f t="shared" si="29"/>
        <v>78492.700000000012</v>
      </c>
      <c r="J16" s="219">
        <f>Veg_Inputs!$J$11</f>
        <v>0.01</v>
      </c>
      <c r="K16" s="444">
        <f>IF(B16=1,Veg_Inputs!$R$15,K15*(1+Veg_CashFlows!J16))*F16</f>
        <v>3.8397644712456951</v>
      </c>
      <c r="L16" s="338">
        <f>IF(B16=1,Veg_Inputs!$R$16,L15*(1+Veg_CashFlows!J16))*F16</f>
        <v>3.8397644712456951</v>
      </c>
      <c r="M16" s="122">
        <f>K16*I16*Veg_Inputs!$J$9</f>
        <v>150696.74035607351</v>
      </c>
      <c r="N16" s="222">
        <f>L16*I16*Veg_Inputs!$J$10</f>
        <v>150696.74035607351</v>
      </c>
      <c r="O16" s="423">
        <f t="shared" si="30"/>
        <v>0</v>
      </c>
      <c r="P16" s="122">
        <f>SUM(M16:O16)+IF(B16=Veg_Inputs!$J$17,Veg_Inputs!$J$19,0)</f>
        <v>301393.48071214702</v>
      </c>
      <c r="Q16" s="218">
        <f>IF(B16=1,Veg_Inputs!$O$7,Q15*(1+Veg_Inputs!$N$23))*F16</f>
        <v>185120.92900269543</v>
      </c>
      <c r="R16" s="122">
        <f>IF(B16=1,Veg_Inputs!$O$8,R15*(1+Veg_Inputs!$N$23))*F16</f>
        <v>5723.3220550000005</v>
      </c>
      <c r="S16" s="122">
        <f>IF(B16=1,Veg_Inputs!$O$9,S15*(1+Veg_Inputs!$N$23))*F16</f>
        <v>30248.863578955177</v>
      </c>
      <c r="T16" s="122">
        <f>IF(B16=1,Veg_Inputs!$O$10,T15*(1+Veg_Inputs!$N$23))*F16</f>
        <v>5595.7008084905656</v>
      </c>
      <c r="U16" s="122">
        <f>IF(B16=1,Veg_Inputs!$O$11,U15*(1+Veg_Inputs!$N$23))*F16</f>
        <v>6750.743210964959</v>
      </c>
      <c r="V16" s="122">
        <f>IF(B16=1,Veg_Inputs!$O$12,V15*(1+Veg_Inputs!$N$23))*F16</f>
        <v>95.994111781142394</v>
      </c>
      <c r="W16" s="122">
        <f>IF(B16=1,Veg_Inputs!$O$13,W15*(1+Veg_Inputs!$N$23))*F16</f>
        <v>0</v>
      </c>
      <c r="X16" s="122">
        <f>IF(B16=1,Veg_Inputs!$O$14,X15*(1+Veg_Inputs!$N$23))*F16</f>
        <v>1509.98737831737</v>
      </c>
      <c r="Y16" s="122">
        <f>IF(B16=1,Veg_Inputs!$O$15,Y15*(1+Veg_Inputs!$N$23))*F16</f>
        <v>1509.98737831737</v>
      </c>
      <c r="Z16" s="122">
        <f>IF(B16=1,Veg_Inputs!$O$16,Z15*(1+Veg_Inputs!$N$23))*F16</f>
        <v>11200.957503238998</v>
      </c>
      <c r="AA16" s="122">
        <f>IF(B16=1,Veg_Inputs!$O$17,AA15*(1+Veg_Inputs!$N$23))*F16</f>
        <v>7605.6590864222208</v>
      </c>
      <c r="AB16" s="181">
        <f>IF(B16=1,Veg_Inputs!$O$18,AB15*(1+Veg_Inputs!$N$23))*F16</f>
        <v>0</v>
      </c>
      <c r="AC16" s="482">
        <f>IF(B16=1,Veg_Inputs!$O$19,AC15*(1+Veg_Inputs!$N$23))*F16</f>
        <v>0</v>
      </c>
      <c r="AD16" s="122">
        <f>IF(B16=1,Veg_Inputs!$O$20,AD15*(1+Veg_Inputs!$N$23))*F16</f>
        <v>0</v>
      </c>
      <c r="AE16" s="122">
        <f>IF(B16=1,Veg_Inputs!$O$21,AE15*(1+Veg_Inputs!$N$23))*F16</f>
        <v>0</v>
      </c>
      <c r="AF16" s="132">
        <f>IF(B16=1,Veg_Inputs!$O$22,AF15*(1+Veg_Inputs!$N$23))*F16</f>
        <v>0</v>
      </c>
      <c r="AG16" s="200">
        <f t="shared" si="31"/>
        <v>255362.14411418323</v>
      </c>
      <c r="AH16" s="86">
        <f t="shared" si="13"/>
        <v>46031.336597963789</v>
      </c>
      <c r="AI16" s="225">
        <f t="shared" si="14"/>
        <v>0.15272837517652582</v>
      </c>
      <c r="AJ16" s="220">
        <f>Deprec!I15</f>
        <v>11627.425336927225</v>
      </c>
      <c r="AK16" s="86">
        <f t="shared" si="15"/>
        <v>34403.911261036563</v>
      </c>
      <c r="AL16" s="455">
        <f t="shared" si="32"/>
        <v>22123.102539249128</v>
      </c>
      <c r="AM16" s="86">
        <f t="shared" si="33"/>
        <v>12280.808721787434</v>
      </c>
      <c r="AN16" s="438">
        <f>IF(AM16&lt;0,0,(AM16*Veg_Inputs!$J$14))</f>
        <v>3684.2426165362303</v>
      </c>
      <c r="AO16" s="86">
        <f t="shared" si="34"/>
        <v>8596.5661052512041</v>
      </c>
      <c r="AP16" s="226">
        <f t="shared" si="16"/>
        <v>2.8522734084821026E-2</v>
      </c>
      <c r="AS16" s="196">
        <f t="shared" si="17"/>
        <v>301393.48071214702</v>
      </c>
      <c r="AT16" s="86">
        <f t="shared" si="18"/>
        <v>255362.14411418323</v>
      </c>
      <c r="AU16" s="197">
        <f t="shared" si="35"/>
        <v>46031.336597963789</v>
      </c>
      <c r="AV16" s="218">
        <f>IF(B16=0,Veg_Inputs!$C$29,0)</f>
        <v>0</v>
      </c>
      <c r="AW16" s="198">
        <f t="shared" si="5"/>
        <v>0</v>
      </c>
      <c r="AX16" s="197">
        <f t="shared" si="6"/>
        <v>46031.336597963789</v>
      </c>
      <c r="AY16" s="184">
        <f>IF(B16=0,Veg_Inputs!$G$15+Veg_Inputs!$G$16,0)</f>
        <v>0</v>
      </c>
      <c r="AZ16" s="185">
        <f>IF(B16=0,Veg_Inputs!$G$14,0)</f>
        <v>0</v>
      </c>
      <c r="BA16" s="200">
        <f t="shared" si="7"/>
        <v>0</v>
      </c>
      <c r="BB16" s="196">
        <f t="shared" si="8"/>
        <v>46031.336597963789</v>
      </c>
      <c r="BC16" s="218">
        <f>Veg_Inputs!$G$20*AVERAGE(BR16,BS16)</f>
        <v>0</v>
      </c>
      <c r="BD16" s="200">
        <f t="shared" si="9"/>
        <v>3684.2426165362303</v>
      </c>
      <c r="BE16" s="200">
        <f t="shared" si="19"/>
        <v>46031.336597963789</v>
      </c>
      <c r="BF16" s="86">
        <f t="shared" si="20"/>
        <v>42347.093981427563</v>
      </c>
      <c r="BG16" s="197">
        <f t="shared" si="21"/>
        <v>42347.093981427563</v>
      </c>
      <c r="BH16" s="86">
        <f t="shared" si="36"/>
        <v>152573.12096033883</v>
      </c>
      <c r="BI16" s="86">
        <f t="shared" si="37"/>
        <v>134922.25584473851</v>
      </c>
      <c r="BJ16" s="122">
        <f>-Debt_Calc!AG14</f>
        <v>22123.102539249128</v>
      </c>
      <c r="BK16" s="122">
        <f>Debt_Calc!AH14</f>
        <v>17650.865115600318</v>
      </c>
      <c r="BL16" s="86">
        <f t="shared" si="22"/>
        <v>39773.967654849446</v>
      </c>
      <c r="BM16" s="423">
        <f t="shared" si="38"/>
        <v>1.0646937300524604</v>
      </c>
      <c r="BN16" s="86">
        <f t="shared" si="39"/>
        <v>2573.1263265781163</v>
      </c>
      <c r="BO16" s="86">
        <f t="shared" si="23"/>
        <v>6257.3689431143466</v>
      </c>
      <c r="BP16" s="86">
        <f t="shared" si="40"/>
        <v>2573.1263265781163</v>
      </c>
      <c r="BQ16" s="86">
        <f t="shared" si="24"/>
        <v>0</v>
      </c>
      <c r="BR16" s="86">
        <f t="shared" si="25"/>
        <v>0</v>
      </c>
      <c r="BS16" s="86">
        <f t="shared" si="10"/>
        <v>0</v>
      </c>
      <c r="BT16" s="86">
        <f t="shared" si="26"/>
        <v>-70563.970567058073</v>
      </c>
      <c r="BU16" s="86">
        <f t="shared" si="41"/>
        <v>0</v>
      </c>
      <c r="BV16" s="214">
        <f t="shared" si="11"/>
        <v>1405.0031190474274</v>
      </c>
    </row>
    <row r="17" spans="2:74" s="86" customFormat="1" x14ac:dyDescent="0.3">
      <c r="B17" s="192">
        <f t="shared" si="27"/>
        <v>6</v>
      </c>
      <c r="C17" s="350">
        <f t="shared" si="12"/>
        <v>2027</v>
      </c>
      <c r="D17" s="351">
        <f t="shared" si="28"/>
        <v>46388</v>
      </c>
      <c r="E17" s="441">
        <f t="shared" si="28"/>
        <v>46752</v>
      </c>
      <c r="F17" s="445">
        <f>IF(AND(B17&gt;0,B17&lt;=Veg_Inputs!$J$17),1,0)</f>
        <v>1</v>
      </c>
      <c r="G17" s="447">
        <f>IF(F17=1,Veg_Inputs!$G$31,0)</f>
        <v>78650</v>
      </c>
      <c r="H17" s="348">
        <f>IF(AND(F16=0,F17=1),100%,IF(AND(F16=0,F17=0),100%,H16-Veg_Inputs!$G$45))*F17</f>
        <v>0.99750000000000028</v>
      </c>
      <c r="I17" s="216">
        <f t="shared" si="29"/>
        <v>78453.375000000015</v>
      </c>
      <c r="J17" s="219">
        <f>Veg_Inputs!$J$11</f>
        <v>0.01</v>
      </c>
      <c r="K17" s="444">
        <f>IF(B17=1,Veg_Inputs!$R$15,K16*(1+Veg_CashFlows!J17))*F17</f>
        <v>3.8781621159581521</v>
      </c>
      <c r="L17" s="338">
        <f>IF(B17=1,Veg_Inputs!$R$16,L16*(1+Veg_CashFlows!J17))*F17</f>
        <v>3.8781621159581521</v>
      </c>
      <c r="M17" s="122">
        <f>K17*I17*Veg_Inputs!$J$9</f>
        <v>152127.45339702923</v>
      </c>
      <c r="N17" s="222">
        <f>L17*I17*Veg_Inputs!$J$10</f>
        <v>152127.45339702923</v>
      </c>
      <c r="O17" s="423">
        <f t="shared" si="30"/>
        <v>0</v>
      </c>
      <c r="P17" s="122">
        <f>SUM(M17:O17)+IF(B17=Veg_Inputs!$J$17,Veg_Inputs!$J$19,0)</f>
        <v>304254.90679405845</v>
      </c>
      <c r="Q17" s="218">
        <f>IF(B17=1,Veg_Inputs!$O$7,Q16*(1+Veg_Inputs!$N$23))*F17</f>
        <v>186972.13829272237</v>
      </c>
      <c r="R17" s="122">
        <f>IF(B17=1,Veg_Inputs!$O$8,R16*(1+Veg_Inputs!$N$23))*F17</f>
        <v>5780.5552755500003</v>
      </c>
      <c r="S17" s="122">
        <f>IF(B17=1,Veg_Inputs!$O$9,S16*(1+Veg_Inputs!$N$23))*F17</f>
        <v>30551.352214744729</v>
      </c>
      <c r="T17" s="122">
        <f>IF(B17=1,Veg_Inputs!$O$10,T16*(1+Veg_Inputs!$N$23))*F17</f>
        <v>5651.6578165754709</v>
      </c>
      <c r="U17" s="122">
        <f>IF(B17=1,Veg_Inputs!$O$11,U16*(1+Veg_Inputs!$N$23))*F17</f>
        <v>6818.2506430746089</v>
      </c>
      <c r="V17" s="122">
        <f>IF(B17=1,Veg_Inputs!$O$12,V16*(1+Veg_Inputs!$N$23))*F17</f>
        <v>96.954052898953819</v>
      </c>
      <c r="W17" s="122">
        <f>IF(B17=1,Veg_Inputs!$O$13,W16*(1+Veg_Inputs!$N$23))*F17</f>
        <v>0</v>
      </c>
      <c r="X17" s="122">
        <f>IF(B17=1,Veg_Inputs!$O$14,X16*(1+Veg_Inputs!$N$23))*F17</f>
        <v>1525.0872521005438</v>
      </c>
      <c r="Y17" s="122">
        <f>IF(B17=1,Veg_Inputs!$O$15,Y16*(1+Veg_Inputs!$N$23))*F17</f>
        <v>1525.0872521005438</v>
      </c>
      <c r="Z17" s="122">
        <f>IF(B17=1,Veg_Inputs!$O$16,Z16*(1+Veg_Inputs!$N$23))*F17</f>
        <v>11312.967078271389</v>
      </c>
      <c r="AA17" s="122">
        <f>IF(B17=1,Veg_Inputs!$O$17,AA16*(1+Veg_Inputs!$N$23))*F17</f>
        <v>7681.7156772864428</v>
      </c>
      <c r="AB17" s="181">
        <f>IF(B17=1,Veg_Inputs!$O$18,AB16*(1+Veg_Inputs!$N$23))*F17</f>
        <v>0</v>
      </c>
      <c r="AC17" s="482">
        <f>IF(B17=1,Veg_Inputs!$O$19,AC16*(1+Veg_Inputs!$N$23))*F17</f>
        <v>0</v>
      </c>
      <c r="AD17" s="122">
        <f>IF(B17=1,Veg_Inputs!$O$20,AD16*(1+Veg_Inputs!$N$23))*F17</f>
        <v>0</v>
      </c>
      <c r="AE17" s="122">
        <f>IF(B17=1,Veg_Inputs!$O$21,AE16*(1+Veg_Inputs!$N$23))*F17</f>
        <v>0</v>
      </c>
      <c r="AF17" s="132">
        <f>IF(B17=1,Veg_Inputs!$O$22,AF16*(1+Veg_Inputs!$N$23))*F17</f>
        <v>0</v>
      </c>
      <c r="AG17" s="200">
        <f t="shared" si="31"/>
        <v>257915.76555532502</v>
      </c>
      <c r="AH17" s="86">
        <f t="shared" si="13"/>
        <v>46339.141238733428</v>
      </c>
      <c r="AI17" s="225">
        <f t="shared" si="14"/>
        <v>0.15230367762022351</v>
      </c>
      <c r="AJ17" s="220">
        <f>Deprec!I16</f>
        <v>11627.425336927225</v>
      </c>
      <c r="AK17" s="86">
        <f t="shared" si="15"/>
        <v>34711.715901806201</v>
      </c>
      <c r="AL17" s="455">
        <f t="shared" si="32"/>
        <v>19563.727097487081</v>
      </c>
      <c r="AM17" s="86">
        <f t="shared" si="33"/>
        <v>15147.98880431912</v>
      </c>
      <c r="AN17" s="438">
        <f>IF(AM17&lt;0,0,(AM17*Veg_Inputs!$J$14))</f>
        <v>4544.3966412957361</v>
      </c>
      <c r="AO17" s="86">
        <f t="shared" si="34"/>
        <v>10603.592163023384</v>
      </c>
      <c r="AP17" s="226">
        <f t="shared" si="16"/>
        <v>3.4851014482407856E-2</v>
      </c>
      <c r="AS17" s="196">
        <f t="shared" si="17"/>
        <v>304254.90679405845</v>
      </c>
      <c r="AT17" s="86">
        <f t="shared" si="18"/>
        <v>257915.76555532502</v>
      </c>
      <c r="AU17" s="197">
        <f t="shared" si="35"/>
        <v>46339.141238733428</v>
      </c>
      <c r="AV17" s="218">
        <f>IF(B17=0,Veg_Inputs!$C$29,0)</f>
        <v>0</v>
      </c>
      <c r="AW17" s="198">
        <f t="shared" si="5"/>
        <v>0</v>
      </c>
      <c r="AX17" s="197">
        <f t="shared" si="6"/>
        <v>46339.141238733428</v>
      </c>
      <c r="AY17" s="184">
        <f>IF(B17=0,Veg_Inputs!$G$15+Veg_Inputs!$G$16,0)</f>
        <v>0</v>
      </c>
      <c r="AZ17" s="185">
        <f>IF(B17=0,Veg_Inputs!$G$14,0)</f>
        <v>0</v>
      </c>
      <c r="BA17" s="200">
        <f t="shared" si="7"/>
        <v>0</v>
      </c>
      <c r="BB17" s="196">
        <f t="shared" si="8"/>
        <v>46339.141238733428</v>
      </c>
      <c r="BC17" s="218">
        <f>Veg_Inputs!$G$20*AVERAGE(BR17,BS17)</f>
        <v>0</v>
      </c>
      <c r="BD17" s="200">
        <f t="shared" si="9"/>
        <v>4544.3966412957361</v>
      </c>
      <c r="BE17" s="200">
        <f t="shared" si="19"/>
        <v>46339.141238733428</v>
      </c>
      <c r="BF17" s="86">
        <f t="shared" si="20"/>
        <v>41794.74459743769</v>
      </c>
      <c r="BG17" s="197">
        <f t="shared" si="21"/>
        <v>41794.74459743769</v>
      </c>
      <c r="BH17" s="86">
        <f t="shared" si="36"/>
        <v>134922.25584473851</v>
      </c>
      <c r="BI17" s="86">
        <f t="shared" si="37"/>
        <v>114712.01528737614</v>
      </c>
      <c r="BJ17" s="122">
        <f>-Debt_Calc!AG15</f>
        <v>19563.727097487081</v>
      </c>
      <c r="BK17" s="122">
        <f>Debt_Calc!AH15</f>
        <v>20210.240557362373</v>
      </c>
      <c r="BL17" s="86">
        <f t="shared" si="22"/>
        <v>39773.967654849454</v>
      </c>
      <c r="BM17" s="423">
        <f t="shared" si="38"/>
        <v>1.0508065214947659</v>
      </c>
      <c r="BN17" s="86">
        <f t="shared" si="39"/>
        <v>2020.7769425882361</v>
      </c>
      <c r="BO17" s="86">
        <f t="shared" si="23"/>
        <v>6565.1735838839722</v>
      </c>
      <c r="BP17" s="86">
        <f t="shared" si="40"/>
        <v>2020.7769425882361</v>
      </c>
      <c r="BQ17" s="86">
        <f t="shared" si="24"/>
        <v>0</v>
      </c>
      <c r="BR17" s="86">
        <f t="shared" si="25"/>
        <v>0</v>
      </c>
      <c r="BS17" s="86">
        <f t="shared" si="10"/>
        <v>0</v>
      </c>
      <c r="BT17" s="86">
        <f t="shared" si="26"/>
        <v>-68543.19362446983</v>
      </c>
      <c r="BU17" s="86">
        <f t="shared" si="41"/>
        <v>0</v>
      </c>
      <c r="BV17" s="214">
        <f t="shared" si="11"/>
        <v>977.6373699194553</v>
      </c>
    </row>
    <row r="18" spans="2:74" s="86" customFormat="1" x14ac:dyDescent="0.3">
      <c r="B18" s="192">
        <f t="shared" si="27"/>
        <v>7</v>
      </c>
      <c r="C18" s="350">
        <f t="shared" si="12"/>
        <v>2028</v>
      </c>
      <c r="D18" s="351">
        <f t="shared" si="28"/>
        <v>46753</v>
      </c>
      <c r="E18" s="441">
        <f t="shared" si="28"/>
        <v>47118</v>
      </c>
      <c r="F18" s="445">
        <f>IF(AND(B18&gt;0,B18&lt;=Veg_Inputs!$J$17),1,0)</f>
        <v>1</v>
      </c>
      <c r="G18" s="447">
        <f>IF(F18=1,Veg_Inputs!$G$31,0)</f>
        <v>78650</v>
      </c>
      <c r="H18" s="348">
        <f>IF(AND(F17=0,F18=1),100%,IF(AND(F17=0,F18=0),100%,H17-Veg_Inputs!$G$45))*F18</f>
        <v>0.99700000000000033</v>
      </c>
      <c r="I18" s="216">
        <f t="shared" si="29"/>
        <v>78414.050000000032</v>
      </c>
      <c r="J18" s="219">
        <f>Veg_Inputs!$J$11</f>
        <v>0.01</v>
      </c>
      <c r="K18" s="444">
        <f>IF(B18=1,Veg_Inputs!$R$15,K17*(1+Veg_CashFlows!J18))*F18</f>
        <v>3.9169437371177338</v>
      </c>
      <c r="L18" s="338">
        <f>IF(B18=1,Veg_Inputs!$R$16,L17*(1+Veg_CashFlows!J18))*F18</f>
        <v>3.9169437371177338</v>
      </c>
      <c r="M18" s="122">
        <f>K18*I18*Veg_Inputs!$J$9</f>
        <v>153571.71102476848</v>
      </c>
      <c r="N18" s="222">
        <f>L18*I18*Veg_Inputs!$J$10</f>
        <v>153571.71102476848</v>
      </c>
      <c r="O18" s="423">
        <f t="shared" si="30"/>
        <v>0</v>
      </c>
      <c r="P18" s="122">
        <f>SUM(M18:O18)+IF(B18=Veg_Inputs!$J$17,Veg_Inputs!$J$19,0)</f>
        <v>307143.42204953695</v>
      </c>
      <c r="Q18" s="218">
        <f>IF(B18=1,Veg_Inputs!$O$7,Q17*(1+Veg_Inputs!$N$23))*F18</f>
        <v>188841.85967564961</v>
      </c>
      <c r="R18" s="122">
        <f>IF(B18=1,Veg_Inputs!$O$8,R17*(1+Veg_Inputs!$N$23))*F18</f>
        <v>5838.3608283055</v>
      </c>
      <c r="S18" s="122">
        <f>IF(B18=1,Veg_Inputs!$O$9,S17*(1+Veg_Inputs!$N$23))*F18</f>
        <v>30856.865736892178</v>
      </c>
      <c r="T18" s="122">
        <f>IF(B18=1,Veg_Inputs!$O$10,T17*(1+Veg_Inputs!$N$23))*F18</f>
        <v>5708.174394741226</v>
      </c>
      <c r="U18" s="122">
        <f>IF(B18=1,Veg_Inputs!$O$11,U17*(1+Veg_Inputs!$N$23))*F18</f>
        <v>6886.4331495053548</v>
      </c>
      <c r="V18" s="122">
        <f>IF(B18=1,Veg_Inputs!$O$12,V17*(1+Veg_Inputs!$N$23))*F18</f>
        <v>97.923593427943359</v>
      </c>
      <c r="W18" s="122">
        <f>IF(B18=1,Veg_Inputs!$O$13,W17*(1+Veg_Inputs!$N$23))*F18</f>
        <v>0</v>
      </c>
      <c r="X18" s="122">
        <f>IF(B18=1,Veg_Inputs!$O$14,X17*(1+Veg_Inputs!$N$23))*F18</f>
        <v>1540.3381246215492</v>
      </c>
      <c r="Y18" s="122">
        <f>IF(B18=1,Veg_Inputs!$O$15,Y17*(1+Veg_Inputs!$N$23))*F18</f>
        <v>1540.3381246215492</v>
      </c>
      <c r="Z18" s="122">
        <f>IF(B18=1,Veg_Inputs!$O$16,Z17*(1+Veg_Inputs!$N$23))*F18</f>
        <v>11426.096749054102</v>
      </c>
      <c r="AA18" s="122">
        <f>IF(B18=1,Veg_Inputs!$O$17,AA17*(1+Veg_Inputs!$N$23))*F18</f>
        <v>7758.5328340593069</v>
      </c>
      <c r="AB18" s="181">
        <f>IF(B18=1,Veg_Inputs!$O$18,AB17*(1+Veg_Inputs!$N$23))*F18</f>
        <v>0</v>
      </c>
      <c r="AC18" s="482">
        <f>IF(B18=1,Veg_Inputs!$O$19,AC17*(1+Veg_Inputs!$N$23))*F18</f>
        <v>0</v>
      </c>
      <c r="AD18" s="122">
        <f>IF(B18=1,Veg_Inputs!$O$20,AD17*(1+Veg_Inputs!$N$23))*F18</f>
        <v>0</v>
      </c>
      <c r="AE18" s="122">
        <f>IF(B18=1,Veg_Inputs!$O$21,AE17*(1+Veg_Inputs!$N$23))*F18</f>
        <v>0</v>
      </c>
      <c r="AF18" s="132">
        <f>IF(B18=1,Veg_Inputs!$O$22,AF17*(1+Veg_Inputs!$N$23))*F18</f>
        <v>0</v>
      </c>
      <c r="AG18" s="200">
        <f t="shared" si="31"/>
        <v>260494.9232108783</v>
      </c>
      <c r="AH18" s="86">
        <f t="shared" si="13"/>
        <v>46648.498838658648</v>
      </c>
      <c r="AI18" s="225">
        <f t="shared" si="14"/>
        <v>0.15187855408843837</v>
      </c>
      <c r="AJ18" s="220">
        <f>Deprec!I17</f>
        <v>11627.425336927225</v>
      </c>
      <c r="AK18" s="86">
        <f t="shared" si="15"/>
        <v>35021.073501731422</v>
      </c>
      <c r="AL18" s="455">
        <f t="shared" si="32"/>
        <v>16633.24221666954</v>
      </c>
      <c r="AM18" s="86">
        <f t="shared" si="33"/>
        <v>18387.831285061882</v>
      </c>
      <c r="AN18" s="438">
        <f>IF(AM18&lt;0,0,(AM18*Veg_Inputs!$J$14))</f>
        <v>5516.3493855185643</v>
      </c>
      <c r="AO18" s="86">
        <f t="shared" si="34"/>
        <v>12871.481899543318</v>
      </c>
      <c r="AP18" s="226">
        <f t="shared" si="16"/>
        <v>4.1907073293815711E-2</v>
      </c>
      <c r="AS18" s="196">
        <f t="shared" si="17"/>
        <v>307143.42204953695</v>
      </c>
      <c r="AT18" s="86">
        <f t="shared" si="18"/>
        <v>260494.9232108783</v>
      </c>
      <c r="AU18" s="197">
        <f t="shared" si="35"/>
        <v>46648.498838658648</v>
      </c>
      <c r="AV18" s="218">
        <f>IF(B18=0,Veg_Inputs!$C$29,0)</f>
        <v>0</v>
      </c>
      <c r="AW18" s="198">
        <f t="shared" si="5"/>
        <v>0</v>
      </c>
      <c r="AX18" s="197">
        <f t="shared" si="6"/>
        <v>46648.498838658648</v>
      </c>
      <c r="AY18" s="184">
        <f>IF(B18=0,Veg_Inputs!$G$15+Veg_Inputs!$G$16,0)</f>
        <v>0</v>
      </c>
      <c r="AZ18" s="185">
        <f>IF(B18=0,Veg_Inputs!$G$14,0)</f>
        <v>0</v>
      </c>
      <c r="BA18" s="200">
        <f t="shared" si="7"/>
        <v>0</v>
      </c>
      <c r="BB18" s="196">
        <f t="shared" si="8"/>
        <v>46648.498838658648</v>
      </c>
      <c r="BC18" s="218">
        <f>Veg_Inputs!$G$20*AVERAGE(BR18,BS18)</f>
        <v>0</v>
      </c>
      <c r="BD18" s="200">
        <f t="shared" si="9"/>
        <v>5516.3493855185643</v>
      </c>
      <c r="BE18" s="200">
        <f t="shared" si="19"/>
        <v>46648.498838658648</v>
      </c>
      <c r="BF18" s="86">
        <f t="shared" si="20"/>
        <v>41132.149453140082</v>
      </c>
      <c r="BG18" s="197">
        <f t="shared" si="21"/>
        <v>41132.149453140082</v>
      </c>
      <c r="BH18" s="86">
        <f t="shared" si="36"/>
        <v>114712.01528737614</v>
      </c>
      <c r="BI18" s="86">
        <f t="shared" si="37"/>
        <v>91571.289849196226</v>
      </c>
      <c r="BJ18" s="122">
        <f>-Debt_Calc!AG16</f>
        <v>16633.24221666954</v>
      </c>
      <c r="BK18" s="122">
        <f>Debt_Calc!AH16</f>
        <v>23140.725438179914</v>
      </c>
      <c r="BL18" s="86">
        <f t="shared" si="22"/>
        <v>39773.967654849454</v>
      </c>
      <c r="BM18" s="423">
        <f t="shared" si="38"/>
        <v>1.0341475059787009</v>
      </c>
      <c r="BN18" s="86">
        <f t="shared" si="39"/>
        <v>1358.1817982906286</v>
      </c>
      <c r="BO18" s="86">
        <f t="shared" si="23"/>
        <v>6874.531183809193</v>
      </c>
      <c r="BP18" s="86">
        <f t="shared" si="40"/>
        <v>1358.1817982906286</v>
      </c>
      <c r="BQ18" s="86">
        <f t="shared" si="24"/>
        <v>0</v>
      </c>
      <c r="BR18" s="86">
        <f t="shared" si="25"/>
        <v>0</v>
      </c>
      <c r="BS18" s="86">
        <f t="shared" si="10"/>
        <v>0</v>
      </c>
      <c r="BT18" s="86">
        <f t="shared" si="26"/>
        <v>-67185.011826179194</v>
      </c>
      <c r="BU18" s="86">
        <f t="shared" si="41"/>
        <v>0</v>
      </c>
      <c r="BV18" s="214">
        <f t="shared" si="11"/>
        <v>582.18439203564151</v>
      </c>
    </row>
    <row r="19" spans="2:74" s="86" customFormat="1" x14ac:dyDescent="0.3">
      <c r="B19" s="192">
        <f t="shared" si="27"/>
        <v>8</v>
      </c>
      <c r="C19" s="350">
        <f t="shared" si="12"/>
        <v>2029</v>
      </c>
      <c r="D19" s="351">
        <f t="shared" si="28"/>
        <v>47119</v>
      </c>
      <c r="E19" s="441">
        <f t="shared" si="28"/>
        <v>47483</v>
      </c>
      <c r="F19" s="445">
        <f>IF(AND(B19&gt;0,B19&lt;=Veg_Inputs!$J$17),1,0)</f>
        <v>1</v>
      </c>
      <c r="G19" s="447">
        <f>IF(F19=1,Veg_Inputs!$G$31,0)</f>
        <v>78650</v>
      </c>
      <c r="H19" s="348">
        <f>IF(AND(F18=0,F19=1),100%,IF(AND(F18=0,F19=0),100%,H18-Veg_Inputs!$G$45))*F19</f>
        <v>0.99650000000000039</v>
      </c>
      <c r="I19" s="216">
        <f t="shared" si="29"/>
        <v>78374.725000000035</v>
      </c>
      <c r="J19" s="219">
        <f>Veg_Inputs!$J$11</f>
        <v>0.01</v>
      </c>
      <c r="K19" s="444">
        <f>IF(B19=1,Veg_Inputs!$R$15,K18*(1+Veg_CashFlows!J19))*F19</f>
        <v>3.9561131744889111</v>
      </c>
      <c r="L19" s="338">
        <f>IF(B19=1,Veg_Inputs!$R$16,L18*(1+Veg_CashFlows!J19))*F19</f>
        <v>3.9561131744889111</v>
      </c>
      <c r="M19" s="122">
        <f>K19*I19*Veg_Inputs!$J$9</f>
        <v>155029.64105972278</v>
      </c>
      <c r="N19" s="222">
        <f>L19*I19*Veg_Inputs!$J$10</f>
        <v>155029.64105972278</v>
      </c>
      <c r="O19" s="423">
        <f t="shared" si="30"/>
        <v>0</v>
      </c>
      <c r="P19" s="122">
        <f>SUM(M19:O19)+IF(B19=Veg_Inputs!$J$17,Veg_Inputs!$J$19,0)</f>
        <v>310059.28211944556</v>
      </c>
      <c r="Q19" s="218">
        <f>IF(B19=1,Veg_Inputs!$O$7,Q18*(1+Veg_Inputs!$N$23))*F19</f>
        <v>190730.27827240611</v>
      </c>
      <c r="R19" s="122">
        <f>IF(B19=1,Veg_Inputs!$O$8,R18*(1+Veg_Inputs!$N$23))*F19</f>
        <v>5896.7444365885549</v>
      </c>
      <c r="S19" s="122">
        <f>IF(B19=1,Veg_Inputs!$O$9,S18*(1+Veg_Inputs!$N$23))*F19</f>
        <v>31165.434394261101</v>
      </c>
      <c r="T19" s="122">
        <f>IF(B19=1,Veg_Inputs!$O$10,T18*(1+Veg_Inputs!$N$23))*F19</f>
        <v>5765.2561386886382</v>
      </c>
      <c r="U19" s="122">
        <f>IF(B19=1,Veg_Inputs!$O$11,U18*(1+Veg_Inputs!$N$23))*F19</f>
        <v>6955.297481000408</v>
      </c>
      <c r="V19" s="122">
        <f>IF(B19=1,Veg_Inputs!$O$12,V18*(1+Veg_Inputs!$N$23))*F19</f>
        <v>98.902829362222789</v>
      </c>
      <c r="W19" s="122">
        <f>IF(B19=1,Veg_Inputs!$O$13,W18*(1+Veg_Inputs!$N$23))*F19</f>
        <v>0</v>
      </c>
      <c r="X19" s="122">
        <f>IF(B19=1,Veg_Inputs!$O$14,X18*(1+Veg_Inputs!$N$23))*F19</f>
        <v>1555.7415058677648</v>
      </c>
      <c r="Y19" s="122">
        <f>IF(B19=1,Veg_Inputs!$O$15,Y18*(1+Veg_Inputs!$N$23))*F19</f>
        <v>1555.7415058677648</v>
      </c>
      <c r="Z19" s="122">
        <f>IF(B19=1,Veg_Inputs!$O$16,Z18*(1+Veg_Inputs!$N$23))*F19</f>
        <v>11540.357716544644</v>
      </c>
      <c r="AA19" s="122">
        <f>IF(B19=1,Veg_Inputs!$O$17,AA18*(1+Veg_Inputs!$N$23))*F19</f>
        <v>7836.1181623999</v>
      </c>
      <c r="AB19" s="181">
        <f>IF(B19=1,Veg_Inputs!$O$18,AB18*(1+Veg_Inputs!$N$23))*F19</f>
        <v>0</v>
      </c>
      <c r="AC19" s="482">
        <f>IF(B19=1,Veg_Inputs!$O$19,AC18*(1+Veg_Inputs!$N$23))*F19</f>
        <v>0</v>
      </c>
      <c r="AD19" s="122">
        <f>IF(B19=1,Veg_Inputs!$O$20,AD18*(1+Veg_Inputs!$N$23))*F19</f>
        <v>0</v>
      </c>
      <c r="AE19" s="122">
        <f>IF(B19=1,Veg_Inputs!$O$21,AE18*(1+Veg_Inputs!$N$23))*F19</f>
        <v>0</v>
      </c>
      <c r="AF19" s="132">
        <f>IF(B19=1,Veg_Inputs!$O$22,AF18*(1+Veg_Inputs!$N$23))*F19</f>
        <v>0</v>
      </c>
      <c r="AG19" s="200">
        <f t="shared" si="31"/>
        <v>263099.87244298711</v>
      </c>
      <c r="AH19" s="86">
        <f t="shared" si="13"/>
        <v>46959.409676458454</v>
      </c>
      <c r="AI19" s="225">
        <f t="shared" si="14"/>
        <v>0.15145300393996289</v>
      </c>
      <c r="AJ19" s="220">
        <f>Deprec!I18</f>
        <v>11627.425336927225</v>
      </c>
      <c r="AK19" s="86">
        <f t="shared" si="15"/>
        <v>35331.984339531227</v>
      </c>
      <c r="AL19" s="455">
        <f t="shared" si="32"/>
        <v>13277.837028133452</v>
      </c>
      <c r="AM19" s="86">
        <f t="shared" si="33"/>
        <v>22054.147311397777</v>
      </c>
      <c r="AN19" s="438">
        <f>IF(AM19&lt;0,0,(AM19*Veg_Inputs!$J$14))</f>
        <v>6616.244193419333</v>
      </c>
      <c r="AO19" s="86">
        <f t="shared" si="34"/>
        <v>15437.903117978443</v>
      </c>
      <c r="AP19" s="226">
        <f t="shared" si="16"/>
        <v>4.9790165972296963E-2</v>
      </c>
      <c r="AS19" s="196">
        <f t="shared" si="17"/>
        <v>310059.28211944556</v>
      </c>
      <c r="AT19" s="86">
        <f t="shared" si="18"/>
        <v>263099.87244298711</v>
      </c>
      <c r="AU19" s="197">
        <f t="shared" si="35"/>
        <v>46959.409676458454</v>
      </c>
      <c r="AV19" s="218">
        <f>IF(B19=0,Veg_Inputs!$C$29,0)</f>
        <v>0</v>
      </c>
      <c r="AW19" s="198">
        <f t="shared" si="5"/>
        <v>0</v>
      </c>
      <c r="AX19" s="197">
        <f t="shared" si="6"/>
        <v>46959.409676458454</v>
      </c>
      <c r="AY19" s="184">
        <f>IF(B19=0,Veg_Inputs!$G$15+Veg_Inputs!$G$16,0)</f>
        <v>0</v>
      </c>
      <c r="AZ19" s="185">
        <f>IF(B19=0,Veg_Inputs!$G$14,0)</f>
        <v>0</v>
      </c>
      <c r="BA19" s="200">
        <f t="shared" si="7"/>
        <v>0</v>
      </c>
      <c r="BB19" s="196">
        <f t="shared" si="8"/>
        <v>46959.409676458454</v>
      </c>
      <c r="BC19" s="218">
        <f>Veg_Inputs!$G$20*AVERAGE(BR19,BS19)</f>
        <v>0</v>
      </c>
      <c r="BD19" s="200">
        <f t="shared" si="9"/>
        <v>6616.244193419333</v>
      </c>
      <c r="BE19" s="200">
        <f t="shared" si="19"/>
        <v>46959.409676458454</v>
      </c>
      <c r="BF19" s="86">
        <f t="shared" si="20"/>
        <v>40343.16548303912</v>
      </c>
      <c r="BG19" s="197">
        <f t="shared" si="21"/>
        <v>40343.16548303912</v>
      </c>
      <c r="BH19" s="86">
        <f t="shared" si="36"/>
        <v>91571.289849196226</v>
      </c>
      <c r="BI19" s="86">
        <f t="shared" si="37"/>
        <v>65075.159222480223</v>
      </c>
      <c r="BJ19" s="122">
        <f>-Debt_Calc!AG17</f>
        <v>13277.837028133452</v>
      </c>
      <c r="BK19" s="122">
        <f>Debt_Calc!AH17</f>
        <v>26496.130626716003</v>
      </c>
      <c r="BL19" s="86">
        <f t="shared" si="22"/>
        <v>39773.967654849454</v>
      </c>
      <c r="BM19" s="423">
        <f t="shared" si="38"/>
        <v>1.0143108133724312</v>
      </c>
      <c r="BN19" s="86">
        <f t="shared" si="39"/>
        <v>569.19782818966632</v>
      </c>
      <c r="BO19" s="86">
        <f t="shared" si="23"/>
        <v>7185.4420216089993</v>
      </c>
      <c r="BP19" s="86">
        <f t="shared" si="40"/>
        <v>569.19782818966632</v>
      </c>
      <c r="BQ19" s="86">
        <f t="shared" si="24"/>
        <v>0</v>
      </c>
      <c r="BR19" s="86">
        <f t="shared" si="25"/>
        <v>0</v>
      </c>
      <c r="BS19" s="86">
        <f t="shared" si="10"/>
        <v>0</v>
      </c>
      <c r="BT19" s="86">
        <f t="shared" si="26"/>
        <v>-66615.81399798952</v>
      </c>
      <c r="BU19" s="86">
        <f t="shared" si="41"/>
        <v>0</v>
      </c>
      <c r="BV19" s="214">
        <f t="shared" si="11"/>
        <v>216.17681926237066</v>
      </c>
    </row>
    <row r="20" spans="2:74" s="86" customFormat="1" x14ac:dyDescent="0.3">
      <c r="B20" s="192">
        <f t="shared" si="27"/>
        <v>9</v>
      </c>
      <c r="C20" s="350">
        <f t="shared" si="12"/>
        <v>2030</v>
      </c>
      <c r="D20" s="351">
        <f t="shared" si="28"/>
        <v>47484</v>
      </c>
      <c r="E20" s="441">
        <f t="shared" si="28"/>
        <v>47848</v>
      </c>
      <c r="F20" s="445">
        <f>IF(AND(B20&gt;0,B20&lt;=Veg_Inputs!$J$17),1,0)</f>
        <v>1</v>
      </c>
      <c r="G20" s="447">
        <f>IF(F20=1,Veg_Inputs!$G$31,0)</f>
        <v>78650</v>
      </c>
      <c r="H20" s="348">
        <f>IF(AND(F19=0,F20=1),100%,IF(AND(F19=0,F20=0),100%,H19-Veg_Inputs!$G$45))*F20</f>
        <v>0.99600000000000044</v>
      </c>
      <c r="I20" s="216">
        <f t="shared" si="29"/>
        <v>78335.400000000038</v>
      </c>
      <c r="J20" s="219">
        <f>Veg_Inputs!$J$11</f>
        <v>0.01</v>
      </c>
      <c r="K20" s="444">
        <f>IF(B20=1,Veg_Inputs!$R$15,K19*(1+Veg_CashFlows!J20))*F20</f>
        <v>3.9956743062338003</v>
      </c>
      <c r="L20" s="338">
        <f>IF(B20=1,Veg_Inputs!$R$16,L19*(1+Veg_CashFlows!J20))*F20</f>
        <v>3.9956743062338003</v>
      </c>
      <c r="M20" s="122">
        <f>K20*I20*Veg_Inputs!$J$9</f>
        <v>156501.3725242737</v>
      </c>
      <c r="N20" s="222">
        <f>L20*I20*Veg_Inputs!$J$10</f>
        <v>156501.3725242737</v>
      </c>
      <c r="O20" s="423">
        <f t="shared" si="30"/>
        <v>0</v>
      </c>
      <c r="P20" s="122">
        <f>SUM(M20:O20)+IF(B20=Veg_Inputs!$J$17,Veg_Inputs!$J$19,0)</f>
        <v>313002.7450485474</v>
      </c>
      <c r="Q20" s="218">
        <f>IF(B20=1,Veg_Inputs!$O$7,Q19*(1+Veg_Inputs!$N$23))*F20</f>
        <v>192637.58105513017</v>
      </c>
      <c r="R20" s="122">
        <f>IF(B20=1,Veg_Inputs!$O$8,R19*(1+Veg_Inputs!$N$23))*F20</f>
        <v>5955.7118809544409</v>
      </c>
      <c r="S20" s="122">
        <f>IF(B20=1,Veg_Inputs!$O$9,S19*(1+Veg_Inputs!$N$23))*F20</f>
        <v>31477.088738203711</v>
      </c>
      <c r="T20" s="122">
        <f>IF(B20=1,Veg_Inputs!$O$10,T19*(1+Veg_Inputs!$N$23))*F20</f>
        <v>5822.9087000755244</v>
      </c>
      <c r="U20" s="122">
        <f>IF(B20=1,Veg_Inputs!$O$11,U19*(1+Veg_Inputs!$N$23))*F20</f>
        <v>7024.8504558104123</v>
      </c>
      <c r="V20" s="122">
        <f>IF(B20=1,Veg_Inputs!$O$12,V19*(1+Veg_Inputs!$N$23))*F20</f>
        <v>99.891857655845016</v>
      </c>
      <c r="W20" s="122">
        <f>IF(B20=1,Veg_Inputs!$O$13,W19*(1+Veg_Inputs!$N$23))*F20</f>
        <v>0</v>
      </c>
      <c r="X20" s="122">
        <f>IF(B20=1,Veg_Inputs!$O$14,X19*(1+Veg_Inputs!$N$23))*F20</f>
        <v>1571.2989209264424</v>
      </c>
      <c r="Y20" s="122">
        <f>IF(B20=1,Veg_Inputs!$O$15,Y19*(1+Veg_Inputs!$N$23))*F20</f>
        <v>1571.2989209264424</v>
      </c>
      <c r="Z20" s="122">
        <f>IF(B20=1,Veg_Inputs!$O$16,Z19*(1+Veg_Inputs!$N$23))*F20</f>
        <v>11655.761293710091</v>
      </c>
      <c r="AA20" s="122">
        <f>IF(B20=1,Veg_Inputs!$O$17,AA19*(1+Veg_Inputs!$N$23))*F20</f>
        <v>7914.4793440238991</v>
      </c>
      <c r="AB20" s="181">
        <f>IF(B20=1,Veg_Inputs!$O$18,AB19*(1+Veg_Inputs!$N$23))*F20</f>
        <v>0</v>
      </c>
      <c r="AC20" s="482">
        <f>IF(B20=1,Veg_Inputs!$O$19,AC19*(1+Veg_Inputs!$N$23))*F20</f>
        <v>0</v>
      </c>
      <c r="AD20" s="122">
        <f>IF(B20=1,Veg_Inputs!$O$20,AD19*(1+Veg_Inputs!$N$23))*F20</f>
        <v>0</v>
      </c>
      <c r="AE20" s="122">
        <f>IF(B20=1,Veg_Inputs!$O$21,AE19*(1+Veg_Inputs!$N$23))*F20</f>
        <v>0</v>
      </c>
      <c r="AF20" s="132">
        <f>IF(B20=1,Veg_Inputs!$O$22,AF19*(1+Veg_Inputs!$N$23))*F20</f>
        <v>0</v>
      </c>
      <c r="AG20" s="200">
        <f t="shared" si="31"/>
        <v>265730.87116741698</v>
      </c>
      <c r="AH20" s="86">
        <f t="shared" si="13"/>
        <v>47271.873881130421</v>
      </c>
      <c r="AI20" s="225">
        <f t="shared" si="14"/>
        <v>0.15102702653230229</v>
      </c>
      <c r="AJ20" s="220">
        <f>Deprec!I19</f>
        <v>11627.425336927225</v>
      </c>
      <c r="AK20" s="86">
        <f t="shared" si="15"/>
        <v>35644.448544203195</v>
      </c>
      <c r="AL20" s="455">
        <f t="shared" si="32"/>
        <v>9435.8980872596312</v>
      </c>
      <c r="AM20" s="86">
        <f t="shared" si="33"/>
        <v>26208.550456943565</v>
      </c>
      <c r="AN20" s="438">
        <f>IF(AM20&lt;0,0,(AM20*Veg_Inputs!$J$14))</f>
        <v>7862.5651370830692</v>
      </c>
      <c r="AO20" s="86">
        <f t="shared" si="34"/>
        <v>18345.985319860498</v>
      </c>
      <c r="AP20" s="226">
        <f t="shared" si="16"/>
        <v>5.8612857586967798E-2</v>
      </c>
      <c r="AS20" s="196">
        <f t="shared" si="17"/>
        <v>313002.7450485474</v>
      </c>
      <c r="AT20" s="86">
        <f t="shared" si="18"/>
        <v>265730.87116741698</v>
      </c>
      <c r="AU20" s="197">
        <f t="shared" si="35"/>
        <v>47271.873881130421</v>
      </c>
      <c r="AV20" s="218">
        <f>IF(B20=0,Veg_Inputs!$C$29,0)</f>
        <v>0</v>
      </c>
      <c r="AW20" s="198">
        <f t="shared" si="5"/>
        <v>0</v>
      </c>
      <c r="AX20" s="197">
        <f t="shared" si="6"/>
        <v>47271.873881130421</v>
      </c>
      <c r="AY20" s="184">
        <f>IF(B20=0,Veg_Inputs!$G$15+Veg_Inputs!$G$16,0)</f>
        <v>0</v>
      </c>
      <c r="AZ20" s="185">
        <f>IF(B20=0,Veg_Inputs!$G$14,0)</f>
        <v>0</v>
      </c>
      <c r="BA20" s="200">
        <f t="shared" si="7"/>
        <v>0</v>
      </c>
      <c r="BB20" s="196">
        <f t="shared" si="8"/>
        <v>47271.873881130421</v>
      </c>
      <c r="BC20" s="218">
        <f>Veg_Inputs!$G$20*AVERAGE(BR20,BS20)</f>
        <v>0</v>
      </c>
      <c r="BD20" s="200">
        <f t="shared" si="9"/>
        <v>7862.5651370830692</v>
      </c>
      <c r="BE20" s="200">
        <f t="shared" si="19"/>
        <v>47271.873881130421</v>
      </c>
      <c r="BF20" s="86">
        <f t="shared" si="20"/>
        <v>39409.308744047354</v>
      </c>
      <c r="BG20" s="197">
        <f t="shared" si="21"/>
        <v>39409.308744047354</v>
      </c>
      <c r="BH20" s="86">
        <f t="shared" si="36"/>
        <v>65075.159222480223</v>
      </c>
      <c r="BI20" s="86">
        <f t="shared" si="37"/>
        <v>34737.089654890391</v>
      </c>
      <c r="BJ20" s="122">
        <f>-Debt_Calc!AG18</f>
        <v>9435.8980872596312</v>
      </c>
      <c r="BK20" s="122">
        <f>Debt_Calc!AH18</f>
        <v>30338.069567589831</v>
      </c>
      <c r="BL20" s="86">
        <f t="shared" si="22"/>
        <v>39773.967654849461</v>
      </c>
      <c r="BM20" s="423">
        <f t="shared" si="38"/>
        <v>0.99083171902872391</v>
      </c>
      <c r="BN20" s="86">
        <f t="shared" si="39"/>
        <v>-364.65891080210713</v>
      </c>
      <c r="BO20" s="86">
        <f t="shared" si="23"/>
        <v>7497.9062262809621</v>
      </c>
      <c r="BP20" s="86">
        <f t="shared" si="40"/>
        <v>-364.65891080210713</v>
      </c>
      <c r="BQ20" s="86">
        <f t="shared" si="24"/>
        <v>0</v>
      </c>
      <c r="BR20" s="86">
        <f t="shared" si="25"/>
        <v>0</v>
      </c>
      <c r="BS20" s="86">
        <f t="shared" si="10"/>
        <v>0</v>
      </c>
      <c r="BT20" s="86">
        <f t="shared" si="26"/>
        <v>-66980.47290879162</v>
      </c>
      <c r="BU20" s="86">
        <f t="shared" si="41"/>
        <v>0</v>
      </c>
      <c r="BV20" s="214">
        <f t="shared" si="11"/>
        <v>-122.7088693928946</v>
      </c>
    </row>
    <row r="21" spans="2:74" s="86" customFormat="1" x14ac:dyDescent="0.3">
      <c r="B21" s="192">
        <f t="shared" si="27"/>
        <v>10</v>
      </c>
      <c r="C21" s="350">
        <f t="shared" si="12"/>
        <v>2031</v>
      </c>
      <c r="D21" s="351">
        <f t="shared" si="28"/>
        <v>47849</v>
      </c>
      <c r="E21" s="441">
        <f t="shared" si="28"/>
        <v>48213</v>
      </c>
      <c r="F21" s="445">
        <f>IF(AND(B21&gt;0,B21&lt;=Veg_Inputs!$J$17),1,0)</f>
        <v>1</v>
      </c>
      <c r="G21" s="447">
        <f>IF(F21=1,Veg_Inputs!$G$31,0)</f>
        <v>78650</v>
      </c>
      <c r="H21" s="348">
        <f>IF(AND(F20=0,F21=1),100%,IF(AND(F20=0,F21=0),100%,H20-Veg_Inputs!$G$45))*F21</f>
        <v>0.9955000000000005</v>
      </c>
      <c r="I21" s="216">
        <f t="shared" si="29"/>
        <v>78296.075000000041</v>
      </c>
      <c r="J21" s="219">
        <f>Veg_Inputs!$J$11</f>
        <v>0.01</v>
      </c>
      <c r="K21" s="444">
        <f>IF(B21=1,Veg_Inputs!$R$15,K20*(1+Veg_CashFlows!J21))*F21</f>
        <v>4.0356310492961383</v>
      </c>
      <c r="L21" s="338">
        <f>IF(B21=1,Veg_Inputs!$R$16,L20*(1+Veg_CashFlows!J21))*F21</f>
        <v>4.0356310492961383</v>
      </c>
      <c r="M21" s="122">
        <f>K21*I21*Veg_Inputs!$J$9</f>
        <v>157987.03565400964</v>
      </c>
      <c r="N21" s="222">
        <f>L21*I21*Veg_Inputs!$J$10</f>
        <v>157987.03565400964</v>
      </c>
      <c r="O21" s="423">
        <f t="shared" si="30"/>
        <v>0</v>
      </c>
      <c r="P21" s="122">
        <f>SUM(M21:O21)+IF(B21=Veg_Inputs!$J$17,Veg_Inputs!$J$19,0)</f>
        <v>315974.07130801928</v>
      </c>
      <c r="Q21" s="218">
        <f>IF(B21=1,Veg_Inputs!$O$7,Q20*(1+Veg_Inputs!$N$23))*F21</f>
        <v>194563.95686568148</v>
      </c>
      <c r="R21" s="122">
        <f>IF(B21=1,Veg_Inputs!$O$8,R20*(1+Veg_Inputs!$N$23))*F21</f>
        <v>6015.2689997639854</v>
      </c>
      <c r="S21" s="122">
        <f>IF(B21=1,Veg_Inputs!$O$9,S20*(1+Veg_Inputs!$N$23))*F21</f>
        <v>31791.859625585748</v>
      </c>
      <c r="T21" s="122">
        <f>IF(B21=1,Veg_Inputs!$O$10,T20*(1+Veg_Inputs!$N$23))*F21</f>
        <v>5881.1377870762799</v>
      </c>
      <c r="U21" s="122">
        <f>IF(B21=1,Veg_Inputs!$O$11,U20*(1+Veg_Inputs!$N$23))*F21</f>
        <v>7095.0989603685166</v>
      </c>
      <c r="V21" s="122">
        <f>IF(B21=1,Veg_Inputs!$O$12,V20*(1+Veg_Inputs!$N$23))*F21</f>
        <v>100.89077623240347</v>
      </c>
      <c r="W21" s="122">
        <f>IF(B21=1,Veg_Inputs!$O$13,W20*(1+Veg_Inputs!$N$23))*F21</f>
        <v>0</v>
      </c>
      <c r="X21" s="122">
        <f>IF(B21=1,Veg_Inputs!$O$14,X20*(1+Veg_Inputs!$N$23))*F21</f>
        <v>1587.0119101357068</v>
      </c>
      <c r="Y21" s="122">
        <f>IF(B21=1,Veg_Inputs!$O$15,Y20*(1+Veg_Inputs!$N$23))*F21</f>
        <v>1587.0119101357068</v>
      </c>
      <c r="Z21" s="122">
        <f>IF(B21=1,Veg_Inputs!$O$16,Z20*(1+Veg_Inputs!$N$23))*F21</f>
        <v>11772.318906647191</v>
      </c>
      <c r="AA21" s="122">
        <f>IF(B21=1,Veg_Inputs!$O$17,AA20*(1+Veg_Inputs!$N$23))*F21</f>
        <v>7993.6241374641386</v>
      </c>
      <c r="AB21" s="181">
        <f>IF(B21=1,Veg_Inputs!$O$18,AB20*(1+Veg_Inputs!$N$23))*F21</f>
        <v>0</v>
      </c>
      <c r="AC21" s="482">
        <f>IF(B21=1,Veg_Inputs!$O$19,AC20*(1+Veg_Inputs!$N$23))*F21</f>
        <v>0</v>
      </c>
      <c r="AD21" s="122">
        <f>IF(B21=1,Veg_Inputs!$O$20,AD20*(1+Veg_Inputs!$N$23))*F21</f>
        <v>0</v>
      </c>
      <c r="AE21" s="122">
        <f>IF(B21=1,Veg_Inputs!$O$21,AE20*(1+Veg_Inputs!$N$23))*F21</f>
        <v>0</v>
      </c>
      <c r="AF21" s="132">
        <f>IF(B21=1,Veg_Inputs!$O$22,AF20*(1+Veg_Inputs!$N$23))*F21</f>
        <v>0</v>
      </c>
      <c r="AG21" s="200">
        <f t="shared" si="31"/>
        <v>268388.17987909116</v>
      </c>
      <c r="AH21" s="86">
        <f t="shared" si="13"/>
        <v>47585.891428928124</v>
      </c>
      <c r="AI21" s="225">
        <f t="shared" si="14"/>
        <v>0.15060062122167053</v>
      </c>
      <c r="AJ21" s="220">
        <f>Deprec!I20</f>
        <v>11627.425336927225</v>
      </c>
      <c r="AK21" s="86">
        <f t="shared" si="15"/>
        <v>35958.466092000897</v>
      </c>
      <c r="AL21" s="455">
        <f t="shared" si="32"/>
        <v>5036.8779999591061</v>
      </c>
      <c r="AM21" s="86">
        <f t="shared" si="33"/>
        <v>30921.588092041791</v>
      </c>
      <c r="AN21" s="438">
        <f>IF(AM21&lt;0,0,(AM21*Veg_Inputs!$J$14))</f>
        <v>9276.476427612537</v>
      </c>
      <c r="AO21" s="86">
        <f t="shared" si="34"/>
        <v>21645.111664429256</v>
      </c>
      <c r="AP21" s="226">
        <f t="shared" si="16"/>
        <v>6.8502809660382136E-2</v>
      </c>
      <c r="AS21" s="196">
        <f t="shared" si="17"/>
        <v>315974.07130801928</v>
      </c>
      <c r="AT21" s="86">
        <f t="shared" si="18"/>
        <v>268388.17987909116</v>
      </c>
      <c r="AU21" s="197">
        <f t="shared" si="35"/>
        <v>47585.891428928124</v>
      </c>
      <c r="AV21" s="218">
        <f>IF(B21=0,Veg_Inputs!$C$29,0)</f>
        <v>0</v>
      </c>
      <c r="AW21" s="198">
        <f t="shared" si="5"/>
        <v>0</v>
      </c>
      <c r="AX21" s="197">
        <f t="shared" si="6"/>
        <v>47585.891428928124</v>
      </c>
      <c r="AY21" s="184">
        <f>IF(B21=0,Veg_Inputs!$G$15+Veg_Inputs!$G$16,0)</f>
        <v>0</v>
      </c>
      <c r="AZ21" s="185">
        <f>IF(B21=0,Veg_Inputs!$G$14,0)</f>
        <v>0</v>
      </c>
      <c r="BA21" s="200">
        <f t="shared" si="7"/>
        <v>0</v>
      </c>
      <c r="BB21" s="196">
        <f t="shared" si="8"/>
        <v>47585.891428928124</v>
      </c>
      <c r="BC21" s="218">
        <f>Veg_Inputs!$G$20*AVERAGE(BR21,BS21)</f>
        <v>0</v>
      </c>
      <c r="BD21" s="200">
        <f t="shared" si="9"/>
        <v>9276.476427612537</v>
      </c>
      <c r="BE21" s="200">
        <f t="shared" si="19"/>
        <v>47585.891428928124</v>
      </c>
      <c r="BF21" s="86">
        <f t="shared" si="20"/>
        <v>38309.415001315589</v>
      </c>
      <c r="BG21" s="197">
        <f t="shared" si="21"/>
        <v>38309.415001315589</v>
      </c>
      <c r="BH21" s="86">
        <f t="shared" si="36"/>
        <v>34737.089654890391</v>
      </c>
      <c r="BI21" s="86">
        <f t="shared" si="37"/>
        <v>0</v>
      </c>
      <c r="BJ21" s="122">
        <f>-Debt_Calc!AG19</f>
        <v>5036.8779999591061</v>
      </c>
      <c r="BK21" s="122">
        <f>Debt_Calc!AH19</f>
        <v>34737.089654890398</v>
      </c>
      <c r="BL21" s="86">
        <f t="shared" si="22"/>
        <v>39773.967654849504</v>
      </c>
      <c r="BM21" s="423">
        <f t="shared" si="38"/>
        <v>0.96317811020909427</v>
      </c>
      <c r="BN21" s="86">
        <f t="shared" si="39"/>
        <v>-1464.5526535339159</v>
      </c>
      <c r="BO21" s="86">
        <f t="shared" si="23"/>
        <v>7811.9237740786211</v>
      </c>
      <c r="BP21" s="86">
        <f t="shared" si="40"/>
        <v>-1464.5526535339159</v>
      </c>
      <c r="BQ21" s="86">
        <f t="shared" si="24"/>
        <v>0</v>
      </c>
      <c r="BR21" s="86">
        <f t="shared" si="25"/>
        <v>0</v>
      </c>
      <c r="BS21" s="86">
        <f t="shared" si="10"/>
        <v>0</v>
      </c>
      <c r="BT21" s="86">
        <f t="shared" si="26"/>
        <v>-68445.025562325536</v>
      </c>
      <c r="BU21" s="86">
        <f t="shared" si="41"/>
        <v>0</v>
      </c>
      <c r="BV21" s="214">
        <f t="shared" si="11"/>
        <v>-436.6539068631738</v>
      </c>
    </row>
    <row r="22" spans="2:74" s="86" customFormat="1" x14ac:dyDescent="0.3">
      <c r="B22" s="192">
        <f t="shared" si="27"/>
        <v>11</v>
      </c>
      <c r="C22" s="350">
        <f t="shared" si="12"/>
        <v>2032</v>
      </c>
      <c r="D22" s="351">
        <f t="shared" si="28"/>
        <v>48214</v>
      </c>
      <c r="E22" s="441">
        <f t="shared" si="28"/>
        <v>48579</v>
      </c>
      <c r="F22" s="445">
        <f>IF(AND(B22&gt;0,B22&lt;=Veg_Inputs!$J$17),1,0)</f>
        <v>1</v>
      </c>
      <c r="G22" s="447">
        <f>IF(F22=1,Veg_Inputs!$G$31,0)</f>
        <v>78650</v>
      </c>
      <c r="H22" s="348">
        <f>IF(AND(F21=0,F22=1),100%,IF(AND(F21=0,F22=0),100%,H21-Veg_Inputs!$G$45))*F22</f>
        <v>0.99500000000000055</v>
      </c>
      <c r="I22" s="216">
        <f t="shared" si="29"/>
        <v>78256.750000000044</v>
      </c>
      <c r="J22" s="219">
        <f>Veg_Inputs!$J$11</f>
        <v>0.01</v>
      </c>
      <c r="K22" s="444">
        <f>IF(B22=1,Veg_Inputs!$R$15,K21*(1+Veg_CashFlows!J22))*F22</f>
        <v>4.0759873597890994</v>
      </c>
      <c r="L22" s="338">
        <f>IF(B22=1,Veg_Inputs!$R$16,L21*(1+Veg_CashFlows!J22))*F22</f>
        <v>4.0759873597890994</v>
      </c>
      <c r="M22" s="122">
        <f>K22*I22*Veg_Inputs!$J$9</f>
        <v>159486.76190908789</v>
      </c>
      <c r="N22" s="222">
        <f>L22*I22*Veg_Inputs!$J$10</f>
        <v>159486.76190908789</v>
      </c>
      <c r="O22" s="423">
        <f t="shared" si="30"/>
        <v>0</v>
      </c>
      <c r="P22" s="122">
        <f>SUM(M22:O22)+IF(B22=Veg_Inputs!$J$17,Veg_Inputs!$J$19,0)</f>
        <v>318973.52381817577</v>
      </c>
      <c r="Q22" s="218">
        <f>IF(B22=1,Veg_Inputs!$O$7,Q21*(1+Veg_Inputs!$N$23))*F22</f>
        <v>196509.59643433831</v>
      </c>
      <c r="R22" s="122">
        <f>IF(B22=1,Veg_Inputs!$O$8,R21*(1+Veg_Inputs!$N$23))*F22</f>
        <v>6075.4216897616252</v>
      </c>
      <c r="S22" s="122">
        <f>IF(B22=1,Veg_Inputs!$O$9,S21*(1+Veg_Inputs!$N$23))*F22</f>
        <v>32109.778221841607</v>
      </c>
      <c r="T22" s="122">
        <f>IF(B22=1,Veg_Inputs!$O$10,T21*(1+Veg_Inputs!$N$23))*F22</f>
        <v>5939.9491649470428</v>
      </c>
      <c r="U22" s="122">
        <f>IF(B22=1,Veg_Inputs!$O$11,U21*(1+Veg_Inputs!$N$23))*F22</f>
        <v>7166.0499499722018</v>
      </c>
      <c r="V22" s="122">
        <f>IF(B22=1,Veg_Inputs!$O$12,V21*(1+Veg_Inputs!$N$23))*F22</f>
        <v>101.8996839947275</v>
      </c>
      <c r="W22" s="122">
        <f>IF(B22=1,Veg_Inputs!$O$13,W21*(1+Veg_Inputs!$N$23))*F22</f>
        <v>0</v>
      </c>
      <c r="X22" s="122">
        <f>IF(B22=1,Veg_Inputs!$O$14,X21*(1+Veg_Inputs!$N$23))*F22</f>
        <v>1602.8820292370638</v>
      </c>
      <c r="Y22" s="122">
        <f>IF(B22=1,Veg_Inputs!$O$15,Y21*(1+Veg_Inputs!$N$23))*F22</f>
        <v>1602.8820292370638</v>
      </c>
      <c r="Z22" s="122">
        <f>IF(B22=1,Veg_Inputs!$O$16,Z21*(1+Veg_Inputs!$N$23))*F22</f>
        <v>11890.042095713663</v>
      </c>
      <c r="AA22" s="122">
        <f>IF(B22=1,Veg_Inputs!$O$17,AA21*(1+Veg_Inputs!$N$23))*F22</f>
        <v>8073.5603788387798</v>
      </c>
      <c r="AB22" s="181">
        <f>IF(B22=1,Veg_Inputs!$O$18,AB21*(1+Veg_Inputs!$N$23))*F22</f>
        <v>0</v>
      </c>
      <c r="AC22" s="482">
        <f>IF(B22=1,Veg_Inputs!$O$19,AC21*(1+Veg_Inputs!$N$23))*F22</f>
        <v>0</v>
      </c>
      <c r="AD22" s="122">
        <f>IF(B22=1,Veg_Inputs!$O$20,AD21*(1+Veg_Inputs!$N$23))*F22</f>
        <v>0</v>
      </c>
      <c r="AE22" s="122">
        <f>IF(B22=1,Veg_Inputs!$O$21,AE21*(1+Veg_Inputs!$N$23))*F22</f>
        <v>0</v>
      </c>
      <c r="AF22" s="132">
        <f>IF(B22=1,Veg_Inputs!$O$22,AF21*(1+Veg_Inputs!$N$23))*F22</f>
        <v>0</v>
      </c>
      <c r="AG22" s="200">
        <f t="shared" si="31"/>
        <v>271072.06167788204</v>
      </c>
      <c r="AH22" s="86">
        <f t="shared" si="13"/>
        <v>47901.462140293734</v>
      </c>
      <c r="AI22" s="225">
        <f t="shared" si="14"/>
        <v>0.15017378736298806</v>
      </c>
      <c r="AJ22" s="220">
        <f>Deprec!I21</f>
        <v>11627.425336927225</v>
      </c>
      <c r="AK22" s="86">
        <f t="shared" si="15"/>
        <v>36274.036803366507</v>
      </c>
      <c r="AL22" s="455">
        <f t="shared" si="32"/>
        <v>0</v>
      </c>
      <c r="AM22" s="86">
        <f t="shared" si="33"/>
        <v>36274.036803366507</v>
      </c>
      <c r="AN22" s="438">
        <f>IF(AM22&lt;0,0,(AM22*Veg_Inputs!$J$14))</f>
        <v>10882.211041009952</v>
      </c>
      <c r="AO22" s="86">
        <f t="shared" si="34"/>
        <v>25391.825762356555</v>
      </c>
      <c r="AP22" s="226">
        <f t="shared" si="16"/>
        <v>7.9604806876794693E-2</v>
      </c>
      <c r="AS22" s="196">
        <f t="shared" si="17"/>
        <v>318973.52381817577</v>
      </c>
      <c r="AT22" s="86">
        <f t="shared" si="18"/>
        <v>271072.06167788204</v>
      </c>
      <c r="AU22" s="197">
        <f t="shared" si="35"/>
        <v>47901.462140293734</v>
      </c>
      <c r="AV22" s="218">
        <f>IF(B22=0,Veg_Inputs!$C$29,0)</f>
        <v>0</v>
      </c>
      <c r="AW22" s="198">
        <f t="shared" si="5"/>
        <v>0</v>
      </c>
      <c r="AX22" s="197">
        <f t="shared" si="6"/>
        <v>47901.462140293734</v>
      </c>
      <c r="AY22" s="184">
        <f>IF(B22=0,Veg_Inputs!$G$15+Veg_Inputs!$G$16,0)</f>
        <v>0</v>
      </c>
      <c r="AZ22" s="185">
        <f>IF(B22=0,Veg_Inputs!$G$14,0)</f>
        <v>0</v>
      </c>
      <c r="BA22" s="200">
        <f t="shared" si="7"/>
        <v>0</v>
      </c>
      <c r="BB22" s="196">
        <f t="shared" si="8"/>
        <v>47901.462140293734</v>
      </c>
      <c r="BC22" s="218">
        <f>Veg_Inputs!$G$20*AVERAGE(BR22,BS22)</f>
        <v>0</v>
      </c>
      <c r="BD22" s="200">
        <f t="shared" si="9"/>
        <v>10882.211041009952</v>
      </c>
      <c r="BE22" s="200">
        <f t="shared" si="19"/>
        <v>47901.462140293734</v>
      </c>
      <c r="BF22" s="86">
        <f t="shared" si="20"/>
        <v>37019.251099283778</v>
      </c>
      <c r="BG22" s="197">
        <f t="shared" si="21"/>
        <v>37019.251099283778</v>
      </c>
      <c r="BH22" s="86">
        <f t="shared" si="36"/>
        <v>0</v>
      </c>
      <c r="BI22" s="86">
        <f t="shared" si="37"/>
        <v>0</v>
      </c>
      <c r="BJ22" s="122">
        <f>-Debt_Calc!AG20</f>
        <v>0</v>
      </c>
      <c r="BK22" s="122">
        <f>Debt_Calc!AH20</f>
        <v>0</v>
      </c>
      <c r="BL22" s="86">
        <f t="shared" si="22"/>
        <v>0</v>
      </c>
      <c r="BM22" s="423">
        <f t="shared" si="38"/>
        <v>0</v>
      </c>
      <c r="BN22" s="86">
        <f t="shared" si="39"/>
        <v>37019.251099283778</v>
      </c>
      <c r="BO22" s="86">
        <f t="shared" si="23"/>
        <v>47901.462140293734</v>
      </c>
      <c r="BP22" s="86">
        <f t="shared" si="40"/>
        <v>37019.251099283778</v>
      </c>
      <c r="BQ22" s="86">
        <f t="shared" si="24"/>
        <v>0</v>
      </c>
      <c r="BR22" s="86">
        <f t="shared" si="25"/>
        <v>0</v>
      </c>
      <c r="BS22" s="86">
        <f t="shared" si="10"/>
        <v>0</v>
      </c>
      <c r="BT22" s="86">
        <f t="shared" si="26"/>
        <v>-31425.774463041758</v>
      </c>
      <c r="BU22" s="86">
        <f t="shared" si="41"/>
        <v>0</v>
      </c>
      <c r="BV22" s="214">
        <f t="shared" si="11"/>
        <v>9779.1976749117493</v>
      </c>
    </row>
    <row r="23" spans="2:74" s="86" customFormat="1" x14ac:dyDescent="0.3">
      <c r="B23" s="192">
        <f t="shared" si="27"/>
        <v>12</v>
      </c>
      <c r="C23" s="350">
        <f t="shared" si="12"/>
        <v>2033</v>
      </c>
      <c r="D23" s="351">
        <f t="shared" si="28"/>
        <v>48580</v>
      </c>
      <c r="E23" s="441">
        <f t="shared" si="28"/>
        <v>48944</v>
      </c>
      <c r="F23" s="445">
        <f>IF(AND(B23&gt;0,B23&lt;=Veg_Inputs!$J$17),1,0)</f>
        <v>1</v>
      </c>
      <c r="G23" s="447">
        <f>IF(F23=1,Veg_Inputs!$G$31,0)</f>
        <v>78650</v>
      </c>
      <c r="H23" s="348">
        <f>IF(AND(F22=0,F23=1),100%,IF(AND(F22=0,F23=0),100%,H22-Veg_Inputs!$G$45))*F23</f>
        <v>0.99450000000000061</v>
      </c>
      <c r="I23" s="216">
        <f t="shared" si="29"/>
        <v>78217.425000000047</v>
      </c>
      <c r="J23" s="219">
        <f>Veg_Inputs!$J$11</f>
        <v>0.01</v>
      </c>
      <c r="K23" s="444">
        <f>IF(B23=1,Veg_Inputs!$R$15,K22*(1+Veg_CashFlows!J23))*F23</f>
        <v>4.1167472333869908</v>
      </c>
      <c r="L23" s="338">
        <f>IF(B23=1,Veg_Inputs!$R$16,L22*(1+Veg_CashFlows!J23))*F23</f>
        <v>4.1167472333869908</v>
      </c>
      <c r="M23" s="122">
        <f>K23*I23*Veg_Inputs!$J$9</f>
        <v>161000.68398570232</v>
      </c>
      <c r="N23" s="222">
        <f>L23*I23*Veg_Inputs!$J$10</f>
        <v>161000.68398570232</v>
      </c>
      <c r="O23" s="423">
        <f t="shared" si="30"/>
        <v>0</v>
      </c>
      <c r="P23" s="122">
        <f>SUM(M23:O23)+IF(B23=Veg_Inputs!$J$17,Veg_Inputs!$J$19,0)</f>
        <v>322001.36797140463</v>
      </c>
      <c r="Q23" s="218">
        <f>IF(B23=1,Veg_Inputs!$O$7,Q22*(1+Veg_Inputs!$N$23))*F23</f>
        <v>198474.69239868168</v>
      </c>
      <c r="R23" s="122">
        <f>IF(B23=1,Veg_Inputs!$O$8,R22*(1+Veg_Inputs!$N$23))*F23</f>
        <v>6136.1759066592413</v>
      </c>
      <c r="S23" s="122">
        <f>IF(B23=1,Veg_Inputs!$O$9,S22*(1+Veg_Inputs!$N$23))*F23</f>
        <v>32430.876004060025</v>
      </c>
      <c r="T23" s="122">
        <f>IF(B23=1,Veg_Inputs!$O$10,T22*(1+Veg_Inputs!$N$23))*F23</f>
        <v>5999.3486565965131</v>
      </c>
      <c r="U23" s="122">
        <f>IF(B23=1,Veg_Inputs!$O$11,U22*(1+Veg_Inputs!$N$23))*F23</f>
        <v>7237.7104494719242</v>
      </c>
      <c r="V23" s="122">
        <f>IF(B23=1,Veg_Inputs!$O$12,V22*(1+Veg_Inputs!$N$23))*F23</f>
        <v>102.91868083467477</v>
      </c>
      <c r="W23" s="122">
        <f>IF(B23=1,Veg_Inputs!$O$13,W22*(1+Veg_Inputs!$N$23))*F23</f>
        <v>0</v>
      </c>
      <c r="X23" s="122">
        <f>IF(B23=1,Veg_Inputs!$O$14,X22*(1+Veg_Inputs!$N$23))*F23</f>
        <v>1618.9108495294345</v>
      </c>
      <c r="Y23" s="122">
        <f>IF(B23=1,Veg_Inputs!$O$15,Y22*(1+Veg_Inputs!$N$23))*F23</f>
        <v>1618.9108495294345</v>
      </c>
      <c r="Z23" s="122">
        <f>IF(B23=1,Veg_Inputs!$O$16,Z22*(1+Veg_Inputs!$N$23))*F23</f>
        <v>12008.942516670801</v>
      </c>
      <c r="AA23" s="122">
        <f>IF(B23=1,Veg_Inputs!$O$17,AA22*(1+Veg_Inputs!$N$23))*F23</f>
        <v>8154.2959826271681</v>
      </c>
      <c r="AB23" s="181">
        <f>IF(B23=1,Veg_Inputs!$O$18,AB22*(1+Veg_Inputs!$N$23))*F23</f>
        <v>0</v>
      </c>
      <c r="AC23" s="482">
        <f>IF(B23=1,Veg_Inputs!$O$19,AC22*(1+Veg_Inputs!$N$23))*F23</f>
        <v>0</v>
      </c>
      <c r="AD23" s="122">
        <f>IF(B23=1,Veg_Inputs!$O$20,AD22*(1+Veg_Inputs!$N$23))*F23</f>
        <v>0</v>
      </c>
      <c r="AE23" s="122">
        <f>IF(B23=1,Veg_Inputs!$O$21,AE22*(1+Veg_Inputs!$N$23))*F23</f>
        <v>0</v>
      </c>
      <c r="AF23" s="132">
        <f>IF(B23=1,Veg_Inputs!$O$22,AF22*(1+Veg_Inputs!$N$23))*F23</f>
        <v>0</v>
      </c>
      <c r="AG23" s="200">
        <f t="shared" si="31"/>
        <v>273782.78229466086</v>
      </c>
      <c r="AH23" s="86">
        <f t="shared" si="13"/>
        <v>48218.585676743765</v>
      </c>
      <c r="AI23" s="225">
        <f t="shared" si="14"/>
        <v>0.14974652430987753</v>
      </c>
      <c r="AJ23" s="220">
        <f>Deprec!I22</f>
        <v>11627.425336927225</v>
      </c>
      <c r="AK23" s="86">
        <f t="shared" si="15"/>
        <v>36591.160339816539</v>
      </c>
      <c r="AL23" s="455">
        <f t="shared" si="32"/>
        <v>0</v>
      </c>
      <c r="AM23" s="86">
        <f t="shared" si="33"/>
        <v>36591.160339816539</v>
      </c>
      <c r="AN23" s="438">
        <f>IF(AM23&lt;0,0,(AM23*Veg_Inputs!$J$14))</f>
        <v>10977.348101944961</v>
      </c>
      <c r="AO23" s="86">
        <f t="shared" si="34"/>
        <v>25613.812237871578</v>
      </c>
      <c r="AP23" s="226">
        <f t="shared" si="16"/>
        <v>7.9545662800246913E-2</v>
      </c>
      <c r="AS23" s="196">
        <f t="shared" si="17"/>
        <v>322001.36797140463</v>
      </c>
      <c r="AT23" s="86">
        <f t="shared" si="18"/>
        <v>273782.78229466086</v>
      </c>
      <c r="AU23" s="197">
        <f t="shared" si="35"/>
        <v>48218.585676743765</v>
      </c>
      <c r="AV23" s="218">
        <f>IF(B23=0,Veg_Inputs!$C$29,0)</f>
        <v>0</v>
      </c>
      <c r="AW23" s="198">
        <f t="shared" si="5"/>
        <v>0</v>
      </c>
      <c r="AX23" s="197">
        <f t="shared" si="6"/>
        <v>48218.585676743765</v>
      </c>
      <c r="AY23" s="184">
        <f>IF(B23=0,Veg_Inputs!$G$15+Veg_Inputs!$G$16,0)</f>
        <v>0</v>
      </c>
      <c r="AZ23" s="185">
        <f>IF(B23=0,Veg_Inputs!$G$14,0)</f>
        <v>0</v>
      </c>
      <c r="BA23" s="200">
        <f t="shared" si="7"/>
        <v>0</v>
      </c>
      <c r="BB23" s="196">
        <f t="shared" si="8"/>
        <v>48218.585676743765</v>
      </c>
      <c r="BC23" s="218">
        <f>Veg_Inputs!$G$20*AVERAGE(BR23,BS23)</f>
        <v>0</v>
      </c>
      <c r="BD23" s="200">
        <f t="shared" si="9"/>
        <v>10977.348101944961</v>
      </c>
      <c r="BE23" s="200">
        <f t="shared" si="19"/>
        <v>48218.585676743765</v>
      </c>
      <c r="BF23" s="86">
        <f t="shared" si="20"/>
        <v>37241.237574798804</v>
      </c>
      <c r="BG23" s="197">
        <f t="shared" si="21"/>
        <v>37241.237574798804</v>
      </c>
      <c r="BH23" s="86">
        <f t="shared" si="36"/>
        <v>0</v>
      </c>
      <c r="BI23" s="86">
        <f t="shared" si="37"/>
        <v>0</v>
      </c>
      <c r="BJ23" s="122">
        <f>-Debt_Calc!AG21</f>
        <v>0</v>
      </c>
      <c r="BK23" s="122">
        <f>Debt_Calc!AH21</f>
        <v>0</v>
      </c>
      <c r="BL23" s="86">
        <f t="shared" si="22"/>
        <v>0</v>
      </c>
      <c r="BM23" s="423">
        <f t="shared" si="38"/>
        <v>0</v>
      </c>
      <c r="BN23" s="86">
        <f t="shared" si="39"/>
        <v>37241.237574798804</v>
      </c>
      <c r="BO23" s="86">
        <f t="shared" si="23"/>
        <v>48218.585676743765</v>
      </c>
      <c r="BP23" s="86">
        <f t="shared" si="40"/>
        <v>37241.237574798804</v>
      </c>
      <c r="BQ23" s="86">
        <f t="shared" si="24"/>
        <v>0</v>
      </c>
      <c r="BR23" s="86">
        <f t="shared" si="25"/>
        <v>0</v>
      </c>
      <c r="BS23" s="86">
        <f t="shared" si="10"/>
        <v>0</v>
      </c>
      <c r="BT23" s="86">
        <f t="shared" si="26"/>
        <v>5815.4631117570461</v>
      </c>
      <c r="BU23" s="86">
        <f t="shared" si="41"/>
        <v>1</v>
      </c>
      <c r="BV23" s="214">
        <f t="shared" si="11"/>
        <v>8716.5161066047913</v>
      </c>
    </row>
    <row r="24" spans="2:74" s="86" customFormat="1" x14ac:dyDescent="0.3">
      <c r="B24" s="192">
        <f t="shared" si="27"/>
        <v>13</v>
      </c>
      <c r="C24" s="350">
        <f t="shared" si="12"/>
        <v>2034</v>
      </c>
      <c r="D24" s="351">
        <f t="shared" si="28"/>
        <v>48945</v>
      </c>
      <c r="E24" s="441">
        <f t="shared" si="28"/>
        <v>49309</v>
      </c>
      <c r="F24" s="445">
        <f>IF(AND(B24&gt;0,B24&lt;=Veg_Inputs!$J$17),1,0)</f>
        <v>1</v>
      </c>
      <c r="G24" s="447">
        <f>IF(F24=1,Veg_Inputs!$G$31,0)</f>
        <v>78650</v>
      </c>
      <c r="H24" s="348">
        <f>IF(AND(F23=0,F24=1),100%,IF(AND(F23=0,F24=0),100%,H23-Veg_Inputs!$G$45))*F24</f>
        <v>0.99400000000000066</v>
      </c>
      <c r="I24" s="216">
        <f t="shared" si="29"/>
        <v>78178.100000000049</v>
      </c>
      <c r="J24" s="219">
        <f>Veg_Inputs!$J$11</f>
        <v>0.01</v>
      </c>
      <c r="K24" s="444">
        <f>IF(B24=1,Veg_Inputs!$R$15,K23*(1+Veg_CashFlows!J24))*F24</f>
        <v>4.1579147057208603</v>
      </c>
      <c r="L24" s="338">
        <f>IF(B24=1,Veg_Inputs!$R$16,L23*(1+Veg_CashFlows!J24))*F24</f>
        <v>4.1579147057208603</v>
      </c>
      <c r="M24" s="122">
        <f>K24*I24*Veg_Inputs!$J$9</f>
        <v>162528.9358276581</v>
      </c>
      <c r="N24" s="222">
        <f>L24*I24*Veg_Inputs!$J$10</f>
        <v>162528.9358276581</v>
      </c>
      <c r="O24" s="423">
        <f t="shared" si="30"/>
        <v>0</v>
      </c>
      <c r="P24" s="122">
        <f>SUM(M24:O24)+IF(B24=Veg_Inputs!$J$17,Veg_Inputs!$J$19,0)</f>
        <v>325057.87165531621</v>
      </c>
      <c r="Q24" s="218">
        <f>IF(B24=1,Veg_Inputs!$O$7,Q23*(1+Veg_Inputs!$N$23))*F24</f>
        <v>200459.43932266851</v>
      </c>
      <c r="R24" s="122">
        <f>IF(B24=1,Veg_Inputs!$O$8,R23*(1+Veg_Inputs!$N$23))*F24</f>
        <v>6197.5376657258339</v>
      </c>
      <c r="S24" s="122">
        <f>IF(B24=1,Veg_Inputs!$O$9,S23*(1+Veg_Inputs!$N$23))*F24</f>
        <v>32755.184764100624</v>
      </c>
      <c r="T24" s="122">
        <f>IF(B24=1,Veg_Inputs!$O$10,T23*(1+Veg_Inputs!$N$23))*F24</f>
        <v>6059.3421431624784</v>
      </c>
      <c r="U24" s="122">
        <f>IF(B24=1,Veg_Inputs!$O$11,U23*(1+Veg_Inputs!$N$23))*F24</f>
        <v>7310.0875539666431</v>
      </c>
      <c r="V24" s="122">
        <f>IF(B24=1,Veg_Inputs!$O$12,V23*(1+Veg_Inputs!$N$23))*F24</f>
        <v>103.94786764302152</v>
      </c>
      <c r="W24" s="122">
        <f>IF(B24=1,Veg_Inputs!$O$13,W23*(1+Veg_Inputs!$N$23))*F24</f>
        <v>0</v>
      </c>
      <c r="X24" s="122">
        <f>IF(B24=1,Veg_Inputs!$O$14,X23*(1+Veg_Inputs!$N$23))*F24</f>
        <v>1635.0999580247287</v>
      </c>
      <c r="Y24" s="122">
        <f>IF(B24=1,Veg_Inputs!$O$15,Y23*(1+Veg_Inputs!$N$23))*F24</f>
        <v>1635.0999580247287</v>
      </c>
      <c r="Z24" s="122">
        <f>IF(B24=1,Veg_Inputs!$O$16,Z23*(1+Veg_Inputs!$N$23))*F24</f>
        <v>12129.031941837509</v>
      </c>
      <c r="AA24" s="122">
        <f>IF(B24=1,Veg_Inputs!$O$17,AA23*(1+Veg_Inputs!$N$23))*F24</f>
        <v>8235.8389424534398</v>
      </c>
      <c r="AB24" s="181">
        <f>IF(B24=1,Veg_Inputs!$O$18,AB23*(1+Veg_Inputs!$N$23))*F24</f>
        <v>0</v>
      </c>
      <c r="AC24" s="482">
        <f>IF(B24=1,Veg_Inputs!$O$19,AC23*(1+Veg_Inputs!$N$23))*F24</f>
        <v>0</v>
      </c>
      <c r="AD24" s="122">
        <f>IF(B24=1,Veg_Inputs!$O$20,AD23*(1+Veg_Inputs!$N$23))*F24</f>
        <v>0</v>
      </c>
      <c r="AE24" s="122">
        <f>IF(B24=1,Veg_Inputs!$O$21,AE23*(1+Veg_Inputs!$N$23))*F24</f>
        <v>0</v>
      </c>
      <c r="AF24" s="132">
        <f>IF(B24=1,Veg_Inputs!$O$22,AF23*(1+Veg_Inputs!$N$23))*F24</f>
        <v>0</v>
      </c>
      <c r="AG24" s="200">
        <f t="shared" si="31"/>
        <v>276520.61011760746</v>
      </c>
      <c r="AH24" s="86">
        <f t="shared" si="13"/>
        <v>48537.26153770875</v>
      </c>
      <c r="AI24" s="225">
        <f t="shared" si="14"/>
        <v>0.14931883141466123</v>
      </c>
      <c r="AJ24" s="220">
        <f>Deprec!I23</f>
        <v>11627.425336927225</v>
      </c>
      <c r="AK24" s="86">
        <f t="shared" si="15"/>
        <v>36909.836200781523</v>
      </c>
      <c r="AL24" s="455">
        <f t="shared" si="32"/>
        <v>0</v>
      </c>
      <c r="AM24" s="86">
        <f t="shared" si="33"/>
        <v>36909.836200781523</v>
      </c>
      <c r="AN24" s="438">
        <f>IF(AM24&lt;0,0,(AM24*Veg_Inputs!$J$14))</f>
        <v>11072.950860234456</v>
      </c>
      <c r="AO24" s="86">
        <f t="shared" si="34"/>
        <v>25836.885340547065</v>
      </c>
      <c r="AP24" s="226">
        <f t="shared" si="16"/>
        <v>7.9483955299947007E-2</v>
      </c>
      <c r="AS24" s="196">
        <f t="shared" si="17"/>
        <v>325057.87165531621</v>
      </c>
      <c r="AT24" s="86">
        <f t="shared" si="18"/>
        <v>276520.61011760746</v>
      </c>
      <c r="AU24" s="197">
        <f t="shared" si="35"/>
        <v>48537.26153770875</v>
      </c>
      <c r="AV24" s="218">
        <f>IF(B24=0,Veg_Inputs!$C$29,0)</f>
        <v>0</v>
      </c>
      <c r="AW24" s="198">
        <f t="shared" si="5"/>
        <v>0</v>
      </c>
      <c r="AX24" s="197">
        <f t="shared" si="6"/>
        <v>48537.26153770875</v>
      </c>
      <c r="AY24" s="184">
        <f>IF(B24=0,Veg_Inputs!$G$15+Veg_Inputs!$G$16,0)</f>
        <v>0</v>
      </c>
      <c r="AZ24" s="185">
        <f>IF(B24=0,Veg_Inputs!$G$14,0)</f>
        <v>0</v>
      </c>
      <c r="BA24" s="200">
        <f t="shared" si="7"/>
        <v>0</v>
      </c>
      <c r="BB24" s="196">
        <f t="shared" si="8"/>
        <v>48537.26153770875</v>
      </c>
      <c r="BC24" s="218">
        <f>Veg_Inputs!$G$20*AVERAGE(BR24,BS24)</f>
        <v>0</v>
      </c>
      <c r="BD24" s="200">
        <f t="shared" si="9"/>
        <v>11072.950860234456</v>
      </c>
      <c r="BE24" s="200">
        <f t="shared" si="19"/>
        <v>48537.26153770875</v>
      </c>
      <c r="BF24" s="86">
        <f t="shared" si="20"/>
        <v>37464.310677474292</v>
      </c>
      <c r="BG24" s="197">
        <f t="shared" si="21"/>
        <v>37464.310677474292</v>
      </c>
      <c r="BH24" s="86">
        <f t="shared" si="36"/>
        <v>0</v>
      </c>
      <c r="BI24" s="86">
        <f t="shared" si="37"/>
        <v>0</v>
      </c>
      <c r="BJ24" s="122">
        <f>-Debt_Calc!AG22</f>
        <v>0</v>
      </c>
      <c r="BK24" s="122">
        <f>Debt_Calc!AH22</f>
        <v>0</v>
      </c>
      <c r="BL24" s="86">
        <f t="shared" si="22"/>
        <v>0</v>
      </c>
      <c r="BM24" s="423">
        <f t="shared" si="38"/>
        <v>0</v>
      </c>
      <c r="BN24" s="86">
        <f t="shared" si="39"/>
        <v>37464.310677474292</v>
      </c>
      <c r="BO24" s="86">
        <f t="shared" si="23"/>
        <v>48537.26153770875</v>
      </c>
      <c r="BP24" s="86">
        <f t="shared" si="40"/>
        <v>37464.310677474292</v>
      </c>
      <c r="BQ24" s="86">
        <f t="shared" si="24"/>
        <v>0</v>
      </c>
      <c r="BR24" s="86">
        <f t="shared" si="25"/>
        <v>0</v>
      </c>
      <c r="BS24" s="86">
        <f t="shared" si="10"/>
        <v>0</v>
      </c>
      <c r="BT24" s="86">
        <f t="shared" si="26"/>
        <v>43279.773789231338</v>
      </c>
      <c r="BU24" s="86">
        <f t="shared" si="41"/>
        <v>2</v>
      </c>
      <c r="BV24" s="214">
        <f t="shared" si="11"/>
        <v>7769.262845789247</v>
      </c>
    </row>
    <row r="25" spans="2:74" s="86" customFormat="1" x14ac:dyDescent="0.3">
      <c r="B25" s="192">
        <f t="shared" si="27"/>
        <v>14</v>
      </c>
      <c r="C25" s="350">
        <f t="shared" si="12"/>
        <v>2035</v>
      </c>
      <c r="D25" s="351">
        <f t="shared" si="28"/>
        <v>49310</v>
      </c>
      <c r="E25" s="441">
        <f t="shared" si="28"/>
        <v>49674</v>
      </c>
      <c r="F25" s="445">
        <f>IF(AND(B25&gt;0,B25&lt;=Veg_Inputs!$J$17),1,0)</f>
        <v>1</v>
      </c>
      <c r="G25" s="447">
        <f>IF(F25=1,Veg_Inputs!$G$31,0)</f>
        <v>78650</v>
      </c>
      <c r="H25" s="348">
        <f>IF(AND(F24=0,F25=1),100%,IF(AND(F24=0,F25=0),100%,H24-Veg_Inputs!$G$45))*F25</f>
        <v>0.99350000000000072</v>
      </c>
      <c r="I25" s="216">
        <f t="shared" si="29"/>
        <v>78138.775000000052</v>
      </c>
      <c r="J25" s="219">
        <f>Veg_Inputs!$J$11</f>
        <v>0.01</v>
      </c>
      <c r="K25" s="444">
        <f>IF(B25=1,Veg_Inputs!$R$15,K24*(1+Veg_CashFlows!J25))*F25</f>
        <v>4.199493852778069</v>
      </c>
      <c r="L25" s="338">
        <f>IF(B25=1,Veg_Inputs!$R$16,L24*(1+Veg_CashFlows!J25))*F25</f>
        <v>4.199493852778069</v>
      </c>
      <c r="M25" s="122">
        <f>K25*I25*Veg_Inputs!$J$9</f>
        <v>164071.65263805442</v>
      </c>
      <c r="N25" s="222">
        <f>L25*I25*Veg_Inputs!$J$10</f>
        <v>164071.65263805442</v>
      </c>
      <c r="O25" s="423">
        <f t="shared" si="30"/>
        <v>0</v>
      </c>
      <c r="P25" s="122">
        <f>SUM(M25:O25)+IF(B25=Veg_Inputs!$J$17,Veg_Inputs!$J$19,0)</f>
        <v>328143.30527610885</v>
      </c>
      <c r="Q25" s="218">
        <f>IF(B25=1,Veg_Inputs!$O$7,Q24*(1+Veg_Inputs!$N$23))*F25</f>
        <v>202464.0337158952</v>
      </c>
      <c r="R25" s="122">
        <f>IF(B25=1,Veg_Inputs!$O$8,R24*(1+Veg_Inputs!$N$23))*F25</f>
        <v>6259.5130423830924</v>
      </c>
      <c r="S25" s="122">
        <f>IF(B25=1,Veg_Inputs!$O$9,S24*(1+Veg_Inputs!$N$23))*F25</f>
        <v>33082.736611741631</v>
      </c>
      <c r="T25" s="122">
        <f>IF(B25=1,Veg_Inputs!$O$10,T24*(1+Veg_Inputs!$N$23))*F25</f>
        <v>6119.9355645941032</v>
      </c>
      <c r="U25" s="122">
        <f>IF(B25=1,Veg_Inputs!$O$11,U24*(1+Veg_Inputs!$N$23))*F25</f>
        <v>7383.1884295063091</v>
      </c>
      <c r="V25" s="122">
        <f>IF(B25=1,Veg_Inputs!$O$12,V24*(1+Veg_Inputs!$N$23))*F25</f>
        <v>104.98734631945175</v>
      </c>
      <c r="W25" s="122">
        <f>IF(B25=1,Veg_Inputs!$O$13,W24*(1+Veg_Inputs!$N$23))*F25</f>
        <v>0</v>
      </c>
      <c r="X25" s="122">
        <f>IF(B25=1,Veg_Inputs!$O$14,X24*(1+Veg_Inputs!$N$23))*F25</f>
        <v>1651.4509576049761</v>
      </c>
      <c r="Y25" s="122">
        <f>IF(B25=1,Veg_Inputs!$O$15,Y24*(1+Veg_Inputs!$N$23))*F25</f>
        <v>1651.4509576049761</v>
      </c>
      <c r="Z25" s="122">
        <f>IF(B25=1,Veg_Inputs!$O$16,Z24*(1+Veg_Inputs!$N$23))*F25</f>
        <v>12250.322261255884</v>
      </c>
      <c r="AA25" s="122">
        <f>IF(B25=1,Veg_Inputs!$O$17,AA24*(1+Veg_Inputs!$N$23))*F25</f>
        <v>8318.1973318779746</v>
      </c>
      <c r="AB25" s="181">
        <f>IF(B25=1,Veg_Inputs!$O$18,AB24*(1+Veg_Inputs!$N$23))*F25</f>
        <v>0</v>
      </c>
      <c r="AC25" s="482">
        <f>IF(B25=1,Veg_Inputs!$O$19,AC24*(1+Veg_Inputs!$N$23))*F25</f>
        <v>0</v>
      </c>
      <c r="AD25" s="122">
        <f>IF(B25=1,Veg_Inputs!$O$20,AD24*(1+Veg_Inputs!$N$23))*F25</f>
        <v>0</v>
      </c>
      <c r="AE25" s="122">
        <f>IF(B25=1,Veg_Inputs!$O$21,AE24*(1+Veg_Inputs!$N$23))*F25</f>
        <v>0</v>
      </c>
      <c r="AF25" s="132">
        <f>IF(B25=1,Veg_Inputs!$O$22,AF24*(1+Veg_Inputs!$N$23))*F25</f>
        <v>0</v>
      </c>
      <c r="AG25" s="200">
        <f t="shared" si="31"/>
        <v>279285.81621878361</v>
      </c>
      <c r="AH25" s="86">
        <f t="shared" si="13"/>
        <v>48857.489057325234</v>
      </c>
      <c r="AI25" s="225">
        <f t="shared" si="14"/>
        <v>0.14889070802835727</v>
      </c>
      <c r="AJ25" s="220">
        <f>Deprec!I24</f>
        <v>11627.425336927225</v>
      </c>
      <c r="AK25" s="86">
        <f t="shared" si="15"/>
        <v>37230.063720398008</v>
      </c>
      <c r="AL25" s="455">
        <f t="shared" si="32"/>
        <v>0</v>
      </c>
      <c r="AM25" s="86">
        <f t="shared" si="33"/>
        <v>37230.063720398008</v>
      </c>
      <c r="AN25" s="438">
        <f>IF(AM25&lt;0,0,(AM25*Veg_Inputs!$J$14))</f>
        <v>11169.019116119402</v>
      </c>
      <c r="AO25" s="86">
        <f t="shared" si="34"/>
        <v>26061.044604278606</v>
      </c>
      <c r="AP25" s="226">
        <f t="shared" si="16"/>
        <v>7.941970530939256E-2</v>
      </c>
      <c r="AS25" s="196">
        <f t="shared" si="17"/>
        <v>328143.30527610885</v>
      </c>
      <c r="AT25" s="86">
        <f t="shared" si="18"/>
        <v>279285.81621878361</v>
      </c>
      <c r="AU25" s="197">
        <f t="shared" si="35"/>
        <v>48857.489057325234</v>
      </c>
      <c r="AV25" s="218">
        <f>IF(B25=0,Veg_Inputs!$C$29,0)</f>
        <v>0</v>
      </c>
      <c r="AW25" s="198">
        <f t="shared" si="5"/>
        <v>0</v>
      </c>
      <c r="AX25" s="197">
        <f t="shared" si="6"/>
        <v>48857.489057325234</v>
      </c>
      <c r="AY25" s="184">
        <f>IF(B25=0,Veg_Inputs!$G$15+Veg_Inputs!$G$16,0)</f>
        <v>0</v>
      </c>
      <c r="AZ25" s="185">
        <f>IF(B25=0,Veg_Inputs!$G$14,0)</f>
        <v>0</v>
      </c>
      <c r="BA25" s="200">
        <f t="shared" si="7"/>
        <v>0</v>
      </c>
      <c r="BB25" s="196">
        <f t="shared" si="8"/>
        <v>48857.489057325234</v>
      </c>
      <c r="BC25" s="218">
        <f>Veg_Inputs!$G$20*AVERAGE(BR25,BS25)</f>
        <v>0</v>
      </c>
      <c r="BD25" s="200">
        <f t="shared" si="9"/>
        <v>11169.019116119402</v>
      </c>
      <c r="BE25" s="200">
        <f t="shared" si="19"/>
        <v>48857.489057325234</v>
      </c>
      <c r="BF25" s="86">
        <f t="shared" si="20"/>
        <v>37688.469941205833</v>
      </c>
      <c r="BG25" s="197">
        <f t="shared" si="21"/>
        <v>37688.469941205833</v>
      </c>
      <c r="BH25" s="86">
        <f t="shared" si="36"/>
        <v>0</v>
      </c>
      <c r="BI25" s="86">
        <f t="shared" si="37"/>
        <v>0</v>
      </c>
      <c r="BJ25" s="122">
        <f>-Debt_Calc!AG23</f>
        <v>0</v>
      </c>
      <c r="BK25" s="122">
        <f>Debt_Calc!AH23</f>
        <v>0</v>
      </c>
      <c r="BL25" s="86">
        <f t="shared" si="22"/>
        <v>0</v>
      </c>
      <c r="BM25" s="423">
        <f t="shared" si="38"/>
        <v>0</v>
      </c>
      <c r="BN25" s="86">
        <f t="shared" si="39"/>
        <v>37688.469941205833</v>
      </c>
      <c r="BO25" s="86">
        <f t="shared" si="23"/>
        <v>48857.489057325234</v>
      </c>
      <c r="BP25" s="86">
        <f t="shared" si="40"/>
        <v>37688.469941205833</v>
      </c>
      <c r="BQ25" s="86">
        <f t="shared" si="24"/>
        <v>0</v>
      </c>
      <c r="BR25" s="86">
        <f t="shared" si="25"/>
        <v>0</v>
      </c>
      <c r="BS25" s="86">
        <f t="shared" si="10"/>
        <v>0</v>
      </c>
      <c r="BT25" s="86">
        <f t="shared" si="26"/>
        <v>80968.243730437171</v>
      </c>
      <c r="BU25" s="86">
        <f t="shared" si="41"/>
        <v>2</v>
      </c>
      <c r="BV25" s="214">
        <f t="shared" si="11"/>
        <v>6924.9048561862</v>
      </c>
    </row>
    <row r="26" spans="2:74" s="86" customFormat="1" x14ac:dyDescent="0.3">
      <c r="B26" s="192">
        <f t="shared" si="27"/>
        <v>15</v>
      </c>
      <c r="C26" s="350">
        <f t="shared" si="12"/>
        <v>2036</v>
      </c>
      <c r="D26" s="351">
        <f t="shared" si="28"/>
        <v>49675</v>
      </c>
      <c r="E26" s="441">
        <f t="shared" si="28"/>
        <v>50040</v>
      </c>
      <c r="F26" s="445">
        <f>IF(AND(B26&gt;0,B26&lt;=Veg_Inputs!$J$17),1,0)</f>
        <v>1</v>
      </c>
      <c r="G26" s="447">
        <f>IF(F26=1,Veg_Inputs!$G$31,0)</f>
        <v>78650</v>
      </c>
      <c r="H26" s="348">
        <f>IF(AND(F25=0,F26=1),100%,IF(AND(F25=0,F26=0),100%,H25-Veg_Inputs!$G$45))*F26</f>
        <v>0.99300000000000077</v>
      </c>
      <c r="I26" s="216">
        <f t="shared" si="29"/>
        <v>78099.450000000055</v>
      </c>
      <c r="J26" s="219">
        <f>Veg_Inputs!$J$11</f>
        <v>0.01</v>
      </c>
      <c r="K26" s="444">
        <f>IF(B26=1,Veg_Inputs!$R$15,K25*(1+Veg_CashFlows!J26))*F26</f>
        <v>4.2414887913058497</v>
      </c>
      <c r="L26" s="338">
        <f>IF(B26=1,Veg_Inputs!$R$16,L25*(1+Veg_CashFlows!J26))*F26</f>
        <v>4.2414887913058497</v>
      </c>
      <c r="M26" s="122">
        <f>K26*I26*Veg_Inputs!$J$9</f>
        <v>165628.97089107594</v>
      </c>
      <c r="N26" s="222">
        <f>L26*I26*Veg_Inputs!$J$10</f>
        <v>165628.97089107594</v>
      </c>
      <c r="O26" s="423">
        <f t="shared" si="30"/>
        <v>0</v>
      </c>
      <c r="P26" s="122">
        <f>SUM(M26:O26)+IF(B26=Veg_Inputs!$J$17,Veg_Inputs!$J$19,0)</f>
        <v>331257.94178215187</v>
      </c>
      <c r="Q26" s="218">
        <f>IF(B26=1,Veg_Inputs!$O$7,Q25*(1+Veg_Inputs!$N$23))*F26</f>
        <v>204488.67405305416</v>
      </c>
      <c r="R26" s="122">
        <f>IF(B26=1,Veg_Inputs!$O$8,R25*(1+Veg_Inputs!$N$23))*F26</f>
        <v>6322.108172806923</v>
      </c>
      <c r="S26" s="122">
        <f>IF(B26=1,Veg_Inputs!$O$9,S25*(1+Veg_Inputs!$N$23))*F26</f>
        <v>33413.563977859048</v>
      </c>
      <c r="T26" s="122">
        <f>IF(B26=1,Veg_Inputs!$O$10,T25*(1+Veg_Inputs!$N$23))*F26</f>
        <v>6181.1349202400443</v>
      </c>
      <c r="U26" s="122">
        <f>IF(B26=1,Veg_Inputs!$O$11,U25*(1+Veg_Inputs!$N$23))*F26</f>
        <v>7457.0203138013721</v>
      </c>
      <c r="V26" s="122">
        <f>IF(B26=1,Veg_Inputs!$O$12,V25*(1+Veg_Inputs!$N$23))*F26</f>
        <v>106.03721978264626</v>
      </c>
      <c r="W26" s="122">
        <f>IF(B26=1,Veg_Inputs!$O$13,W25*(1+Veg_Inputs!$N$23))*F26</f>
        <v>0</v>
      </c>
      <c r="X26" s="122">
        <f>IF(B26=1,Veg_Inputs!$O$14,X25*(1+Veg_Inputs!$N$23))*F26</f>
        <v>1667.9654671810258</v>
      </c>
      <c r="Y26" s="122">
        <f>IF(B26=1,Veg_Inputs!$O$15,Y25*(1+Veg_Inputs!$N$23))*F26</f>
        <v>1667.9654671810258</v>
      </c>
      <c r="Z26" s="122">
        <f>IF(B26=1,Veg_Inputs!$O$16,Z25*(1+Veg_Inputs!$N$23))*F26</f>
        <v>12372.825483868442</v>
      </c>
      <c r="AA26" s="122">
        <f>IF(B26=1,Veg_Inputs!$O$17,AA25*(1+Veg_Inputs!$N$23))*F26</f>
        <v>8401.379305196755</v>
      </c>
      <c r="AB26" s="181">
        <f>IF(B26=1,Veg_Inputs!$O$18,AB25*(1+Veg_Inputs!$N$23))*F26</f>
        <v>0</v>
      </c>
      <c r="AC26" s="482">
        <f>IF(B26=1,Veg_Inputs!$O$19,AC25*(1+Veg_Inputs!$N$23))*F26</f>
        <v>0</v>
      </c>
      <c r="AD26" s="122">
        <f>IF(B26=1,Veg_Inputs!$O$20,AD25*(1+Veg_Inputs!$N$23))*F26</f>
        <v>0</v>
      </c>
      <c r="AE26" s="122">
        <f>IF(B26=1,Veg_Inputs!$O$21,AE25*(1+Veg_Inputs!$N$23))*F26</f>
        <v>0</v>
      </c>
      <c r="AF26" s="132">
        <f>IF(B26=1,Veg_Inputs!$O$22,AF25*(1+Veg_Inputs!$N$23))*F26</f>
        <v>0</v>
      </c>
      <c r="AG26" s="200">
        <f t="shared" si="31"/>
        <v>282078.67438097141</v>
      </c>
      <c r="AH26" s="86">
        <f t="shared" si="13"/>
        <v>49179.267401180463</v>
      </c>
      <c r="AI26" s="225">
        <f t="shared" si="14"/>
        <v>0.14846215350067793</v>
      </c>
      <c r="AJ26" s="220">
        <f>Deprec!I25</f>
        <v>11627.425336927225</v>
      </c>
      <c r="AK26" s="86">
        <f t="shared" si="15"/>
        <v>37551.842064253236</v>
      </c>
      <c r="AL26" s="455">
        <f t="shared" si="32"/>
        <v>0</v>
      </c>
      <c r="AM26" s="86">
        <f t="shared" si="33"/>
        <v>37551.842064253236</v>
      </c>
      <c r="AN26" s="438">
        <f>IF(AM26&lt;0,0,(AM26*Veg_Inputs!$J$14))</f>
        <v>11265.55261927597</v>
      </c>
      <c r="AO26" s="86">
        <f t="shared" si="34"/>
        <v>26286.289444977265</v>
      </c>
      <c r="AP26" s="226">
        <f t="shared" si="16"/>
        <v>7.9352933558538355E-2</v>
      </c>
      <c r="AS26" s="196">
        <f t="shared" si="17"/>
        <v>331257.94178215187</v>
      </c>
      <c r="AT26" s="86">
        <f t="shared" si="18"/>
        <v>282078.67438097141</v>
      </c>
      <c r="AU26" s="197">
        <f t="shared" si="35"/>
        <v>49179.267401180463</v>
      </c>
      <c r="AV26" s="218">
        <f>IF(B26=0,Veg_Inputs!$C$29,0)</f>
        <v>0</v>
      </c>
      <c r="AW26" s="198">
        <f t="shared" si="5"/>
        <v>0</v>
      </c>
      <c r="AX26" s="197">
        <f t="shared" si="6"/>
        <v>49179.267401180463</v>
      </c>
      <c r="AY26" s="184">
        <f>IF(B26=0,Veg_Inputs!$G$15+Veg_Inputs!$G$16,0)</f>
        <v>0</v>
      </c>
      <c r="AZ26" s="185">
        <f>IF(B26=0,Veg_Inputs!$G$14,0)</f>
        <v>0</v>
      </c>
      <c r="BA26" s="200">
        <f t="shared" si="7"/>
        <v>0</v>
      </c>
      <c r="BB26" s="196">
        <f t="shared" si="8"/>
        <v>49179.267401180463</v>
      </c>
      <c r="BC26" s="218">
        <f>Veg_Inputs!$G$20*AVERAGE(BR26,BS26)</f>
        <v>0</v>
      </c>
      <c r="BD26" s="200">
        <f t="shared" si="9"/>
        <v>11265.55261927597</v>
      </c>
      <c r="BE26" s="200">
        <f t="shared" si="19"/>
        <v>49179.267401180463</v>
      </c>
      <c r="BF26" s="86">
        <f t="shared" si="20"/>
        <v>37913.714781904491</v>
      </c>
      <c r="BG26" s="197">
        <f t="shared" si="21"/>
        <v>37913.714781904491</v>
      </c>
      <c r="BH26" s="86">
        <f t="shared" si="36"/>
        <v>0</v>
      </c>
      <c r="BI26" s="86">
        <f t="shared" si="37"/>
        <v>0</v>
      </c>
      <c r="BJ26" s="122">
        <f>-Debt_Calc!AG24</f>
        <v>0</v>
      </c>
      <c r="BK26" s="122">
        <f>Debt_Calc!AH24</f>
        <v>0</v>
      </c>
      <c r="BL26" s="86">
        <f t="shared" si="22"/>
        <v>0</v>
      </c>
      <c r="BM26" s="423">
        <f t="shared" si="38"/>
        <v>0</v>
      </c>
      <c r="BN26" s="86">
        <f t="shared" si="39"/>
        <v>37913.714781904491</v>
      </c>
      <c r="BO26" s="86">
        <f t="shared" si="23"/>
        <v>49179.267401180463</v>
      </c>
      <c r="BP26" s="86">
        <f t="shared" si="40"/>
        <v>37913.714781904491</v>
      </c>
      <c r="BQ26" s="86">
        <f t="shared" si="24"/>
        <v>0</v>
      </c>
      <c r="BR26" s="86">
        <f t="shared" si="25"/>
        <v>0</v>
      </c>
      <c r="BS26" s="86">
        <f t="shared" si="10"/>
        <v>0</v>
      </c>
      <c r="BT26" s="86">
        <f t="shared" si="26"/>
        <v>118881.95851234166</v>
      </c>
      <c r="BU26" s="86">
        <f t="shared" si="41"/>
        <v>2</v>
      </c>
      <c r="BV26" s="214">
        <f t="shared" si="11"/>
        <v>6172.2694796199876</v>
      </c>
    </row>
    <row r="27" spans="2:74" s="86" customFormat="1" x14ac:dyDescent="0.3">
      <c r="B27" s="192">
        <f t="shared" si="27"/>
        <v>16</v>
      </c>
      <c r="C27" s="350">
        <f t="shared" si="12"/>
        <v>2037</v>
      </c>
      <c r="D27" s="351">
        <f t="shared" si="28"/>
        <v>50041</v>
      </c>
      <c r="E27" s="441">
        <f t="shared" si="28"/>
        <v>50405</v>
      </c>
      <c r="F27" s="445">
        <f>IF(AND(B27&gt;0,B27&lt;=Veg_Inputs!$J$17),1,0)</f>
        <v>1</v>
      </c>
      <c r="G27" s="447">
        <f>IF(F27=1,Veg_Inputs!$G$31,0)</f>
        <v>78650</v>
      </c>
      <c r="H27" s="348">
        <f>IF(AND(F26=0,F27=1),100%,IF(AND(F26=0,F27=0),100%,H26-Veg_Inputs!$G$45))*F27</f>
        <v>0.99250000000000083</v>
      </c>
      <c r="I27" s="216">
        <f t="shared" si="29"/>
        <v>78060.125000000058</v>
      </c>
      <c r="J27" s="219">
        <f>Veg_Inputs!$J$11</f>
        <v>0.01</v>
      </c>
      <c r="K27" s="444">
        <f>IF(B27=1,Veg_Inputs!$R$15,K26*(1+Veg_CashFlows!J27))*F27</f>
        <v>4.2839036792189082</v>
      </c>
      <c r="L27" s="338">
        <f>IF(B27=1,Veg_Inputs!$R$16,L26*(1+Veg_CashFlows!J27))*F27</f>
        <v>4.2839036792189082</v>
      </c>
      <c r="M27" s="122">
        <f>K27*I27*Veg_Inputs!$J$9</f>
        <v>167201.02834389405</v>
      </c>
      <c r="N27" s="222">
        <f>L27*I27*Veg_Inputs!$J$10</f>
        <v>167201.02834389405</v>
      </c>
      <c r="O27" s="423">
        <f t="shared" si="30"/>
        <v>0</v>
      </c>
      <c r="P27" s="122">
        <f>SUM(M27:O27)+IF(B27=Veg_Inputs!$J$17,Veg_Inputs!$J$19,0)</f>
        <v>334402.05668778811</v>
      </c>
      <c r="Q27" s="218">
        <f>IF(B27=1,Veg_Inputs!$O$7,Q26*(1+Veg_Inputs!$N$23))*F27</f>
        <v>206533.56079358471</v>
      </c>
      <c r="R27" s="122">
        <f>IF(B27=1,Veg_Inputs!$O$8,R26*(1+Veg_Inputs!$N$23))*F27</f>
        <v>6385.3292545349923</v>
      </c>
      <c r="S27" s="122">
        <f>IF(B27=1,Veg_Inputs!$O$9,S26*(1+Veg_Inputs!$N$23))*F27</f>
        <v>33747.699617637641</v>
      </c>
      <c r="T27" s="122">
        <f>IF(B27=1,Veg_Inputs!$O$10,T26*(1+Veg_Inputs!$N$23))*F27</f>
        <v>6242.9462694424446</v>
      </c>
      <c r="U27" s="122">
        <f>IF(B27=1,Veg_Inputs!$O$11,U26*(1+Veg_Inputs!$N$23))*F27</f>
        <v>7531.5905169393864</v>
      </c>
      <c r="V27" s="122">
        <f>IF(B27=1,Veg_Inputs!$O$12,V26*(1+Veg_Inputs!$N$23))*F27</f>
        <v>107.09759198047273</v>
      </c>
      <c r="W27" s="122">
        <f>IF(B27=1,Veg_Inputs!$O$13,W26*(1+Veg_Inputs!$N$23))*F27</f>
        <v>0</v>
      </c>
      <c r="X27" s="122">
        <f>IF(B27=1,Veg_Inputs!$O$14,X26*(1+Veg_Inputs!$N$23))*F27</f>
        <v>1684.6451218528362</v>
      </c>
      <c r="Y27" s="122">
        <f>IF(B27=1,Veg_Inputs!$O$15,Y26*(1+Veg_Inputs!$N$23))*F27</f>
        <v>1684.6451218528362</v>
      </c>
      <c r="Z27" s="122">
        <f>IF(B27=1,Veg_Inputs!$O$16,Z26*(1+Veg_Inputs!$N$23))*F27</f>
        <v>12496.553738707127</v>
      </c>
      <c r="AA27" s="122">
        <f>IF(B27=1,Veg_Inputs!$O$17,AA26*(1+Veg_Inputs!$N$23))*F27</f>
        <v>8485.3930982487218</v>
      </c>
      <c r="AB27" s="181">
        <f>IF(B27=1,Veg_Inputs!$O$18,AB26*(1+Veg_Inputs!$N$23))*F27</f>
        <v>0</v>
      </c>
      <c r="AC27" s="482">
        <f>IF(B27=1,Veg_Inputs!$O$19,AC26*(1+Veg_Inputs!$N$23))*F27</f>
        <v>0</v>
      </c>
      <c r="AD27" s="122">
        <f>IF(B27=1,Veg_Inputs!$O$20,AD26*(1+Veg_Inputs!$N$23))*F27</f>
        <v>0</v>
      </c>
      <c r="AE27" s="122">
        <f>IF(B27=1,Veg_Inputs!$O$21,AE26*(1+Veg_Inputs!$N$23))*F27</f>
        <v>0</v>
      </c>
      <c r="AF27" s="132">
        <f>IF(B27=1,Veg_Inputs!$O$22,AF26*(1+Veg_Inputs!$N$23))*F27</f>
        <v>0</v>
      </c>
      <c r="AG27" s="200">
        <f t="shared" si="31"/>
        <v>284899.46112478117</v>
      </c>
      <c r="AH27" s="86">
        <f t="shared" si="13"/>
        <v>49502.595563006937</v>
      </c>
      <c r="AI27" s="225">
        <f t="shared" si="14"/>
        <v>0.14803316718002321</v>
      </c>
      <c r="AJ27" s="220">
        <f>Deprec!I26</f>
        <v>11627.425336927225</v>
      </c>
      <c r="AK27" s="86">
        <f t="shared" si="15"/>
        <v>37875.17022607971</v>
      </c>
      <c r="AL27" s="455">
        <f t="shared" si="32"/>
        <v>0</v>
      </c>
      <c r="AM27" s="86">
        <f t="shared" si="33"/>
        <v>37875.17022607971</v>
      </c>
      <c r="AN27" s="438">
        <f>IF(AM27&lt;0,0,(AM27*Veg_Inputs!$J$14))</f>
        <v>11362.551067823913</v>
      </c>
      <c r="AO27" s="86">
        <f t="shared" si="34"/>
        <v>26512.619158255795</v>
      </c>
      <c r="AP27" s="226">
        <f t="shared" si="16"/>
        <v>7.9283660575715592E-2</v>
      </c>
      <c r="AS27" s="196">
        <f t="shared" si="17"/>
        <v>334402.05668778811</v>
      </c>
      <c r="AT27" s="86">
        <f t="shared" si="18"/>
        <v>284899.46112478117</v>
      </c>
      <c r="AU27" s="197">
        <f t="shared" si="35"/>
        <v>49502.595563006937</v>
      </c>
      <c r="AV27" s="218">
        <f>IF(B27=0,Veg_Inputs!$C$29,0)</f>
        <v>0</v>
      </c>
      <c r="AW27" s="198">
        <f t="shared" si="5"/>
        <v>0</v>
      </c>
      <c r="AX27" s="197">
        <f t="shared" si="6"/>
        <v>49502.595563006937</v>
      </c>
      <c r="AY27" s="184">
        <f>IF(B27=0,Veg_Inputs!$G$15+Veg_Inputs!$G$16,0)</f>
        <v>0</v>
      </c>
      <c r="AZ27" s="185">
        <f>IF(B27=0,Veg_Inputs!$G$14,0)</f>
        <v>0</v>
      </c>
      <c r="BA27" s="200">
        <f t="shared" si="7"/>
        <v>0</v>
      </c>
      <c r="BB27" s="196">
        <f t="shared" si="8"/>
        <v>49502.595563006937</v>
      </c>
      <c r="BC27" s="218">
        <f>Veg_Inputs!$G$20*AVERAGE(BR27,BS27)</f>
        <v>0</v>
      </c>
      <c r="BD27" s="200">
        <f t="shared" si="9"/>
        <v>11362.551067823913</v>
      </c>
      <c r="BE27" s="200">
        <f t="shared" si="19"/>
        <v>49502.595563006937</v>
      </c>
      <c r="BF27" s="86">
        <f t="shared" si="20"/>
        <v>38140.044495183021</v>
      </c>
      <c r="BG27" s="197">
        <f t="shared" si="21"/>
        <v>38140.044495183021</v>
      </c>
      <c r="BH27" s="86">
        <f t="shared" si="36"/>
        <v>0</v>
      </c>
      <c r="BI27" s="86">
        <f t="shared" si="37"/>
        <v>0</v>
      </c>
      <c r="BJ27" s="122">
        <f>-Debt_Calc!AG25</f>
        <v>0</v>
      </c>
      <c r="BK27" s="122">
        <f>Debt_Calc!AH25</f>
        <v>0</v>
      </c>
      <c r="BL27" s="86">
        <f t="shared" si="22"/>
        <v>0</v>
      </c>
      <c r="BM27" s="423">
        <f t="shared" si="38"/>
        <v>0</v>
      </c>
      <c r="BN27" s="86">
        <f t="shared" si="39"/>
        <v>38140.044495183021</v>
      </c>
      <c r="BO27" s="86">
        <f t="shared" si="23"/>
        <v>49502.595563006937</v>
      </c>
      <c r="BP27" s="86">
        <f t="shared" si="40"/>
        <v>38140.044495183021</v>
      </c>
      <c r="BQ27" s="86">
        <f t="shared" si="24"/>
        <v>0</v>
      </c>
      <c r="BR27" s="86">
        <f t="shared" si="25"/>
        <v>0</v>
      </c>
      <c r="BS27" s="86">
        <f t="shared" si="10"/>
        <v>0</v>
      </c>
      <c r="BT27" s="86">
        <f t="shared" si="26"/>
        <v>157022.00300752468</v>
      </c>
      <c r="BU27" s="86">
        <f t="shared" si="41"/>
        <v>2</v>
      </c>
      <c r="BV27" s="214">
        <f t="shared" si="11"/>
        <v>5501.3968157123363</v>
      </c>
    </row>
    <row r="28" spans="2:74" s="86" customFormat="1" x14ac:dyDescent="0.3">
      <c r="B28" s="192">
        <f t="shared" si="27"/>
        <v>17</v>
      </c>
      <c r="C28" s="350">
        <f t="shared" si="12"/>
        <v>2038</v>
      </c>
      <c r="D28" s="351">
        <f t="shared" si="28"/>
        <v>50406</v>
      </c>
      <c r="E28" s="441">
        <f t="shared" si="28"/>
        <v>50770</v>
      </c>
      <c r="F28" s="445">
        <f>IF(AND(B28&gt;0,B28&lt;=Veg_Inputs!$J$17),1,0)</f>
        <v>1</v>
      </c>
      <c r="G28" s="447">
        <f>IF(F28=1,Veg_Inputs!$G$31,0)</f>
        <v>78650</v>
      </c>
      <c r="H28" s="348">
        <f>IF(AND(F27=0,F28=1),100%,IF(AND(F27=0,F28=0),100%,H27-Veg_Inputs!$G$45))*F28</f>
        <v>0.99200000000000088</v>
      </c>
      <c r="I28" s="216">
        <f t="shared" si="29"/>
        <v>78020.800000000076</v>
      </c>
      <c r="J28" s="219">
        <f>Veg_Inputs!$J$11</f>
        <v>0.01</v>
      </c>
      <c r="K28" s="444">
        <f>IF(B28=1,Veg_Inputs!$R$15,K27*(1+Veg_CashFlows!J28))*F28</f>
        <v>4.3267427160110969</v>
      </c>
      <c r="L28" s="338">
        <f>IF(B28=1,Veg_Inputs!$R$16,L27*(1+Veg_CashFlows!J28))*F28</f>
        <v>4.3267427160110969</v>
      </c>
      <c r="M28" s="122">
        <f>K28*I28*Veg_Inputs!$J$9</f>
        <v>168787.96404867945</v>
      </c>
      <c r="N28" s="222">
        <f>L28*I28*Veg_Inputs!$J$10</f>
        <v>168787.96404867945</v>
      </c>
      <c r="O28" s="423">
        <f t="shared" si="30"/>
        <v>0</v>
      </c>
      <c r="P28" s="122">
        <f>SUM(M28:O28)+IF(B28=Veg_Inputs!$J$17,Veg_Inputs!$J$19,0)</f>
        <v>337575.9280973589</v>
      </c>
      <c r="Q28" s="218">
        <f>IF(B28=1,Veg_Inputs!$O$7,Q27*(1+Veg_Inputs!$N$23))*F28</f>
        <v>208598.89640152056</v>
      </c>
      <c r="R28" s="122">
        <f>IF(B28=1,Veg_Inputs!$O$8,R27*(1+Veg_Inputs!$N$23))*F28</f>
        <v>6449.1825470803424</v>
      </c>
      <c r="S28" s="122">
        <f>IF(B28=1,Veg_Inputs!$O$9,S27*(1+Veg_Inputs!$N$23))*F28</f>
        <v>34085.176613814016</v>
      </c>
      <c r="T28" s="122">
        <f>IF(B28=1,Veg_Inputs!$O$10,T27*(1+Veg_Inputs!$N$23))*F28</f>
        <v>6305.3757321368694</v>
      </c>
      <c r="U28" s="122">
        <f>IF(B28=1,Veg_Inputs!$O$11,U27*(1+Veg_Inputs!$N$23))*F28</f>
        <v>7606.9064221087801</v>
      </c>
      <c r="V28" s="122">
        <f>IF(B28=1,Veg_Inputs!$O$12,V27*(1+Veg_Inputs!$N$23))*F28</f>
        <v>108.16856790027745</v>
      </c>
      <c r="W28" s="122">
        <f>IF(B28=1,Veg_Inputs!$O$13,W27*(1+Veg_Inputs!$N$23))*F28</f>
        <v>0</v>
      </c>
      <c r="X28" s="122">
        <f>IF(B28=1,Veg_Inputs!$O$14,X27*(1+Veg_Inputs!$N$23))*F28</f>
        <v>1701.4915730713644</v>
      </c>
      <c r="Y28" s="122">
        <f>IF(B28=1,Veg_Inputs!$O$15,Y27*(1+Veg_Inputs!$N$23))*F28</f>
        <v>1701.4915730713644</v>
      </c>
      <c r="Z28" s="122">
        <f>IF(B28=1,Veg_Inputs!$O$16,Z27*(1+Veg_Inputs!$N$23))*F28</f>
        <v>12621.519276094199</v>
      </c>
      <c r="AA28" s="122">
        <f>IF(B28=1,Veg_Inputs!$O$17,AA27*(1+Veg_Inputs!$N$23))*F28</f>
        <v>8570.2470292312082</v>
      </c>
      <c r="AB28" s="181">
        <f>IF(B28=1,Veg_Inputs!$O$18,AB27*(1+Veg_Inputs!$N$23))*F28</f>
        <v>0</v>
      </c>
      <c r="AC28" s="482">
        <f>IF(B28=1,Veg_Inputs!$O$19,AC27*(1+Veg_Inputs!$N$23))*F28</f>
        <v>0</v>
      </c>
      <c r="AD28" s="122">
        <f>IF(B28=1,Veg_Inputs!$O$20,AD27*(1+Veg_Inputs!$N$23))*F28</f>
        <v>0</v>
      </c>
      <c r="AE28" s="122">
        <f>IF(B28=1,Veg_Inputs!$O$21,AE27*(1+Veg_Inputs!$N$23))*F28</f>
        <v>0</v>
      </c>
      <c r="AF28" s="132">
        <f>IF(B28=1,Veg_Inputs!$O$22,AF27*(1+Veg_Inputs!$N$23))*F28</f>
        <v>0</v>
      </c>
      <c r="AG28" s="200">
        <f t="shared" si="31"/>
        <v>287748.4557360289</v>
      </c>
      <c r="AH28" s="86">
        <f t="shared" si="13"/>
        <v>49827.472361330001</v>
      </c>
      <c r="AI28" s="225">
        <f t="shared" si="14"/>
        <v>0.14760374841348126</v>
      </c>
      <c r="AJ28" s="220">
        <f>Deprec!I27</f>
        <v>11627.425336927225</v>
      </c>
      <c r="AK28" s="86">
        <f t="shared" si="15"/>
        <v>38200.047024402775</v>
      </c>
      <c r="AL28" s="455">
        <f t="shared" si="32"/>
        <v>0</v>
      </c>
      <c r="AM28" s="86">
        <f t="shared" si="33"/>
        <v>38200.047024402775</v>
      </c>
      <c r="AN28" s="438">
        <f>IF(AM28&lt;0,0,(AM28*Veg_Inputs!$J$14))</f>
        <v>11460.014107320832</v>
      </c>
      <c r="AO28" s="86">
        <f t="shared" si="34"/>
        <v>26740.032917081942</v>
      </c>
      <c r="AP28" s="226">
        <f t="shared" si="16"/>
        <v>7.9211906689537287E-2</v>
      </c>
      <c r="AS28" s="196">
        <f t="shared" si="17"/>
        <v>337575.9280973589</v>
      </c>
      <c r="AT28" s="86">
        <f t="shared" si="18"/>
        <v>287748.4557360289</v>
      </c>
      <c r="AU28" s="197">
        <f t="shared" si="35"/>
        <v>49827.472361330001</v>
      </c>
      <c r="AV28" s="218">
        <f>IF(B28=0,Veg_Inputs!$C$29,0)</f>
        <v>0</v>
      </c>
      <c r="AW28" s="198">
        <f t="shared" si="5"/>
        <v>0</v>
      </c>
      <c r="AX28" s="197">
        <f t="shared" si="6"/>
        <v>49827.472361330001</v>
      </c>
      <c r="AY28" s="184">
        <f>IF(B28=0,Veg_Inputs!$G$15+Veg_Inputs!$G$16,0)</f>
        <v>0</v>
      </c>
      <c r="AZ28" s="185">
        <f>IF(B28=0,Veg_Inputs!$G$14,0)</f>
        <v>0</v>
      </c>
      <c r="BA28" s="200">
        <f t="shared" si="7"/>
        <v>0</v>
      </c>
      <c r="BB28" s="196">
        <f t="shared" si="8"/>
        <v>49827.472361330001</v>
      </c>
      <c r="BC28" s="218">
        <f>Veg_Inputs!$G$20*AVERAGE(BR28,BS28)</f>
        <v>0</v>
      </c>
      <c r="BD28" s="200">
        <f t="shared" si="9"/>
        <v>11460.014107320832</v>
      </c>
      <c r="BE28" s="200">
        <f t="shared" si="19"/>
        <v>49827.472361330001</v>
      </c>
      <c r="BF28" s="86">
        <f t="shared" si="20"/>
        <v>38367.458254009165</v>
      </c>
      <c r="BG28" s="197">
        <f t="shared" si="21"/>
        <v>38367.458254009165</v>
      </c>
      <c r="BH28" s="86">
        <f t="shared" si="36"/>
        <v>0</v>
      </c>
      <c r="BI28" s="86">
        <f t="shared" si="37"/>
        <v>0</v>
      </c>
      <c r="BJ28" s="122">
        <f>-Debt_Calc!AG26</f>
        <v>0</v>
      </c>
      <c r="BK28" s="122">
        <f>Debt_Calc!AH26</f>
        <v>0</v>
      </c>
      <c r="BL28" s="86">
        <f t="shared" si="22"/>
        <v>0</v>
      </c>
      <c r="BM28" s="423">
        <f t="shared" si="38"/>
        <v>0</v>
      </c>
      <c r="BN28" s="86">
        <f t="shared" si="39"/>
        <v>38367.458254009165</v>
      </c>
      <c r="BO28" s="86">
        <f t="shared" si="23"/>
        <v>49827.472361330001</v>
      </c>
      <c r="BP28" s="86">
        <f t="shared" si="40"/>
        <v>38367.458254009165</v>
      </c>
      <c r="BQ28" s="86">
        <f t="shared" si="24"/>
        <v>0</v>
      </c>
      <c r="BR28" s="86">
        <f t="shared" si="25"/>
        <v>0</v>
      </c>
      <c r="BS28" s="86">
        <f t="shared" si="10"/>
        <v>0</v>
      </c>
      <c r="BT28" s="86">
        <f t="shared" si="26"/>
        <v>195389.46126153384</v>
      </c>
      <c r="BU28" s="86">
        <f t="shared" si="41"/>
        <v>2</v>
      </c>
      <c r="BV28" s="214">
        <f t="shared" si="11"/>
        <v>4903.4081170131249</v>
      </c>
    </row>
    <row r="29" spans="2:74" s="86" customFormat="1" x14ac:dyDescent="0.3">
      <c r="B29" s="192">
        <f t="shared" si="27"/>
        <v>18</v>
      </c>
      <c r="C29" s="350">
        <f t="shared" si="12"/>
        <v>2039</v>
      </c>
      <c r="D29" s="351">
        <f t="shared" ref="D29:E44" si="42">EDATE(D28,12)</f>
        <v>50771</v>
      </c>
      <c r="E29" s="441">
        <f t="shared" si="42"/>
        <v>51135</v>
      </c>
      <c r="F29" s="445">
        <f>IF(AND(B29&gt;0,B29&lt;=Veg_Inputs!$J$17),1,0)</f>
        <v>1</v>
      </c>
      <c r="G29" s="447">
        <f>IF(F29=1,Veg_Inputs!$G$31,0)</f>
        <v>78650</v>
      </c>
      <c r="H29" s="348">
        <f>IF(AND(F28=0,F29=1),100%,IF(AND(F28=0,F29=0),100%,H28-Veg_Inputs!$G$45))*F29</f>
        <v>0.99150000000000094</v>
      </c>
      <c r="I29" s="216">
        <f t="shared" si="29"/>
        <v>77981.475000000079</v>
      </c>
      <c r="J29" s="219">
        <f>Veg_Inputs!$J$11</f>
        <v>0.01</v>
      </c>
      <c r="K29" s="444">
        <f>IF(B29=1,Veg_Inputs!$R$15,K28*(1+Veg_CashFlows!J29))*F29</f>
        <v>4.370010143171208</v>
      </c>
      <c r="L29" s="338">
        <f>IF(B29=1,Veg_Inputs!$R$16,L28*(1+Veg_CashFlows!J29))*F29</f>
        <v>4.370010143171208</v>
      </c>
      <c r="M29" s="122">
        <f>K29*I29*Veg_Inputs!$J$9</f>
        <v>170389.91836472615</v>
      </c>
      <c r="N29" s="222">
        <f>L29*I29*Veg_Inputs!$J$10</f>
        <v>170389.91836472615</v>
      </c>
      <c r="O29" s="423">
        <f t="shared" si="30"/>
        <v>0</v>
      </c>
      <c r="P29" s="122">
        <f>SUM(M29:O29)+IF(B29=Veg_Inputs!$J$17,Veg_Inputs!$J$19,0)</f>
        <v>340779.83672945231</v>
      </c>
      <c r="Q29" s="218">
        <f>IF(B29=1,Veg_Inputs!$O$7,Q28*(1+Veg_Inputs!$N$23))*F29</f>
        <v>210684.88536553577</v>
      </c>
      <c r="R29" s="122">
        <f>IF(B29=1,Veg_Inputs!$O$8,R28*(1+Veg_Inputs!$N$23))*F29</f>
        <v>6513.674372551146</v>
      </c>
      <c r="S29" s="122">
        <f>IF(B29=1,Veg_Inputs!$O$9,S28*(1+Veg_Inputs!$N$23))*F29</f>
        <v>34426.028379952157</v>
      </c>
      <c r="T29" s="122">
        <f>IF(B29=1,Veg_Inputs!$O$10,T28*(1+Veg_Inputs!$N$23))*F29</f>
        <v>6368.4294894582381</v>
      </c>
      <c r="U29" s="122">
        <f>IF(B29=1,Veg_Inputs!$O$11,U28*(1+Veg_Inputs!$N$23))*F29</f>
        <v>7682.9754863298676</v>
      </c>
      <c r="V29" s="122">
        <f>IF(B29=1,Veg_Inputs!$O$12,V28*(1+Veg_Inputs!$N$23))*F29</f>
        <v>109.25025357928023</v>
      </c>
      <c r="W29" s="122">
        <f>IF(B29=1,Veg_Inputs!$O$13,W28*(1+Veg_Inputs!$N$23))*F29</f>
        <v>0</v>
      </c>
      <c r="X29" s="122">
        <f>IF(B29=1,Veg_Inputs!$O$14,X28*(1+Veg_Inputs!$N$23))*F29</f>
        <v>1718.5064888020781</v>
      </c>
      <c r="Y29" s="122">
        <f>IF(B29=1,Veg_Inputs!$O$15,Y28*(1+Veg_Inputs!$N$23))*F29</f>
        <v>1718.5064888020781</v>
      </c>
      <c r="Z29" s="122">
        <f>IF(B29=1,Veg_Inputs!$O$16,Z28*(1+Veg_Inputs!$N$23))*F29</f>
        <v>12747.734468855142</v>
      </c>
      <c r="AA29" s="122">
        <f>IF(B29=1,Veg_Inputs!$O$17,AA28*(1+Veg_Inputs!$N$23))*F29</f>
        <v>8655.94949952352</v>
      </c>
      <c r="AB29" s="181">
        <f>IF(B29=1,Veg_Inputs!$O$18,AB28*(1+Veg_Inputs!$N$23))*F29</f>
        <v>0</v>
      </c>
      <c r="AC29" s="482">
        <f>IF(B29=1,Veg_Inputs!$O$19,AC28*(1+Veg_Inputs!$N$23))*F29</f>
        <v>0</v>
      </c>
      <c r="AD29" s="122">
        <f>IF(B29=1,Veg_Inputs!$O$20,AD28*(1+Veg_Inputs!$N$23))*F29</f>
        <v>0</v>
      </c>
      <c r="AE29" s="122">
        <f>IF(B29=1,Veg_Inputs!$O$21,AE28*(1+Veg_Inputs!$N$23))*F29</f>
        <v>0</v>
      </c>
      <c r="AF29" s="132">
        <f>IF(B29=1,Veg_Inputs!$O$22,AF28*(1+Veg_Inputs!$N$23))*F29</f>
        <v>0</v>
      </c>
      <c r="AG29" s="200">
        <f t="shared" si="31"/>
        <v>290625.94029338926</v>
      </c>
      <c r="AH29" s="86">
        <f t="shared" si="13"/>
        <v>50153.896436063049</v>
      </c>
      <c r="AI29" s="225">
        <f t="shared" si="14"/>
        <v>0.14717389654682125</v>
      </c>
      <c r="AJ29" s="220">
        <f>Deprec!I28</f>
        <v>11627.425336927225</v>
      </c>
      <c r="AK29" s="86">
        <f t="shared" si="15"/>
        <v>38526.471099135822</v>
      </c>
      <c r="AL29" s="455">
        <f t="shared" si="32"/>
        <v>0</v>
      </c>
      <c r="AM29" s="86">
        <f t="shared" si="33"/>
        <v>38526.471099135822</v>
      </c>
      <c r="AN29" s="438">
        <f>IF(AM29&lt;0,0,(AM29*Veg_Inputs!$J$14))</f>
        <v>11557.941329740746</v>
      </c>
      <c r="AO29" s="86">
        <f t="shared" si="34"/>
        <v>26968.529769395078</v>
      </c>
      <c r="AP29" s="226">
        <f t="shared" si="16"/>
        <v>7.9137692030780554E-2</v>
      </c>
      <c r="AS29" s="196">
        <f t="shared" si="17"/>
        <v>340779.83672945231</v>
      </c>
      <c r="AT29" s="86">
        <f t="shared" si="18"/>
        <v>290625.94029338926</v>
      </c>
      <c r="AU29" s="197">
        <f t="shared" si="35"/>
        <v>50153.896436063049</v>
      </c>
      <c r="AV29" s="218">
        <f>IF(B29=0,Veg_Inputs!$C$29,0)</f>
        <v>0</v>
      </c>
      <c r="AW29" s="198">
        <f t="shared" si="5"/>
        <v>0</v>
      </c>
      <c r="AX29" s="197">
        <f t="shared" si="6"/>
        <v>50153.896436063049</v>
      </c>
      <c r="AY29" s="184">
        <f>IF(B29=0,Veg_Inputs!$G$15+Veg_Inputs!$G$16,0)</f>
        <v>0</v>
      </c>
      <c r="AZ29" s="185">
        <f>IF(B29=0,Veg_Inputs!$G$14,0)</f>
        <v>0</v>
      </c>
      <c r="BA29" s="200">
        <f t="shared" si="7"/>
        <v>0</v>
      </c>
      <c r="BB29" s="196">
        <f t="shared" si="8"/>
        <v>50153.896436063049</v>
      </c>
      <c r="BC29" s="218">
        <f>Veg_Inputs!$G$20*AVERAGE(BR29,BS29)</f>
        <v>0</v>
      </c>
      <c r="BD29" s="200">
        <f t="shared" si="9"/>
        <v>11557.941329740746</v>
      </c>
      <c r="BE29" s="200">
        <f t="shared" si="19"/>
        <v>50153.896436063049</v>
      </c>
      <c r="BF29" s="86">
        <f t="shared" si="20"/>
        <v>38595.955106322304</v>
      </c>
      <c r="BG29" s="197">
        <f t="shared" si="21"/>
        <v>38595.955106322304</v>
      </c>
      <c r="BH29" s="86">
        <f t="shared" si="36"/>
        <v>0</v>
      </c>
      <c r="BI29" s="86">
        <f t="shared" si="37"/>
        <v>0</v>
      </c>
      <c r="BJ29" s="122">
        <f>-Debt_Calc!AG27</f>
        <v>0</v>
      </c>
      <c r="BK29" s="122">
        <f>Debt_Calc!AH27</f>
        <v>0</v>
      </c>
      <c r="BL29" s="86">
        <f t="shared" si="22"/>
        <v>0</v>
      </c>
      <c r="BM29" s="423">
        <f t="shared" si="38"/>
        <v>0</v>
      </c>
      <c r="BN29" s="86">
        <f t="shared" si="39"/>
        <v>38595.955106322304</v>
      </c>
      <c r="BO29" s="86">
        <f t="shared" si="23"/>
        <v>50153.896436063049</v>
      </c>
      <c r="BP29" s="86">
        <f t="shared" si="40"/>
        <v>38595.955106322304</v>
      </c>
      <c r="BQ29" s="86">
        <f t="shared" si="24"/>
        <v>0</v>
      </c>
      <c r="BR29" s="86">
        <f t="shared" si="25"/>
        <v>0</v>
      </c>
      <c r="BS29" s="86">
        <f t="shared" si="10"/>
        <v>0</v>
      </c>
      <c r="BT29" s="86">
        <f t="shared" si="26"/>
        <v>233985.41636785615</v>
      </c>
      <c r="BU29" s="86">
        <f t="shared" si="41"/>
        <v>2</v>
      </c>
      <c r="BV29" s="214">
        <f t="shared" si="11"/>
        <v>4370.3884623258309</v>
      </c>
    </row>
    <row r="30" spans="2:74" s="86" customFormat="1" x14ac:dyDescent="0.3">
      <c r="B30" s="192">
        <f t="shared" si="27"/>
        <v>19</v>
      </c>
      <c r="C30" s="350">
        <f t="shared" si="12"/>
        <v>2040</v>
      </c>
      <c r="D30" s="351">
        <f t="shared" si="42"/>
        <v>51136</v>
      </c>
      <c r="E30" s="441">
        <f t="shared" si="42"/>
        <v>51501</v>
      </c>
      <c r="F30" s="445">
        <f>IF(AND(B30&gt;0,B30&lt;=Veg_Inputs!$J$17),1,0)</f>
        <v>1</v>
      </c>
      <c r="G30" s="447">
        <f>IF(F30=1,Veg_Inputs!$G$31,0)</f>
        <v>78650</v>
      </c>
      <c r="H30" s="348">
        <f>IF(AND(F29=0,F30=1),100%,IF(AND(F29=0,F30=0),100%,H29-Veg_Inputs!$G$45))*F30</f>
        <v>0.99100000000000099</v>
      </c>
      <c r="I30" s="216">
        <f t="shared" si="29"/>
        <v>77942.150000000081</v>
      </c>
      <c r="J30" s="219">
        <f>Veg_Inputs!$J$11</f>
        <v>0.01</v>
      </c>
      <c r="K30" s="444">
        <f>IF(B30=1,Veg_Inputs!$R$15,K29*(1+Veg_CashFlows!J30))*F30</f>
        <v>4.4137102446029202</v>
      </c>
      <c r="L30" s="338">
        <f>IF(B30=1,Veg_Inputs!$R$16,L29*(1+Veg_CashFlows!J30))*F30</f>
        <v>4.4137102446029202</v>
      </c>
      <c r="M30" s="122">
        <f>K30*I30*Veg_Inputs!$J$9</f>
        <v>172007.03297068892</v>
      </c>
      <c r="N30" s="222">
        <f>L30*I30*Veg_Inputs!$J$10</f>
        <v>172007.03297068892</v>
      </c>
      <c r="O30" s="423">
        <f t="shared" si="30"/>
        <v>0</v>
      </c>
      <c r="P30" s="122">
        <f>SUM(M30:O30)+IF(B30=Veg_Inputs!$J$17,Veg_Inputs!$J$19,0)</f>
        <v>344014.06594137783</v>
      </c>
      <c r="Q30" s="218">
        <f>IF(B30=1,Veg_Inputs!$O$7,Q29*(1+Veg_Inputs!$N$23))*F30</f>
        <v>212791.73421919113</v>
      </c>
      <c r="R30" s="122">
        <f>IF(B30=1,Veg_Inputs!$O$8,R29*(1+Veg_Inputs!$N$23))*F30</f>
        <v>6578.8111162766572</v>
      </c>
      <c r="S30" s="122">
        <f>IF(B30=1,Veg_Inputs!$O$9,S29*(1+Veg_Inputs!$N$23))*F30</f>
        <v>34770.288663751679</v>
      </c>
      <c r="T30" s="122">
        <f>IF(B30=1,Veg_Inputs!$O$10,T29*(1+Veg_Inputs!$N$23))*F30</f>
        <v>6432.1137843528204</v>
      </c>
      <c r="U30" s="122">
        <f>IF(B30=1,Veg_Inputs!$O$11,U29*(1+Veg_Inputs!$N$23))*F30</f>
        <v>7759.8052411931667</v>
      </c>
      <c r="V30" s="122">
        <f>IF(B30=1,Veg_Inputs!$O$12,V29*(1+Veg_Inputs!$N$23))*F30</f>
        <v>110.34275611507303</v>
      </c>
      <c r="W30" s="122">
        <f>IF(B30=1,Veg_Inputs!$O$13,W29*(1+Veg_Inputs!$N$23))*F30</f>
        <v>0</v>
      </c>
      <c r="X30" s="122">
        <f>IF(B30=1,Veg_Inputs!$O$14,X29*(1+Veg_Inputs!$N$23))*F30</f>
        <v>1735.691553690099</v>
      </c>
      <c r="Y30" s="122">
        <f>IF(B30=1,Veg_Inputs!$O$15,Y29*(1+Veg_Inputs!$N$23))*F30</f>
        <v>1735.691553690099</v>
      </c>
      <c r="Z30" s="122">
        <f>IF(B30=1,Veg_Inputs!$O$16,Z29*(1+Veg_Inputs!$N$23))*F30</f>
        <v>12875.211813543694</v>
      </c>
      <c r="AA30" s="122">
        <f>IF(B30=1,Veg_Inputs!$O$17,AA29*(1+Veg_Inputs!$N$23))*F30</f>
        <v>8742.5089945187556</v>
      </c>
      <c r="AB30" s="181">
        <f>IF(B30=1,Veg_Inputs!$O$18,AB29*(1+Veg_Inputs!$N$23))*F30</f>
        <v>0</v>
      </c>
      <c r="AC30" s="482">
        <f>IF(B30=1,Veg_Inputs!$O$19,AC29*(1+Veg_Inputs!$N$23))*F30</f>
        <v>0</v>
      </c>
      <c r="AD30" s="122">
        <f>IF(B30=1,Veg_Inputs!$O$20,AD29*(1+Veg_Inputs!$N$23))*F30</f>
        <v>0</v>
      </c>
      <c r="AE30" s="122">
        <f>IF(B30=1,Veg_Inputs!$O$21,AE29*(1+Veg_Inputs!$N$23))*F30</f>
        <v>0</v>
      </c>
      <c r="AF30" s="132">
        <f>IF(B30=1,Veg_Inputs!$O$22,AF29*(1+Veg_Inputs!$N$23))*F30</f>
        <v>0</v>
      </c>
      <c r="AG30" s="200">
        <f t="shared" si="31"/>
        <v>293532.19969632325</v>
      </c>
      <c r="AH30" s="86">
        <f t="shared" si="13"/>
        <v>50481.866245054582</v>
      </c>
      <c r="AI30" s="225">
        <f t="shared" si="14"/>
        <v>0.14674361092449345</v>
      </c>
      <c r="AJ30" s="220">
        <f>Deprec!I29</f>
        <v>11627.425336927225</v>
      </c>
      <c r="AK30" s="86">
        <f t="shared" si="15"/>
        <v>38854.440908127355</v>
      </c>
      <c r="AL30" s="455">
        <f t="shared" si="32"/>
        <v>0</v>
      </c>
      <c r="AM30" s="86">
        <f t="shared" si="33"/>
        <v>38854.440908127355</v>
      </c>
      <c r="AN30" s="438">
        <f>IF(AM30&lt;0,0,(AM30*Veg_Inputs!$J$14))</f>
        <v>11656.332272438207</v>
      </c>
      <c r="AO30" s="86">
        <f t="shared" si="34"/>
        <v>27198.108635689146</v>
      </c>
      <c r="AP30" s="226">
        <f t="shared" si="16"/>
        <v>7.9061036534255766E-2</v>
      </c>
      <c r="AS30" s="196">
        <f t="shared" si="17"/>
        <v>344014.06594137783</v>
      </c>
      <c r="AT30" s="86">
        <f t="shared" si="18"/>
        <v>293532.19969632325</v>
      </c>
      <c r="AU30" s="197">
        <f t="shared" si="35"/>
        <v>50481.866245054582</v>
      </c>
      <c r="AV30" s="218">
        <f>IF(B30=0,Veg_Inputs!$C$29,0)</f>
        <v>0</v>
      </c>
      <c r="AW30" s="198">
        <f t="shared" si="5"/>
        <v>0</v>
      </c>
      <c r="AX30" s="197">
        <f t="shared" si="6"/>
        <v>50481.866245054582</v>
      </c>
      <c r="AY30" s="184">
        <f>IF(B30=0,Veg_Inputs!$G$15+Veg_Inputs!$G$16,0)</f>
        <v>0</v>
      </c>
      <c r="AZ30" s="185">
        <f>IF(B30=0,Veg_Inputs!$G$14,0)</f>
        <v>0</v>
      </c>
      <c r="BA30" s="200">
        <f t="shared" si="7"/>
        <v>0</v>
      </c>
      <c r="BB30" s="196">
        <f t="shared" si="8"/>
        <v>50481.866245054582</v>
      </c>
      <c r="BC30" s="218">
        <f>Veg_Inputs!$G$20*AVERAGE(BR30,BS30)</f>
        <v>0</v>
      </c>
      <c r="BD30" s="200">
        <f t="shared" si="9"/>
        <v>11656.332272438207</v>
      </c>
      <c r="BE30" s="200">
        <f t="shared" si="19"/>
        <v>50481.866245054582</v>
      </c>
      <c r="BF30" s="86">
        <f t="shared" si="20"/>
        <v>38825.533972616373</v>
      </c>
      <c r="BG30" s="197">
        <f t="shared" si="21"/>
        <v>38825.533972616373</v>
      </c>
      <c r="BH30" s="86">
        <f t="shared" si="36"/>
        <v>0</v>
      </c>
      <c r="BI30" s="86">
        <f t="shared" si="37"/>
        <v>0</v>
      </c>
      <c r="BJ30" s="122">
        <f>-Debt_Calc!AG28</f>
        <v>0</v>
      </c>
      <c r="BK30" s="122">
        <f>Debt_Calc!AH28</f>
        <v>0</v>
      </c>
      <c r="BL30" s="86">
        <f t="shared" si="22"/>
        <v>0</v>
      </c>
      <c r="BM30" s="423">
        <f t="shared" si="38"/>
        <v>0</v>
      </c>
      <c r="BN30" s="86">
        <f t="shared" si="39"/>
        <v>38825.533972616373</v>
      </c>
      <c r="BO30" s="86">
        <f t="shared" si="23"/>
        <v>50481.866245054582</v>
      </c>
      <c r="BP30" s="86">
        <f t="shared" si="40"/>
        <v>38825.533972616373</v>
      </c>
      <c r="BQ30" s="86">
        <f t="shared" si="24"/>
        <v>0</v>
      </c>
      <c r="BR30" s="86">
        <f t="shared" si="25"/>
        <v>0</v>
      </c>
      <c r="BS30" s="86">
        <f t="shared" si="10"/>
        <v>0</v>
      </c>
      <c r="BT30" s="86">
        <f t="shared" si="26"/>
        <v>272810.95034047251</v>
      </c>
      <c r="BU30" s="86">
        <f t="shared" si="41"/>
        <v>2</v>
      </c>
      <c r="BV30" s="214">
        <f t="shared" si="11"/>
        <v>3895.2821594091893</v>
      </c>
    </row>
    <row r="31" spans="2:74" s="86" customFormat="1" x14ac:dyDescent="0.3">
      <c r="B31" s="192">
        <f t="shared" si="27"/>
        <v>20</v>
      </c>
      <c r="C31" s="350">
        <f t="shared" si="12"/>
        <v>2041</v>
      </c>
      <c r="D31" s="351">
        <f t="shared" si="42"/>
        <v>51502</v>
      </c>
      <c r="E31" s="441">
        <f t="shared" si="42"/>
        <v>51866</v>
      </c>
      <c r="F31" s="445">
        <f>IF(AND(B31&gt;0,B31&lt;=Veg_Inputs!$J$17),1,0)</f>
        <v>1</v>
      </c>
      <c r="G31" s="447">
        <f>IF(F31=1,Veg_Inputs!$G$31,0)</f>
        <v>78650</v>
      </c>
      <c r="H31" s="348">
        <f>IF(AND(F30=0,F31=1),100%,IF(AND(F30=0,F31=0),100%,H30-Veg_Inputs!$G$45))*F31</f>
        <v>0.99050000000000105</v>
      </c>
      <c r="I31" s="216">
        <f t="shared" si="29"/>
        <v>77902.825000000084</v>
      </c>
      <c r="J31" s="219">
        <f>Veg_Inputs!$J$11</f>
        <v>0.01</v>
      </c>
      <c r="K31" s="444">
        <f>IF(B31=1,Veg_Inputs!$R$15,K30*(1+Veg_CashFlows!J31))*F31</f>
        <v>4.4578473470489497</v>
      </c>
      <c r="L31" s="338">
        <f>IF(B31=1,Veg_Inputs!$R$16,L30*(1+Veg_CashFlows!J31))*F31</f>
        <v>4.4578473470489497</v>
      </c>
      <c r="M31" s="122">
        <f>K31*I31*Veg_Inputs!$J$9</f>
        <v>173639.45087693448</v>
      </c>
      <c r="N31" s="222">
        <f>L31*I31*Veg_Inputs!$J$10</f>
        <v>173639.45087693448</v>
      </c>
      <c r="O31" s="423">
        <f t="shared" si="30"/>
        <v>0</v>
      </c>
      <c r="P31" s="122">
        <f>SUM(M31:O31)+IF(B31=Veg_Inputs!$J$17,Veg_Inputs!$J$19,0)</f>
        <v>347278.90175386897</v>
      </c>
      <c r="Q31" s="218">
        <f>IF(B31=1,Veg_Inputs!$O$7,Q30*(1+Veg_Inputs!$N$23))*F31</f>
        <v>214919.65156138304</v>
      </c>
      <c r="R31" s="122">
        <f>IF(B31=1,Veg_Inputs!$O$8,R30*(1+Veg_Inputs!$N$23))*F31</f>
        <v>6644.5992274394239</v>
      </c>
      <c r="S31" s="122">
        <f>IF(B31=1,Veg_Inputs!$O$9,S30*(1+Veg_Inputs!$N$23))*F31</f>
        <v>35117.991550389197</v>
      </c>
      <c r="T31" s="122">
        <f>IF(B31=1,Veg_Inputs!$O$10,T30*(1+Veg_Inputs!$N$23))*F31</f>
        <v>6496.4349221963485</v>
      </c>
      <c r="U31" s="122">
        <f>IF(B31=1,Veg_Inputs!$O$11,U30*(1+Veg_Inputs!$N$23))*F31</f>
        <v>7837.403293605098</v>
      </c>
      <c r="V31" s="122">
        <f>IF(B31=1,Veg_Inputs!$O$12,V30*(1+Veg_Inputs!$N$23))*F31</f>
        <v>111.44618367622377</v>
      </c>
      <c r="W31" s="122">
        <f>IF(B31=1,Veg_Inputs!$O$13,W30*(1+Veg_Inputs!$N$23))*F31</f>
        <v>0</v>
      </c>
      <c r="X31" s="122">
        <f>IF(B31=1,Veg_Inputs!$O$14,X30*(1+Veg_Inputs!$N$23))*F31</f>
        <v>1753.0484692269999</v>
      </c>
      <c r="Y31" s="122">
        <f>IF(B31=1,Veg_Inputs!$O$15,Y30*(1+Veg_Inputs!$N$23))*F31</f>
        <v>1753.0484692269999</v>
      </c>
      <c r="Z31" s="122">
        <f>IF(B31=1,Veg_Inputs!$O$16,Z30*(1+Veg_Inputs!$N$23))*F31</f>
        <v>13003.963931679131</v>
      </c>
      <c r="AA31" s="122">
        <f>IF(B31=1,Veg_Inputs!$O$17,AA30*(1+Veg_Inputs!$N$23))*F31</f>
        <v>8829.9340844639428</v>
      </c>
      <c r="AB31" s="181">
        <f>IF(B31=1,Veg_Inputs!$O$18,AB30*(1+Veg_Inputs!$N$23))*F31</f>
        <v>0</v>
      </c>
      <c r="AC31" s="482">
        <f>IF(B31=1,Veg_Inputs!$O$19,AC30*(1+Veg_Inputs!$N$23))*F31</f>
        <v>0</v>
      </c>
      <c r="AD31" s="122">
        <f>IF(B31=1,Veg_Inputs!$O$20,AD30*(1+Veg_Inputs!$N$23))*F31</f>
        <v>0</v>
      </c>
      <c r="AE31" s="122">
        <f>IF(B31=1,Veg_Inputs!$O$21,AE30*(1+Veg_Inputs!$N$23))*F31</f>
        <v>0</v>
      </c>
      <c r="AF31" s="132">
        <f>IF(B31=1,Veg_Inputs!$O$22,AF30*(1+Veg_Inputs!$N$23))*F31</f>
        <v>0</v>
      </c>
      <c r="AG31" s="200">
        <f t="shared" si="31"/>
        <v>296467.52169328637</v>
      </c>
      <c r="AH31" s="86">
        <f t="shared" si="13"/>
        <v>50811.380060582596</v>
      </c>
      <c r="AI31" s="225">
        <f t="shared" si="14"/>
        <v>0.1463128908896249</v>
      </c>
      <c r="AJ31" s="220">
        <f>Deprec!I30</f>
        <v>11627.425336927225</v>
      </c>
      <c r="AK31" s="86">
        <f t="shared" si="15"/>
        <v>39183.95472365537</v>
      </c>
      <c r="AL31" s="455">
        <f t="shared" si="32"/>
        <v>0</v>
      </c>
      <c r="AM31" s="86">
        <f t="shared" si="33"/>
        <v>39183.95472365537</v>
      </c>
      <c r="AN31" s="438">
        <f>IF(AM31&lt;0,0,(AM31*Veg_Inputs!$J$14))</f>
        <v>11755.186417096611</v>
      </c>
      <c r="AO31" s="86">
        <f t="shared" si="34"/>
        <v>27428.768306558759</v>
      </c>
      <c r="AP31" s="226">
        <f t="shared" si="16"/>
        <v>7.8981959940655044E-2</v>
      </c>
      <c r="AS31" s="196">
        <f t="shared" si="17"/>
        <v>347278.90175386897</v>
      </c>
      <c r="AT31" s="86">
        <f t="shared" si="18"/>
        <v>296467.52169328637</v>
      </c>
      <c r="AU31" s="197">
        <f t="shared" si="35"/>
        <v>50811.380060582596</v>
      </c>
      <c r="AV31" s="218">
        <f>IF(B31=0,Veg_Inputs!$C$29,0)</f>
        <v>0</v>
      </c>
      <c r="AW31" s="198">
        <f t="shared" si="5"/>
        <v>0</v>
      </c>
      <c r="AX31" s="197">
        <f t="shared" si="6"/>
        <v>50811.380060582596</v>
      </c>
      <c r="AY31" s="184">
        <f>IF(B31=0,Veg_Inputs!$G$15+Veg_Inputs!$G$16,0)</f>
        <v>0</v>
      </c>
      <c r="AZ31" s="185">
        <f>IF(B31=0,Veg_Inputs!$G$14,0)</f>
        <v>0</v>
      </c>
      <c r="BA31" s="200">
        <f t="shared" si="7"/>
        <v>0</v>
      </c>
      <c r="BB31" s="196">
        <f t="shared" si="8"/>
        <v>50811.380060582596</v>
      </c>
      <c r="BC31" s="218">
        <f>Veg_Inputs!$G$20*AVERAGE(BR31,BS31)</f>
        <v>0</v>
      </c>
      <c r="BD31" s="200">
        <f t="shared" si="9"/>
        <v>11755.186417096611</v>
      </c>
      <c r="BE31" s="200">
        <f t="shared" si="19"/>
        <v>50811.380060582596</v>
      </c>
      <c r="BF31" s="86">
        <f t="shared" si="20"/>
        <v>39056.193643485982</v>
      </c>
      <c r="BG31" s="197">
        <f t="shared" si="21"/>
        <v>39056.193643485982</v>
      </c>
      <c r="BH31" s="86">
        <f t="shared" si="36"/>
        <v>0</v>
      </c>
      <c r="BI31" s="86">
        <f t="shared" si="37"/>
        <v>0</v>
      </c>
      <c r="BJ31" s="122">
        <f>-Debt_Calc!AG29</f>
        <v>0</v>
      </c>
      <c r="BK31" s="122">
        <f>Debt_Calc!AH29</f>
        <v>0</v>
      </c>
      <c r="BL31" s="86">
        <f t="shared" si="22"/>
        <v>0</v>
      </c>
      <c r="BM31" s="423">
        <f t="shared" si="38"/>
        <v>0</v>
      </c>
      <c r="BN31" s="86">
        <f t="shared" si="39"/>
        <v>39056.193643485982</v>
      </c>
      <c r="BO31" s="86">
        <f t="shared" si="23"/>
        <v>50811.380060582596</v>
      </c>
      <c r="BP31" s="86">
        <f t="shared" si="40"/>
        <v>39056.193643485982</v>
      </c>
      <c r="BQ31" s="86">
        <f t="shared" si="24"/>
        <v>0</v>
      </c>
      <c r="BR31" s="86">
        <f t="shared" si="25"/>
        <v>0</v>
      </c>
      <c r="BS31" s="86">
        <f t="shared" si="10"/>
        <v>0</v>
      </c>
      <c r="BT31" s="86">
        <f t="shared" si="26"/>
        <v>311867.14398395852</v>
      </c>
      <c r="BU31" s="86">
        <f t="shared" si="41"/>
        <v>2</v>
      </c>
      <c r="BV31" s="214">
        <f t="shared" si="11"/>
        <v>3471.7994962227763</v>
      </c>
    </row>
    <row r="32" spans="2:74" s="86" customFormat="1" x14ac:dyDescent="0.3">
      <c r="B32" s="192">
        <f t="shared" si="27"/>
        <v>21</v>
      </c>
      <c r="C32" s="350">
        <f t="shared" si="12"/>
        <v>2042</v>
      </c>
      <c r="D32" s="351">
        <f t="shared" si="42"/>
        <v>51867</v>
      </c>
      <c r="E32" s="441">
        <f t="shared" si="42"/>
        <v>52231</v>
      </c>
      <c r="F32" s="445">
        <f>IF(AND(B32&gt;0,B32&lt;=Veg_Inputs!$J$17),1,0)</f>
        <v>1</v>
      </c>
      <c r="G32" s="447">
        <f>IF(F32=1,Veg_Inputs!$G$31,0)</f>
        <v>78650</v>
      </c>
      <c r="H32" s="348">
        <f>IF(AND(F31=0,F32=1),100%,IF(AND(F31=0,F32=0),100%,H31-Veg_Inputs!$G$45))*F32</f>
        <v>0.9900000000000011</v>
      </c>
      <c r="I32" s="216">
        <f t="shared" si="29"/>
        <v>77863.500000000087</v>
      </c>
      <c r="J32" s="219">
        <f>Veg_Inputs!$J$11</f>
        <v>0.01</v>
      </c>
      <c r="K32" s="444">
        <f>IF(B32=1,Veg_Inputs!$R$15,K31*(1+Veg_CashFlows!J32))*F32</f>
        <v>4.5024258205194396</v>
      </c>
      <c r="L32" s="338">
        <f>IF(B32=1,Veg_Inputs!$R$16,L31*(1+Veg_CashFlows!J32))*F32</f>
        <v>4.5024258205194396</v>
      </c>
      <c r="M32" s="122">
        <f>K32*I32*Veg_Inputs!$J$9</f>
        <v>175287.3164380079</v>
      </c>
      <c r="N32" s="222">
        <f>L32*I32*Veg_Inputs!$J$10</f>
        <v>175287.3164380079</v>
      </c>
      <c r="O32" s="423">
        <f t="shared" si="30"/>
        <v>0</v>
      </c>
      <c r="P32" s="122">
        <f>SUM(M32:O32)+IF(B32=Veg_Inputs!$J$17,Veg_Inputs!$J$19,0)</f>
        <v>350574.63287601579</v>
      </c>
      <c r="Q32" s="218">
        <f>IF(B32=1,Veg_Inputs!$O$7,Q31*(1+Veg_Inputs!$N$23))*F32</f>
        <v>217068.84807699689</v>
      </c>
      <c r="R32" s="122">
        <f>IF(B32=1,Veg_Inputs!$O$8,R31*(1+Veg_Inputs!$N$23))*F32</f>
        <v>6711.0452197138184</v>
      </c>
      <c r="S32" s="122">
        <f>IF(B32=1,Veg_Inputs!$O$9,S31*(1+Veg_Inputs!$N$23))*F32</f>
        <v>35469.171465893087</v>
      </c>
      <c r="T32" s="122">
        <f>IF(B32=1,Veg_Inputs!$O$10,T31*(1+Veg_Inputs!$N$23))*F32</f>
        <v>6561.3992714183123</v>
      </c>
      <c r="U32" s="122">
        <f>IF(B32=1,Veg_Inputs!$O$11,U31*(1+Veg_Inputs!$N$23))*F32</f>
        <v>7915.7773265411488</v>
      </c>
      <c r="V32" s="122">
        <f>IF(B32=1,Veg_Inputs!$O$12,V31*(1+Veg_Inputs!$N$23))*F32</f>
        <v>112.56064551298601</v>
      </c>
      <c r="W32" s="122">
        <f>IF(B32=1,Veg_Inputs!$O$13,W31*(1+Veg_Inputs!$N$23))*F32</f>
        <v>0</v>
      </c>
      <c r="X32" s="122">
        <f>IF(B32=1,Veg_Inputs!$O$14,X31*(1+Veg_Inputs!$N$23))*F32</f>
        <v>1770.5789539192699</v>
      </c>
      <c r="Y32" s="122">
        <f>IF(B32=1,Veg_Inputs!$O$15,Y31*(1+Veg_Inputs!$N$23))*F32</f>
        <v>1770.5789539192699</v>
      </c>
      <c r="Z32" s="122">
        <f>IF(B32=1,Veg_Inputs!$O$16,Z31*(1+Veg_Inputs!$N$23))*F32</f>
        <v>13134.003570995923</v>
      </c>
      <c r="AA32" s="122">
        <f>IF(B32=1,Veg_Inputs!$O$17,AA31*(1+Veg_Inputs!$N$23))*F32</f>
        <v>8918.2334253085828</v>
      </c>
      <c r="AB32" s="181">
        <f>IF(B32=1,Veg_Inputs!$O$18,AB31*(1+Veg_Inputs!$N$23))*F32</f>
        <v>0</v>
      </c>
      <c r="AC32" s="482">
        <f>IF(B32=1,Veg_Inputs!$O$19,AC31*(1+Veg_Inputs!$N$23))*F32</f>
        <v>0</v>
      </c>
      <c r="AD32" s="122">
        <f>IF(B32=1,Veg_Inputs!$O$20,AD31*(1+Veg_Inputs!$N$23))*F32</f>
        <v>0</v>
      </c>
      <c r="AE32" s="122">
        <f>IF(B32=1,Veg_Inputs!$O$21,AE31*(1+Veg_Inputs!$N$23))*F32</f>
        <v>0</v>
      </c>
      <c r="AF32" s="132">
        <f>IF(B32=1,Veg_Inputs!$O$22,AF31*(1+Veg_Inputs!$N$23))*F32</f>
        <v>0</v>
      </c>
      <c r="AG32" s="200">
        <f t="shared" si="31"/>
        <v>299432.19691021938</v>
      </c>
      <c r="AH32" s="86">
        <f t="shared" si="13"/>
        <v>51142.435965796409</v>
      </c>
      <c r="AI32" s="225">
        <f t="shared" si="14"/>
        <v>0.14588173578401334</v>
      </c>
      <c r="AJ32" s="220">
        <f>Deprec!I31</f>
        <v>11627.425336927225</v>
      </c>
      <c r="AK32" s="86">
        <f t="shared" si="15"/>
        <v>39515.010628869182</v>
      </c>
      <c r="AL32" s="455">
        <f t="shared" si="32"/>
        <v>0</v>
      </c>
      <c r="AM32" s="86">
        <f t="shared" si="33"/>
        <v>39515.010628869182</v>
      </c>
      <c r="AN32" s="438">
        <f>IF(AM32&lt;0,0,(AM32*Veg_Inputs!$J$14))</f>
        <v>11854.503188660754</v>
      </c>
      <c r="AO32" s="86">
        <f t="shared" si="34"/>
        <v>27660.507440208428</v>
      </c>
      <c r="AP32" s="226">
        <f t="shared" si="16"/>
        <v>7.8900481798381689E-2</v>
      </c>
      <c r="AS32" s="196">
        <f t="shared" si="17"/>
        <v>350574.63287601579</v>
      </c>
      <c r="AT32" s="86">
        <f t="shared" si="18"/>
        <v>299432.19691021938</v>
      </c>
      <c r="AU32" s="197">
        <f t="shared" si="35"/>
        <v>51142.435965796409</v>
      </c>
      <c r="AV32" s="218">
        <f>IF(B32=0,Veg_Inputs!$C$29,0)</f>
        <v>0</v>
      </c>
      <c r="AW32" s="198">
        <f t="shared" si="5"/>
        <v>0</v>
      </c>
      <c r="AX32" s="197">
        <f t="shared" si="6"/>
        <v>51142.435965796409</v>
      </c>
      <c r="AY32" s="184">
        <f>IF(B32=0,Veg_Inputs!$G$15+Veg_Inputs!$G$16,0)</f>
        <v>0</v>
      </c>
      <c r="AZ32" s="185">
        <f>IF(B32=0,Veg_Inputs!$G$14,0)</f>
        <v>0</v>
      </c>
      <c r="BA32" s="200">
        <f t="shared" si="7"/>
        <v>0</v>
      </c>
      <c r="BB32" s="196">
        <f t="shared" si="8"/>
        <v>51142.435965796409</v>
      </c>
      <c r="BC32" s="218">
        <f>Veg_Inputs!$G$20*AVERAGE(BR32,BS32)</f>
        <v>0</v>
      </c>
      <c r="BD32" s="200">
        <f t="shared" si="9"/>
        <v>11854.503188660754</v>
      </c>
      <c r="BE32" s="200">
        <f t="shared" si="19"/>
        <v>51142.435965796409</v>
      </c>
      <c r="BF32" s="86">
        <f t="shared" si="20"/>
        <v>39287.932777135655</v>
      </c>
      <c r="BG32" s="197">
        <f t="shared" si="21"/>
        <v>39287.932777135655</v>
      </c>
      <c r="BH32" s="86">
        <f t="shared" si="36"/>
        <v>0</v>
      </c>
      <c r="BI32" s="86">
        <f t="shared" si="37"/>
        <v>0</v>
      </c>
      <c r="BJ32" s="122">
        <f>-Debt_Calc!AG30</f>
        <v>0</v>
      </c>
      <c r="BK32" s="122">
        <f>Debt_Calc!AH30</f>
        <v>0</v>
      </c>
      <c r="BL32" s="86">
        <f t="shared" si="22"/>
        <v>0</v>
      </c>
      <c r="BM32" s="423">
        <f t="shared" si="38"/>
        <v>0</v>
      </c>
      <c r="BN32" s="86">
        <f t="shared" si="39"/>
        <v>39287.932777135655</v>
      </c>
      <c r="BO32" s="86">
        <f t="shared" si="23"/>
        <v>51142.435965796409</v>
      </c>
      <c r="BP32" s="86">
        <f t="shared" si="40"/>
        <v>39287.932777135655</v>
      </c>
      <c r="BQ32" s="86">
        <f t="shared" si="24"/>
        <v>0</v>
      </c>
      <c r="BR32" s="86">
        <f t="shared" si="25"/>
        <v>0</v>
      </c>
      <c r="BS32" s="86">
        <f t="shared" si="10"/>
        <v>0</v>
      </c>
      <c r="BT32" s="86">
        <f t="shared" si="26"/>
        <v>351155.07676109415</v>
      </c>
      <c r="BU32" s="86">
        <f t="shared" si="41"/>
        <v>2</v>
      </c>
      <c r="BV32" s="214">
        <f t="shared" si="11"/>
        <v>3094.3336096530875</v>
      </c>
    </row>
    <row r="33" spans="2:93" s="86" customFormat="1" x14ac:dyDescent="0.3">
      <c r="B33" s="192">
        <f t="shared" si="27"/>
        <v>22</v>
      </c>
      <c r="C33" s="350">
        <f t="shared" si="12"/>
        <v>2043</v>
      </c>
      <c r="D33" s="351">
        <f t="shared" si="42"/>
        <v>52232</v>
      </c>
      <c r="E33" s="441">
        <f t="shared" si="42"/>
        <v>52596</v>
      </c>
      <c r="F33" s="445">
        <f>IF(AND(B33&gt;0,B33&lt;=Veg_Inputs!$J$17),1,0)</f>
        <v>1</v>
      </c>
      <c r="G33" s="447">
        <f>IF(F33=1,Veg_Inputs!$G$31,0)</f>
        <v>78650</v>
      </c>
      <c r="H33" s="348">
        <f>IF(AND(F32=0,F33=1),100%,IF(AND(F32=0,F33=0),100%,H32-Veg_Inputs!$G$45))*F33</f>
        <v>0.98950000000000116</v>
      </c>
      <c r="I33" s="216">
        <f t="shared" si="29"/>
        <v>77824.17500000009</v>
      </c>
      <c r="J33" s="219">
        <f>Veg_Inputs!$J$11</f>
        <v>0.01</v>
      </c>
      <c r="K33" s="444">
        <f>IF(B33=1,Veg_Inputs!$R$15,K32*(1+Veg_CashFlows!J33))*F33</f>
        <v>4.5474500787246344</v>
      </c>
      <c r="L33" s="338">
        <f>IF(B33=1,Veg_Inputs!$R$16,L32*(1+Veg_CashFlows!J33))*F33</f>
        <v>4.5474500787246344</v>
      </c>
      <c r="M33" s="122">
        <f>K33*I33*Veg_Inputs!$J$9</f>
        <v>176950.77536521506</v>
      </c>
      <c r="N33" s="222">
        <f>L33*I33*Veg_Inputs!$J$10</f>
        <v>176950.77536521506</v>
      </c>
      <c r="O33" s="423">
        <f t="shared" si="30"/>
        <v>0</v>
      </c>
      <c r="P33" s="122">
        <f>SUM(M33:O33)+IF(B33=Veg_Inputs!$J$17,Veg_Inputs!$J$19,0)</f>
        <v>353901.55073043011</v>
      </c>
      <c r="Q33" s="218">
        <f>IF(B33=1,Veg_Inputs!$O$7,Q32*(1+Veg_Inputs!$N$23))*F33</f>
        <v>219239.53655776687</v>
      </c>
      <c r="R33" s="122">
        <f>IF(B33=1,Veg_Inputs!$O$8,R32*(1+Veg_Inputs!$N$23))*F33</f>
        <v>6778.1556719109567</v>
      </c>
      <c r="S33" s="122">
        <f>IF(B33=1,Veg_Inputs!$O$9,S32*(1+Veg_Inputs!$N$23))*F33</f>
        <v>35823.86318055202</v>
      </c>
      <c r="T33" s="122">
        <f>IF(B33=1,Veg_Inputs!$O$10,T32*(1+Veg_Inputs!$N$23))*F33</f>
        <v>6627.0132641324954</v>
      </c>
      <c r="U33" s="122">
        <f>IF(B33=1,Veg_Inputs!$O$11,U32*(1+Veg_Inputs!$N$23))*F33</f>
        <v>7994.9350998065602</v>
      </c>
      <c r="V33" s="122">
        <f>IF(B33=1,Veg_Inputs!$O$12,V32*(1+Veg_Inputs!$N$23))*F33</f>
        <v>113.68625196811587</v>
      </c>
      <c r="W33" s="122">
        <f>IF(B33=1,Veg_Inputs!$O$13,W32*(1+Veg_Inputs!$N$23))*F33</f>
        <v>0</v>
      </c>
      <c r="X33" s="122">
        <f>IF(B33=1,Veg_Inputs!$O$14,X32*(1+Veg_Inputs!$N$23))*F33</f>
        <v>1788.2847434584626</v>
      </c>
      <c r="Y33" s="122">
        <f>IF(B33=1,Veg_Inputs!$O$15,Y32*(1+Veg_Inputs!$N$23))*F33</f>
        <v>1788.2847434584626</v>
      </c>
      <c r="Z33" s="122">
        <f>IF(B33=1,Veg_Inputs!$O$16,Z32*(1+Veg_Inputs!$N$23))*F33</f>
        <v>13265.343606705883</v>
      </c>
      <c r="AA33" s="122">
        <f>IF(B33=1,Veg_Inputs!$O$17,AA32*(1+Veg_Inputs!$N$23))*F33</f>
        <v>9007.4157595616689</v>
      </c>
      <c r="AB33" s="181">
        <f>IF(B33=1,Veg_Inputs!$O$18,AB32*(1+Veg_Inputs!$N$23))*F33</f>
        <v>0</v>
      </c>
      <c r="AC33" s="482">
        <f>IF(B33=1,Veg_Inputs!$O$19,AC32*(1+Veg_Inputs!$N$23))*F33</f>
        <v>0</v>
      </c>
      <c r="AD33" s="122">
        <f>IF(B33=1,Veg_Inputs!$O$20,AD32*(1+Veg_Inputs!$N$23))*F33</f>
        <v>0</v>
      </c>
      <c r="AE33" s="122">
        <f>IF(B33=1,Veg_Inputs!$O$21,AE32*(1+Veg_Inputs!$N$23))*F33</f>
        <v>0</v>
      </c>
      <c r="AF33" s="132">
        <f>IF(B33=1,Veg_Inputs!$O$22,AF32*(1+Veg_Inputs!$N$23))*F33</f>
        <v>0</v>
      </c>
      <c r="AG33" s="200">
        <f t="shared" si="31"/>
        <v>302426.51887932146</v>
      </c>
      <c r="AH33" s="86">
        <f t="shared" si="13"/>
        <v>51475.031851108652</v>
      </c>
      <c r="AI33" s="225">
        <f t="shared" si="14"/>
        <v>0.14545014494812888</v>
      </c>
      <c r="AJ33" s="220">
        <f>Deprec!I32</f>
        <v>11627.425336927225</v>
      </c>
      <c r="AK33" s="86">
        <f t="shared" si="15"/>
        <v>39847.606514181425</v>
      </c>
      <c r="AL33" s="455">
        <f t="shared" si="32"/>
        <v>0</v>
      </c>
      <c r="AM33" s="86">
        <f t="shared" si="33"/>
        <v>39847.606514181425</v>
      </c>
      <c r="AN33" s="438">
        <f>IF(AM33&lt;0,0,(AM33*Veg_Inputs!$J$14))</f>
        <v>11954.281954254428</v>
      </c>
      <c r="AO33" s="86">
        <f t="shared" si="34"/>
        <v>27893.324559926998</v>
      </c>
      <c r="AP33" s="226">
        <f t="shared" si="16"/>
        <v>7.8816621465367873E-2</v>
      </c>
      <c r="AS33" s="196">
        <f t="shared" si="17"/>
        <v>353901.55073043011</v>
      </c>
      <c r="AT33" s="86">
        <f t="shared" si="18"/>
        <v>302426.51887932146</v>
      </c>
      <c r="AU33" s="197">
        <f t="shared" si="35"/>
        <v>51475.031851108652</v>
      </c>
      <c r="AV33" s="218">
        <f>IF(B33=0,Veg_Inputs!$C$29,0)</f>
        <v>0</v>
      </c>
      <c r="AW33" s="198">
        <f t="shared" si="5"/>
        <v>0</v>
      </c>
      <c r="AX33" s="197">
        <f t="shared" si="6"/>
        <v>51475.031851108652</v>
      </c>
      <c r="AY33" s="184">
        <f>IF(B33=0,Veg_Inputs!$G$15+Veg_Inputs!$G$16,0)</f>
        <v>0</v>
      </c>
      <c r="AZ33" s="185">
        <f>IF(B33=0,Veg_Inputs!$G$14,0)</f>
        <v>0</v>
      </c>
      <c r="BA33" s="200">
        <f t="shared" si="7"/>
        <v>0</v>
      </c>
      <c r="BB33" s="196">
        <f t="shared" si="8"/>
        <v>51475.031851108652</v>
      </c>
      <c r="BC33" s="218">
        <f>Veg_Inputs!$G$20*AVERAGE(BR33,BS33)</f>
        <v>0</v>
      </c>
      <c r="BD33" s="200">
        <f t="shared" si="9"/>
        <v>11954.281954254428</v>
      </c>
      <c r="BE33" s="200">
        <f t="shared" si="19"/>
        <v>51475.031851108652</v>
      </c>
      <c r="BF33" s="86">
        <f t="shared" si="20"/>
        <v>39520.74989685422</v>
      </c>
      <c r="BG33" s="197">
        <f t="shared" si="21"/>
        <v>39520.74989685422</v>
      </c>
      <c r="BH33" s="86">
        <f t="shared" si="36"/>
        <v>0</v>
      </c>
      <c r="BI33" s="86">
        <f t="shared" si="37"/>
        <v>0</v>
      </c>
      <c r="BJ33" s="122">
        <f>-Debt_Calc!AG31</f>
        <v>0</v>
      </c>
      <c r="BK33" s="122">
        <f>Debt_Calc!AH31</f>
        <v>0</v>
      </c>
      <c r="BL33" s="86">
        <f t="shared" si="22"/>
        <v>0</v>
      </c>
      <c r="BM33" s="423">
        <f t="shared" si="38"/>
        <v>0</v>
      </c>
      <c r="BN33" s="86">
        <f t="shared" si="39"/>
        <v>39520.74989685422</v>
      </c>
      <c r="BO33" s="86">
        <f t="shared" si="23"/>
        <v>51475.031851108652</v>
      </c>
      <c r="BP33" s="86">
        <f t="shared" si="40"/>
        <v>39520.74989685422</v>
      </c>
      <c r="BQ33" s="86">
        <f t="shared" si="24"/>
        <v>0</v>
      </c>
      <c r="BR33" s="86">
        <f t="shared" si="25"/>
        <v>0</v>
      </c>
      <c r="BS33" s="86">
        <f t="shared" si="10"/>
        <v>0</v>
      </c>
      <c r="BT33" s="86">
        <f t="shared" si="26"/>
        <v>390675.82665794838</v>
      </c>
      <c r="BU33" s="86">
        <f t="shared" si="41"/>
        <v>2</v>
      </c>
      <c r="BV33" s="214">
        <f t="shared" si="11"/>
        <v>2757.886374182061</v>
      </c>
    </row>
    <row r="34" spans="2:93" s="86" customFormat="1" x14ac:dyDescent="0.3">
      <c r="B34" s="192">
        <f t="shared" si="27"/>
        <v>23</v>
      </c>
      <c r="C34" s="350">
        <f t="shared" si="12"/>
        <v>2044</v>
      </c>
      <c r="D34" s="351">
        <f t="shared" si="42"/>
        <v>52597</v>
      </c>
      <c r="E34" s="441">
        <f t="shared" si="42"/>
        <v>52962</v>
      </c>
      <c r="F34" s="445">
        <f>IF(AND(B34&gt;0,B34&lt;=Veg_Inputs!$J$17),1,0)</f>
        <v>1</v>
      </c>
      <c r="G34" s="447">
        <f>IF(F34=1,Veg_Inputs!$G$31,0)</f>
        <v>78650</v>
      </c>
      <c r="H34" s="348">
        <f>IF(AND(F33=0,F34=1),100%,IF(AND(F33=0,F34=0),100%,H33-Veg_Inputs!$G$45))*F34</f>
        <v>0.98900000000000121</v>
      </c>
      <c r="I34" s="216">
        <f t="shared" si="29"/>
        <v>77784.850000000093</v>
      </c>
      <c r="J34" s="219">
        <f>Veg_Inputs!$J$11</f>
        <v>0.01</v>
      </c>
      <c r="K34" s="444">
        <f>IF(B34=1,Veg_Inputs!$R$15,K33*(1+Veg_CashFlows!J34))*F34</f>
        <v>4.5929245795118812</v>
      </c>
      <c r="L34" s="338">
        <f>IF(B34=1,Veg_Inputs!$R$16,L33*(1+Veg_CashFlows!J34))*F34</f>
        <v>4.5929245795118812</v>
      </c>
      <c r="M34" s="122">
        <f>K34*I34*Veg_Inputs!$J$9</f>
        <v>178629.97473932258</v>
      </c>
      <c r="N34" s="222">
        <f>L34*I34*Veg_Inputs!$J$10</f>
        <v>178629.97473932258</v>
      </c>
      <c r="O34" s="423">
        <f t="shared" si="30"/>
        <v>0</v>
      </c>
      <c r="P34" s="122">
        <f>SUM(M34:O34)+IF(B34=Veg_Inputs!$J$17,Veg_Inputs!$J$19,0)</f>
        <v>357259.94947864517</v>
      </c>
      <c r="Q34" s="218">
        <f>IF(B34=1,Veg_Inputs!$O$7,Q33*(1+Veg_Inputs!$N$23))*F34</f>
        <v>221431.93192334453</v>
      </c>
      <c r="R34" s="122">
        <f>IF(B34=1,Veg_Inputs!$O$8,R33*(1+Veg_Inputs!$N$23))*F34</f>
        <v>6845.9372286300659</v>
      </c>
      <c r="S34" s="122">
        <f>IF(B34=1,Veg_Inputs!$O$9,S33*(1+Veg_Inputs!$N$23))*F34</f>
        <v>36182.101812357541</v>
      </c>
      <c r="T34" s="122">
        <f>IF(B34=1,Veg_Inputs!$O$10,T33*(1+Veg_Inputs!$N$23))*F34</f>
        <v>6693.2833967738206</v>
      </c>
      <c r="U34" s="122">
        <f>IF(B34=1,Veg_Inputs!$O$11,U33*(1+Veg_Inputs!$N$23))*F34</f>
        <v>8074.8844508046259</v>
      </c>
      <c r="V34" s="122">
        <f>IF(B34=1,Veg_Inputs!$O$12,V33*(1+Veg_Inputs!$N$23))*F34</f>
        <v>114.82311448779703</v>
      </c>
      <c r="W34" s="122">
        <f>IF(B34=1,Veg_Inputs!$O$13,W33*(1+Veg_Inputs!$N$23))*F34</f>
        <v>0</v>
      </c>
      <c r="X34" s="122">
        <f>IF(B34=1,Veg_Inputs!$O$14,X33*(1+Veg_Inputs!$N$23))*F34</f>
        <v>1806.1675908930472</v>
      </c>
      <c r="Y34" s="122">
        <f>IF(B34=1,Veg_Inputs!$O$15,Y33*(1+Veg_Inputs!$N$23))*F34</f>
        <v>1806.1675908930472</v>
      </c>
      <c r="Z34" s="122">
        <f>IF(B34=1,Veg_Inputs!$O$16,Z33*(1+Veg_Inputs!$N$23))*F34</f>
        <v>13397.997042772942</v>
      </c>
      <c r="AA34" s="122">
        <f>IF(B34=1,Veg_Inputs!$O$17,AA33*(1+Veg_Inputs!$N$23))*F34</f>
        <v>9097.4899171572852</v>
      </c>
      <c r="AB34" s="181">
        <f>IF(B34=1,Veg_Inputs!$O$18,AB33*(1+Veg_Inputs!$N$23))*F34</f>
        <v>0</v>
      </c>
      <c r="AC34" s="482">
        <f>IF(B34=1,Veg_Inputs!$O$19,AC33*(1+Veg_Inputs!$N$23))*F34</f>
        <v>0</v>
      </c>
      <c r="AD34" s="122">
        <f>IF(B34=1,Veg_Inputs!$O$20,AD33*(1+Veg_Inputs!$N$23))*F34</f>
        <v>0</v>
      </c>
      <c r="AE34" s="122">
        <f>IF(B34=1,Veg_Inputs!$O$21,AE33*(1+Veg_Inputs!$N$23))*F34</f>
        <v>0</v>
      </c>
      <c r="AF34" s="132">
        <f>IF(B34=1,Veg_Inputs!$O$22,AF33*(1+Veg_Inputs!$N$23))*F34</f>
        <v>0</v>
      </c>
      <c r="AG34" s="200">
        <f t="shared" si="31"/>
        <v>305450.78406811465</v>
      </c>
      <c r="AH34" s="86">
        <f t="shared" si="13"/>
        <v>51809.165410530521</v>
      </c>
      <c r="AI34" s="225">
        <f t="shared" si="14"/>
        <v>0.14501811772110593</v>
      </c>
      <c r="AJ34" s="220">
        <f>Deprec!I33</f>
        <v>11627.425336927225</v>
      </c>
      <c r="AK34" s="86">
        <f t="shared" si="15"/>
        <v>40181.740073603294</v>
      </c>
      <c r="AL34" s="455">
        <f t="shared" si="32"/>
        <v>0</v>
      </c>
      <c r="AM34" s="86">
        <f t="shared" si="33"/>
        <v>40181.740073603294</v>
      </c>
      <c r="AN34" s="438">
        <f>IF(AM34&lt;0,0,(AM34*Veg_Inputs!$J$14))</f>
        <v>12054.522022080988</v>
      </c>
      <c r="AO34" s="86">
        <f t="shared" si="34"/>
        <v>28127.218051522308</v>
      </c>
      <c r="AP34" s="226">
        <f t="shared" si="16"/>
        <v>7.8730398110867961E-2</v>
      </c>
      <c r="AS34" s="196">
        <f t="shared" si="17"/>
        <v>357259.94947864517</v>
      </c>
      <c r="AT34" s="86">
        <f t="shared" si="18"/>
        <v>305450.78406811465</v>
      </c>
      <c r="AU34" s="197">
        <f t="shared" si="35"/>
        <v>51809.165410530521</v>
      </c>
      <c r="AV34" s="218">
        <f>IF(B34=0,Veg_Inputs!$C$29,0)</f>
        <v>0</v>
      </c>
      <c r="AW34" s="198">
        <f t="shared" si="5"/>
        <v>0</v>
      </c>
      <c r="AX34" s="197">
        <f t="shared" si="6"/>
        <v>51809.165410530521</v>
      </c>
      <c r="AY34" s="184">
        <f>IF(B34=0,Veg_Inputs!$G$15+Veg_Inputs!$G$16,0)</f>
        <v>0</v>
      </c>
      <c r="AZ34" s="185">
        <f>IF(B34=0,Veg_Inputs!$G$14,0)</f>
        <v>0</v>
      </c>
      <c r="BA34" s="200">
        <f t="shared" si="7"/>
        <v>0</v>
      </c>
      <c r="BB34" s="196">
        <f t="shared" si="8"/>
        <v>51809.165410530521</v>
      </c>
      <c r="BC34" s="218">
        <f>Veg_Inputs!$G$20*AVERAGE(BR34,BS34)</f>
        <v>0</v>
      </c>
      <c r="BD34" s="200">
        <f t="shared" si="9"/>
        <v>12054.522022080988</v>
      </c>
      <c r="BE34" s="200">
        <f t="shared" si="19"/>
        <v>51809.165410530521</v>
      </c>
      <c r="BF34" s="86">
        <f t="shared" si="20"/>
        <v>39754.643388449535</v>
      </c>
      <c r="BG34" s="197">
        <f t="shared" si="21"/>
        <v>39754.643388449535</v>
      </c>
      <c r="BH34" s="86">
        <f t="shared" si="36"/>
        <v>0</v>
      </c>
      <c r="BI34" s="86">
        <f t="shared" si="37"/>
        <v>0</v>
      </c>
      <c r="BJ34" s="122">
        <f>-Debt_Calc!AG32</f>
        <v>0</v>
      </c>
      <c r="BK34" s="122">
        <f>Debt_Calc!AH32</f>
        <v>0</v>
      </c>
      <c r="BL34" s="86">
        <f t="shared" si="22"/>
        <v>0</v>
      </c>
      <c r="BM34" s="423">
        <f t="shared" si="38"/>
        <v>0</v>
      </c>
      <c r="BN34" s="86">
        <f t="shared" si="39"/>
        <v>39754.643388449535</v>
      </c>
      <c r="BO34" s="86">
        <f t="shared" si="23"/>
        <v>51809.165410530521</v>
      </c>
      <c r="BP34" s="86">
        <f t="shared" si="40"/>
        <v>39754.643388449535</v>
      </c>
      <c r="BQ34" s="86">
        <f t="shared" si="24"/>
        <v>0</v>
      </c>
      <c r="BR34" s="86">
        <f t="shared" si="25"/>
        <v>0</v>
      </c>
      <c r="BS34" s="86">
        <f t="shared" si="10"/>
        <v>0</v>
      </c>
      <c r="BT34" s="86">
        <f t="shared" si="26"/>
        <v>430430.47004639788</v>
      </c>
      <c r="BU34" s="86">
        <f t="shared" si="41"/>
        <v>2</v>
      </c>
      <c r="BV34" s="214">
        <f t="shared" si="11"/>
        <v>2458.002332003317</v>
      </c>
    </row>
    <row r="35" spans="2:93" s="86" customFormat="1" x14ac:dyDescent="0.3">
      <c r="B35" s="192">
        <f t="shared" si="27"/>
        <v>24</v>
      </c>
      <c r="C35" s="350">
        <f t="shared" si="12"/>
        <v>2045</v>
      </c>
      <c r="D35" s="351">
        <f t="shared" si="42"/>
        <v>52963</v>
      </c>
      <c r="E35" s="441">
        <f t="shared" si="42"/>
        <v>53327</v>
      </c>
      <c r="F35" s="445">
        <f>IF(AND(B35&gt;0,B35&lt;=Veg_Inputs!$J$17),1,0)</f>
        <v>1</v>
      </c>
      <c r="G35" s="447">
        <f>IF(F35=1,Veg_Inputs!$G$31,0)</f>
        <v>78650</v>
      </c>
      <c r="H35" s="348">
        <f>IF(AND(F34=0,F35=1),100%,IF(AND(F34=0,F35=0),100%,H34-Veg_Inputs!$G$45))*F35</f>
        <v>0.98850000000000127</v>
      </c>
      <c r="I35" s="216">
        <f t="shared" si="29"/>
        <v>77745.525000000096</v>
      </c>
      <c r="J35" s="219">
        <f>Veg_Inputs!$J$11</f>
        <v>0.01</v>
      </c>
      <c r="K35" s="444">
        <f>IF(B35=1,Veg_Inputs!$R$15,K34*(1+Veg_CashFlows!J35))*F35</f>
        <v>4.6388538253069997</v>
      </c>
      <c r="L35" s="338">
        <f>IF(B35=1,Veg_Inputs!$R$16,L34*(1+Veg_CashFlows!J35))*F35</f>
        <v>4.6388538253069997</v>
      </c>
      <c r="M35" s="122">
        <f>K35*I35*Veg_Inputs!$J$9</f>
        <v>180325.06302337573</v>
      </c>
      <c r="N35" s="222">
        <f>L35*I35*Veg_Inputs!$J$10</f>
        <v>180325.06302337573</v>
      </c>
      <c r="O35" s="423">
        <f t="shared" si="30"/>
        <v>0</v>
      </c>
      <c r="P35" s="122">
        <f>SUM(M35:O35)+IF(B35=Veg_Inputs!$J$17,Veg_Inputs!$J$19,0)</f>
        <v>360650.12604675145</v>
      </c>
      <c r="Q35" s="218">
        <f>IF(B35=1,Veg_Inputs!$O$7,Q34*(1+Veg_Inputs!$N$23))*F35</f>
        <v>223646.25124257797</v>
      </c>
      <c r="R35" s="122">
        <f>IF(B35=1,Veg_Inputs!$O$8,R34*(1+Veg_Inputs!$N$23))*F35</f>
        <v>6914.3966009163669</v>
      </c>
      <c r="S35" s="122">
        <f>IF(B35=1,Veg_Inputs!$O$9,S34*(1+Veg_Inputs!$N$23))*F35</f>
        <v>36543.922830481119</v>
      </c>
      <c r="T35" s="122">
        <f>IF(B35=1,Veg_Inputs!$O$10,T34*(1+Veg_Inputs!$N$23))*F35</f>
        <v>6760.2162307415592</v>
      </c>
      <c r="U35" s="122">
        <f>IF(B35=1,Veg_Inputs!$O$11,U34*(1+Veg_Inputs!$N$23))*F35</f>
        <v>8155.6332953126721</v>
      </c>
      <c r="V35" s="122">
        <f>IF(B35=1,Veg_Inputs!$O$12,V34*(1+Veg_Inputs!$N$23))*F35</f>
        <v>115.971345632675</v>
      </c>
      <c r="W35" s="122">
        <f>IF(B35=1,Veg_Inputs!$O$13,W34*(1+Veg_Inputs!$N$23))*F35</f>
        <v>0</v>
      </c>
      <c r="X35" s="122">
        <f>IF(B35=1,Veg_Inputs!$O$14,X34*(1+Veg_Inputs!$N$23))*F35</f>
        <v>1824.2292668019777</v>
      </c>
      <c r="Y35" s="122">
        <f>IF(B35=1,Veg_Inputs!$O$15,Y34*(1+Veg_Inputs!$N$23))*F35</f>
        <v>1824.2292668019777</v>
      </c>
      <c r="Z35" s="122">
        <f>IF(B35=1,Veg_Inputs!$O$16,Z34*(1+Veg_Inputs!$N$23))*F35</f>
        <v>13531.977013200672</v>
      </c>
      <c r="AA35" s="122">
        <f>IF(B35=1,Veg_Inputs!$O$17,AA34*(1+Veg_Inputs!$N$23))*F35</f>
        <v>9188.4648163288584</v>
      </c>
      <c r="AB35" s="181">
        <f>IF(B35=1,Veg_Inputs!$O$18,AB34*(1+Veg_Inputs!$N$23))*F35</f>
        <v>0</v>
      </c>
      <c r="AC35" s="482">
        <f>IF(B35=1,Veg_Inputs!$O$19,AC34*(1+Veg_Inputs!$N$23))*F35</f>
        <v>0</v>
      </c>
      <c r="AD35" s="122">
        <f>IF(B35=1,Veg_Inputs!$O$20,AD34*(1+Veg_Inputs!$N$23))*F35</f>
        <v>0</v>
      </c>
      <c r="AE35" s="122">
        <f>IF(B35=1,Veg_Inputs!$O$21,AE34*(1+Veg_Inputs!$N$23))*F35</f>
        <v>0</v>
      </c>
      <c r="AF35" s="132">
        <f>IF(B35=1,Veg_Inputs!$O$22,AF34*(1+Veg_Inputs!$N$23))*F35</f>
        <v>0</v>
      </c>
      <c r="AG35" s="200">
        <f t="shared" si="31"/>
        <v>308505.29190879589</v>
      </c>
      <c r="AH35" s="86">
        <f t="shared" si="13"/>
        <v>52144.834137955564</v>
      </c>
      <c r="AI35" s="225">
        <f t="shared" si="14"/>
        <v>0.14458565344074212</v>
      </c>
      <c r="AJ35" s="220">
        <f>Deprec!I34</f>
        <v>11627.425336927225</v>
      </c>
      <c r="AK35" s="86">
        <f t="shared" si="15"/>
        <v>40517.408801028338</v>
      </c>
      <c r="AL35" s="455">
        <f t="shared" si="32"/>
        <v>0</v>
      </c>
      <c r="AM35" s="86">
        <f t="shared" si="33"/>
        <v>40517.408801028338</v>
      </c>
      <c r="AN35" s="438">
        <f>IF(AM35&lt;0,0,(AM35*Veg_Inputs!$J$14))</f>
        <v>12155.222640308501</v>
      </c>
      <c r="AO35" s="86">
        <f t="shared" si="34"/>
        <v>28362.186160719837</v>
      </c>
      <c r="AP35" s="226">
        <f t="shared" si="16"/>
        <v>7.8641830717239833E-2</v>
      </c>
      <c r="AS35" s="196">
        <f t="shared" si="17"/>
        <v>360650.12604675145</v>
      </c>
      <c r="AT35" s="86">
        <f t="shared" si="18"/>
        <v>308505.29190879589</v>
      </c>
      <c r="AU35" s="197">
        <f t="shared" si="35"/>
        <v>52144.834137955564</v>
      </c>
      <c r="AV35" s="218">
        <f>IF(B35=0,Veg_Inputs!$C$29,0)</f>
        <v>0</v>
      </c>
      <c r="AW35" s="198">
        <f t="shared" si="5"/>
        <v>0</v>
      </c>
      <c r="AX35" s="197">
        <f t="shared" si="6"/>
        <v>52144.834137955564</v>
      </c>
      <c r="AY35" s="184">
        <f>IF(B35=0,Veg_Inputs!$G$15+Veg_Inputs!$G$16,0)</f>
        <v>0</v>
      </c>
      <c r="AZ35" s="185">
        <f>IF(B35=0,Veg_Inputs!$G$14,0)</f>
        <v>0</v>
      </c>
      <c r="BA35" s="200">
        <f t="shared" si="7"/>
        <v>0</v>
      </c>
      <c r="BB35" s="196">
        <f t="shared" si="8"/>
        <v>52144.834137955564</v>
      </c>
      <c r="BC35" s="218">
        <f>Veg_Inputs!$G$20*AVERAGE(BR35,BS35)</f>
        <v>0</v>
      </c>
      <c r="BD35" s="200">
        <f t="shared" si="9"/>
        <v>12155.222640308501</v>
      </c>
      <c r="BE35" s="200">
        <f t="shared" si="19"/>
        <v>52144.834137955564</v>
      </c>
      <c r="BF35" s="86">
        <f t="shared" si="20"/>
        <v>39989.611497647064</v>
      </c>
      <c r="BG35" s="197">
        <f t="shared" si="21"/>
        <v>39989.611497647064</v>
      </c>
      <c r="BH35" s="86">
        <f t="shared" si="36"/>
        <v>0</v>
      </c>
      <c r="BI35" s="86">
        <f t="shared" si="37"/>
        <v>0</v>
      </c>
      <c r="BJ35" s="122">
        <f>-Debt_Calc!AG33</f>
        <v>0</v>
      </c>
      <c r="BK35" s="122">
        <f>Debt_Calc!AH33</f>
        <v>0</v>
      </c>
      <c r="BL35" s="86">
        <f t="shared" si="22"/>
        <v>0</v>
      </c>
      <c r="BM35" s="423">
        <f t="shared" si="38"/>
        <v>0</v>
      </c>
      <c r="BN35" s="86">
        <f t="shared" si="39"/>
        <v>39989.611497647064</v>
      </c>
      <c r="BO35" s="86">
        <f t="shared" si="23"/>
        <v>52144.834137955564</v>
      </c>
      <c r="BP35" s="86">
        <f t="shared" si="40"/>
        <v>39989.611497647064</v>
      </c>
      <c r="BQ35" s="86">
        <f t="shared" si="24"/>
        <v>0</v>
      </c>
      <c r="BR35" s="86">
        <f t="shared" si="25"/>
        <v>0</v>
      </c>
      <c r="BS35" s="86">
        <f t="shared" si="10"/>
        <v>0</v>
      </c>
      <c r="BT35" s="86">
        <f t="shared" si="26"/>
        <v>470420.08154404495</v>
      </c>
      <c r="BU35" s="86">
        <f t="shared" si="41"/>
        <v>2</v>
      </c>
      <c r="BV35" s="214">
        <f t="shared" si="11"/>
        <v>2190.7097922250905</v>
      </c>
    </row>
    <row r="36" spans="2:93" s="86" customFormat="1" x14ac:dyDescent="0.3">
      <c r="B36" s="192">
        <f t="shared" si="27"/>
        <v>25</v>
      </c>
      <c r="C36" s="350">
        <f t="shared" si="12"/>
        <v>2046</v>
      </c>
      <c r="D36" s="351">
        <f t="shared" si="42"/>
        <v>53328</v>
      </c>
      <c r="E36" s="441">
        <f t="shared" si="42"/>
        <v>53692</v>
      </c>
      <c r="F36" s="445">
        <f>IF(AND(B36&gt;0,B36&lt;=Veg_Inputs!$J$17),1,0)</f>
        <v>1</v>
      </c>
      <c r="G36" s="447">
        <f>IF(F36=1,Veg_Inputs!$G$31,0)</f>
        <v>78650</v>
      </c>
      <c r="H36" s="348">
        <f>IF(AND(F35=0,F36=1),100%,IF(AND(F35=0,F36=0),100%,H35-Veg_Inputs!$G$45))*F36</f>
        <v>0.98800000000000132</v>
      </c>
      <c r="I36" s="216">
        <f t="shared" si="29"/>
        <v>77706.200000000099</v>
      </c>
      <c r="J36" s="219">
        <f>Veg_Inputs!$J$11</f>
        <v>0.01</v>
      </c>
      <c r="K36" s="444">
        <f>IF(B36=1,Veg_Inputs!$R$15,K35*(1+Veg_CashFlows!J36))*F36</f>
        <v>4.6852423635600697</v>
      </c>
      <c r="L36" s="338">
        <f>IF(B36=1,Veg_Inputs!$R$16,L35*(1+Veg_CashFlows!J36))*F36</f>
        <v>4.6852423635600697</v>
      </c>
      <c r="M36" s="122">
        <f>K36*I36*Veg_Inputs!$J$9</f>
        <v>182036.19007563597</v>
      </c>
      <c r="N36" s="222">
        <f>L36*I36*Veg_Inputs!$J$10</f>
        <v>182036.19007563597</v>
      </c>
      <c r="O36" s="423">
        <f t="shared" si="30"/>
        <v>0</v>
      </c>
      <c r="P36" s="122">
        <f>SUM(M36:O36)+IF(B36=Veg_Inputs!$J$17,Veg_Inputs!$J$19,0)</f>
        <v>364072.38015127194</v>
      </c>
      <c r="Q36" s="218">
        <f>IF(B36=1,Veg_Inputs!$O$7,Q35*(1+Veg_Inputs!$N$23))*F36</f>
        <v>225882.71375500376</v>
      </c>
      <c r="R36" s="122">
        <f>IF(B36=1,Veg_Inputs!$O$8,R35*(1+Veg_Inputs!$N$23))*F36</f>
        <v>6983.5405669255306</v>
      </c>
      <c r="S36" s="122">
        <f>IF(B36=1,Veg_Inputs!$O$9,S35*(1+Veg_Inputs!$N$23))*F36</f>
        <v>36909.362058785933</v>
      </c>
      <c r="T36" s="122">
        <f>IF(B36=1,Veg_Inputs!$O$10,T35*(1+Veg_Inputs!$N$23))*F36</f>
        <v>6827.8183930489749</v>
      </c>
      <c r="U36" s="122">
        <f>IF(B36=1,Veg_Inputs!$O$11,U35*(1+Veg_Inputs!$N$23))*F36</f>
        <v>8237.1896282657981</v>
      </c>
      <c r="V36" s="122">
        <f>IF(B36=1,Veg_Inputs!$O$12,V35*(1+Veg_Inputs!$N$23))*F36</f>
        <v>117.13105908900175</v>
      </c>
      <c r="W36" s="122">
        <f>IF(B36=1,Veg_Inputs!$O$13,W35*(1+Veg_Inputs!$N$23))*F36</f>
        <v>0</v>
      </c>
      <c r="X36" s="122">
        <f>IF(B36=1,Veg_Inputs!$O$14,X35*(1+Veg_Inputs!$N$23))*F36</f>
        <v>1842.4715594699976</v>
      </c>
      <c r="Y36" s="122">
        <f>IF(B36=1,Veg_Inputs!$O$15,Y35*(1+Veg_Inputs!$N$23))*F36</f>
        <v>1842.4715594699976</v>
      </c>
      <c r="Z36" s="122">
        <f>IF(B36=1,Veg_Inputs!$O$16,Z35*(1+Veg_Inputs!$N$23))*F36</f>
        <v>13667.296783332678</v>
      </c>
      <c r="AA36" s="122">
        <f>IF(B36=1,Veg_Inputs!$O$17,AA35*(1+Veg_Inputs!$N$23))*F36</f>
        <v>9280.3494644921466</v>
      </c>
      <c r="AB36" s="181">
        <f>IF(B36=1,Veg_Inputs!$O$18,AB35*(1+Veg_Inputs!$N$23))*F36</f>
        <v>0</v>
      </c>
      <c r="AC36" s="482">
        <f>IF(B36=1,Veg_Inputs!$O$19,AC35*(1+Veg_Inputs!$N$23))*F36</f>
        <v>0</v>
      </c>
      <c r="AD36" s="122">
        <f>IF(B36=1,Veg_Inputs!$O$20,AD35*(1+Veg_Inputs!$N$23))*F36</f>
        <v>0</v>
      </c>
      <c r="AE36" s="122">
        <f>IF(B36=1,Veg_Inputs!$O$21,AE35*(1+Veg_Inputs!$N$23))*F36</f>
        <v>0</v>
      </c>
      <c r="AF36" s="132">
        <f>IF(B36=1,Veg_Inputs!$O$22,AF35*(1+Veg_Inputs!$N$23))*F36</f>
        <v>0</v>
      </c>
      <c r="AG36" s="200">
        <f t="shared" si="31"/>
        <v>311590.34482788376</v>
      </c>
      <c r="AH36" s="86">
        <f t="shared" si="13"/>
        <v>52482.035323388176</v>
      </c>
      <c r="AI36" s="225">
        <f t="shared" si="14"/>
        <v>0.14415275144349568</v>
      </c>
      <c r="AJ36" s="220">
        <f>Deprec!I35</f>
        <v>11627.425336927225</v>
      </c>
      <c r="AK36" s="86">
        <f t="shared" si="15"/>
        <v>40854.60998646095</v>
      </c>
      <c r="AL36" s="455">
        <f t="shared" si="32"/>
        <v>0</v>
      </c>
      <c r="AM36" s="86">
        <f t="shared" si="33"/>
        <v>40854.60998646095</v>
      </c>
      <c r="AN36" s="438">
        <f>IF(AM36&lt;0,0,(AM36*Veg_Inputs!$J$14))</f>
        <v>12256.382995938284</v>
      </c>
      <c r="AO36" s="86">
        <f t="shared" si="34"/>
        <v>28598.226990522664</v>
      </c>
      <c r="AP36" s="226">
        <f t="shared" si="16"/>
        <v>7.8550938081708127E-2</v>
      </c>
      <c r="AS36" s="196">
        <f t="shared" si="17"/>
        <v>364072.38015127194</v>
      </c>
      <c r="AT36" s="86">
        <f t="shared" si="18"/>
        <v>311590.34482788376</v>
      </c>
      <c r="AU36" s="197">
        <f t="shared" si="35"/>
        <v>52482.035323388176</v>
      </c>
      <c r="AV36" s="218">
        <f>IF(B36=0,Veg_Inputs!$C$29,0)</f>
        <v>0</v>
      </c>
      <c r="AW36" s="198">
        <f t="shared" si="5"/>
        <v>0</v>
      </c>
      <c r="AX36" s="197">
        <f t="shared" si="6"/>
        <v>52482.035323388176</v>
      </c>
      <c r="AY36" s="184">
        <f>IF(B36=0,Veg_Inputs!$G$15+Veg_Inputs!$G$16,0)</f>
        <v>0</v>
      </c>
      <c r="AZ36" s="185">
        <f>IF(B36=0,Veg_Inputs!$G$14,0)</f>
        <v>0</v>
      </c>
      <c r="BA36" s="200">
        <f t="shared" si="7"/>
        <v>0</v>
      </c>
      <c r="BB36" s="196">
        <f t="shared" si="8"/>
        <v>52482.035323388176</v>
      </c>
      <c r="BC36" s="218">
        <f>Veg_Inputs!$G$20*AVERAGE(BR36,BS36)</f>
        <v>0</v>
      </c>
      <c r="BD36" s="200">
        <f t="shared" si="9"/>
        <v>12256.382995938284</v>
      </c>
      <c r="BE36" s="200">
        <f t="shared" si="19"/>
        <v>52482.035323388176</v>
      </c>
      <c r="BF36" s="86">
        <f t="shared" si="20"/>
        <v>40225.65232744989</v>
      </c>
      <c r="BG36" s="197">
        <f t="shared" si="21"/>
        <v>40225.65232744989</v>
      </c>
      <c r="BH36" s="86">
        <f t="shared" si="36"/>
        <v>0</v>
      </c>
      <c r="BI36" s="86">
        <f t="shared" si="37"/>
        <v>0</v>
      </c>
      <c r="BJ36" s="122">
        <f>-Debt_Calc!AG34</f>
        <v>0</v>
      </c>
      <c r="BK36" s="122">
        <f>Debt_Calc!AH34</f>
        <v>0</v>
      </c>
      <c r="BL36" s="86">
        <f t="shared" si="22"/>
        <v>0</v>
      </c>
      <c r="BM36" s="423">
        <f t="shared" si="38"/>
        <v>0</v>
      </c>
      <c r="BN36" s="86">
        <f t="shared" si="39"/>
        <v>40225.65232744989</v>
      </c>
      <c r="BO36" s="86">
        <f t="shared" si="23"/>
        <v>52482.035323388176</v>
      </c>
      <c r="BP36" s="86">
        <f t="shared" si="40"/>
        <v>40225.65232744989</v>
      </c>
      <c r="BQ36" s="86">
        <f t="shared" si="24"/>
        <v>0</v>
      </c>
      <c r="BR36" s="86">
        <f t="shared" si="25"/>
        <v>0</v>
      </c>
      <c r="BS36" s="86">
        <f t="shared" si="10"/>
        <v>0</v>
      </c>
      <c r="BT36" s="86">
        <f t="shared" si="26"/>
        <v>510645.73387149483</v>
      </c>
      <c r="BU36" s="86">
        <f t="shared" si="41"/>
        <v>2</v>
      </c>
      <c r="BV36" s="214">
        <f t="shared" si="11"/>
        <v>1952.4683214206198</v>
      </c>
    </row>
    <row r="37" spans="2:93" s="86" customFormat="1" x14ac:dyDescent="0.3">
      <c r="B37" s="192">
        <f t="shared" si="27"/>
        <v>26</v>
      </c>
      <c r="C37" s="350">
        <f t="shared" si="12"/>
        <v>2047</v>
      </c>
      <c r="D37" s="351">
        <f t="shared" si="42"/>
        <v>53693</v>
      </c>
      <c r="E37" s="441">
        <f t="shared" si="42"/>
        <v>54057</v>
      </c>
      <c r="F37" s="445">
        <f>IF(AND(B37&gt;0,B37&lt;=Veg_Inputs!$J$17),1,0)</f>
        <v>0</v>
      </c>
      <c r="G37" s="447">
        <f>IF(F37=1,Veg_Inputs!$G$31,0)</f>
        <v>0</v>
      </c>
      <c r="H37" s="348">
        <f>IF(AND(F36=0,F37=1),100%,IF(AND(F36=0,F37=0),100%,H36-Veg_Inputs!$G$45))*F37</f>
        <v>0</v>
      </c>
      <c r="I37" s="216">
        <f t="shared" si="29"/>
        <v>0</v>
      </c>
      <c r="J37" s="219">
        <f>Veg_Inputs!$J$11</f>
        <v>0.01</v>
      </c>
      <c r="K37" s="444">
        <f>IF(B37=1,Veg_Inputs!$R$15,K36*(1+Veg_CashFlows!J37))*F37</f>
        <v>0</v>
      </c>
      <c r="L37" s="338">
        <f>IF(B37=1,Veg_Inputs!$R$16,L36*(1+Veg_CashFlows!J37))*F37</f>
        <v>0</v>
      </c>
      <c r="M37" s="122">
        <f>K37*I37*Veg_Inputs!$J$9</f>
        <v>0</v>
      </c>
      <c r="N37" s="222">
        <f>L37*I37*Veg_Inputs!$J$10</f>
        <v>0</v>
      </c>
      <c r="O37" s="423">
        <f t="shared" si="30"/>
        <v>0</v>
      </c>
      <c r="P37" s="122">
        <f>SUM(M37:O37)+IF(B37=Veg_Inputs!$J$17,Veg_Inputs!$J$19,0)</f>
        <v>0</v>
      </c>
      <c r="Q37" s="218">
        <f>IF(B37=1,Veg_Inputs!$O$7,Q36*(1+Veg_Inputs!$N$23))*F37</f>
        <v>0</v>
      </c>
      <c r="R37" s="122">
        <f>IF(B37=1,Veg_Inputs!$O$8,R36*(1+Veg_Inputs!$N$23))*F37</f>
        <v>0</v>
      </c>
      <c r="S37" s="122">
        <f>IF(B37=1,Veg_Inputs!$O$9,S36*(1+Veg_Inputs!$N$23))*F37</f>
        <v>0</v>
      </c>
      <c r="T37" s="122">
        <f>IF(B37=1,Veg_Inputs!$O$10,T36*(1+Veg_Inputs!$N$23))*F37</f>
        <v>0</v>
      </c>
      <c r="U37" s="122">
        <f>IF(B37=1,Veg_Inputs!$O$11,U36*(1+Veg_Inputs!$N$23))*F37</f>
        <v>0</v>
      </c>
      <c r="V37" s="122">
        <f>IF(B37=1,Veg_Inputs!$O$12,V36*(1+Veg_Inputs!$N$23))*F37</f>
        <v>0</v>
      </c>
      <c r="W37" s="122">
        <f>IF(B37=1,Veg_Inputs!$O$13,W36*(1+Veg_Inputs!$N$23))*F37</f>
        <v>0</v>
      </c>
      <c r="X37" s="122">
        <f>IF(B37=1,Veg_Inputs!$O$14,X36*(1+Veg_Inputs!$N$23))*F37</f>
        <v>0</v>
      </c>
      <c r="Y37" s="122">
        <f>IF(B37=1,Veg_Inputs!$O$15,Y36*(1+Veg_Inputs!$N$23))*F37</f>
        <v>0</v>
      </c>
      <c r="Z37" s="122">
        <f>IF(B37=1,Veg_Inputs!$O$16,Z36*(1+Veg_Inputs!$N$23))*F37</f>
        <v>0</v>
      </c>
      <c r="AA37" s="122">
        <f>IF(B37=1,Veg_Inputs!$O$17,AA36*(1+Veg_Inputs!$N$23))*F37</f>
        <v>0</v>
      </c>
      <c r="AB37" s="181">
        <f>IF(B37=1,Veg_Inputs!$O$18,AB36*(1+Veg_Inputs!$N$23))*F37</f>
        <v>0</v>
      </c>
      <c r="AC37" s="482">
        <f>IF(B37=1,Veg_Inputs!$O$19,AC36*(1+Veg_Inputs!$N$23))*F37</f>
        <v>0</v>
      </c>
      <c r="AD37" s="122">
        <f>IF(B37=1,Veg_Inputs!$O$20,AD36*(1+Veg_Inputs!$N$23))*F37</f>
        <v>0</v>
      </c>
      <c r="AE37" s="122">
        <f>IF(B37=1,Veg_Inputs!$O$21,AE36*(1+Veg_Inputs!$N$23))*F37</f>
        <v>0</v>
      </c>
      <c r="AF37" s="132">
        <f>IF(B37=1,Veg_Inputs!$O$22,AF36*(1+Veg_Inputs!$N$23))*F37</f>
        <v>0</v>
      </c>
      <c r="AG37" s="200">
        <f t="shared" si="31"/>
        <v>0</v>
      </c>
      <c r="AH37" s="86">
        <f t="shared" si="13"/>
        <v>0</v>
      </c>
      <c r="AI37" s="225">
        <f t="shared" si="14"/>
        <v>0</v>
      </c>
      <c r="AJ37" s="220">
        <f>Deprec!I36</f>
        <v>0</v>
      </c>
      <c r="AK37" s="86">
        <f t="shared" si="15"/>
        <v>0</v>
      </c>
      <c r="AL37" s="455">
        <f t="shared" si="32"/>
        <v>0</v>
      </c>
      <c r="AM37" s="86">
        <f t="shared" si="33"/>
        <v>0</v>
      </c>
      <c r="AN37" s="438">
        <f>IF(AM37&lt;0,0,(AM37*Veg_Inputs!$J$14))</f>
        <v>0</v>
      </c>
      <c r="AO37" s="86">
        <f t="shared" si="34"/>
        <v>0</v>
      </c>
      <c r="AP37" s="226">
        <f t="shared" si="16"/>
        <v>0</v>
      </c>
      <c r="AS37" s="196">
        <f t="shared" si="17"/>
        <v>0</v>
      </c>
      <c r="AT37" s="86">
        <f t="shared" si="18"/>
        <v>0</v>
      </c>
      <c r="AU37" s="197">
        <f t="shared" si="35"/>
        <v>0</v>
      </c>
      <c r="AV37" s="218">
        <f>IF(B37=0,Veg_Inputs!$C$29,0)</f>
        <v>0</v>
      </c>
      <c r="AW37" s="198">
        <f t="shared" si="5"/>
        <v>0</v>
      </c>
      <c r="AX37" s="197">
        <f t="shared" si="6"/>
        <v>0</v>
      </c>
      <c r="AY37" s="184">
        <f>IF(B37=0,Veg_Inputs!$G$15+Veg_Inputs!$G$16,0)</f>
        <v>0</v>
      </c>
      <c r="AZ37" s="185">
        <f>IF(B37=0,Veg_Inputs!$G$14,0)</f>
        <v>0</v>
      </c>
      <c r="BA37" s="200">
        <f t="shared" si="7"/>
        <v>0</v>
      </c>
      <c r="BB37" s="196">
        <f t="shared" si="8"/>
        <v>0</v>
      </c>
      <c r="BC37" s="218">
        <f>Veg_Inputs!$G$20*AVERAGE(BR37,BS37)</f>
        <v>0</v>
      </c>
      <c r="BD37" s="200">
        <f t="shared" si="9"/>
        <v>0</v>
      </c>
      <c r="BE37" s="200">
        <f t="shared" si="19"/>
        <v>0</v>
      </c>
      <c r="BF37" s="86">
        <f t="shared" si="20"/>
        <v>0</v>
      </c>
      <c r="BG37" s="197">
        <f t="shared" si="21"/>
        <v>0</v>
      </c>
      <c r="BH37" s="86">
        <f t="shared" si="36"/>
        <v>0</v>
      </c>
      <c r="BI37" s="86">
        <f t="shared" si="37"/>
        <v>0</v>
      </c>
      <c r="BJ37" s="122">
        <f>-Debt_Calc!AG35</f>
        <v>0</v>
      </c>
      <c r="BK37" s="122">
        <f>Debt_Calc!AH35</f>
        <v>0</v>
      </c>
      <c r="BL37" s="86">
        <f t="shared" si="22"/>
        <v>0</v>
      </c>
      <c r="BM37" s="423">
        <f t="shared" si="38"/>
        <v>0</v>
      </c>
      <c r="BN37" s="86">
        <f t="shared" si="39"/>
        <v>0</v>
      </c>
      <c r="BO37" s="86">
        <f t="shared" si="23"/>
        <v>0</v>
      </c>
      <c r="BP37" s="86">
        <f t="shared" si="40"/>
        <v>0</v>
      </c>
      <c r="BQ37" s="86">
        <f t="shared" si="24"/>
        <v>0</v>
      </c>
      <c r="BR37" s="86">
        <f t="shared" si="25"/>
        <v>0</v>
      </c>
      <c r="BS37" s="86">
        <f t="shared" si="10"/>
        <v>0</v>
      </c>
      <c r="BT37" s="86">
        <f t="shared" si="26"/>
        <v>510645.73387149483</v>
      </c>
      <c r="BU37" s="86">
        <f t="shared" si="41"/>
        <v>2</v>
      </c>
      <c r="BV37" s="214">
        <f t="shared" si="11"/>
        <v>0</v>
      </c>
    </row>
    <row r="38" spans="2:93" s="86" customFormat="1" x14ac:dyDescent="0.3">
      <c r="B38" s="192">
        <f t="shared" si="27"/>
        <v>27</v>
      </c>
      <c r="C38" s="350">
        <f t="shared" si="12"/>
        <v>2048</v>
      </c>
      <c r="D38" s="351">
        <f t="shared" si="42"/>
        <v>54058</v>
      </c>
      <c r="E38" s="441">
        <f t="shared" si="42"/>
        <v>54423</v>
      </c>
      <c r="F38" s="445">
        <f>IF(AND(B38&gt;0,B38&lt;=Veg_Inputs!$J$17),1,0)</f>
        <v>0</v>
      </c>
      <c r="G38" s="447">
        <f>IF(F38=1,Veg_Inputs!$G$31,0)</f>
        <v>0</v>
      </c>
      <c r="H38" s="348">
        <f>IF(AND(F37=0,F38=1),100%,IF(AND(F37=0,F38=0),100%,H37-Veg_Inputs!$G$45))*F38</f>
        <v>0</v>
      </c>
      <c r="I38" s="216">
        <f t="shared" si="29"/>
        <v>0</v>
      </c>
      <c r="J38" s="219">
        <f>Veg_Inputs!$J$11</f>
        <v>0.01</v>
      </c>
      <c r="K38" s="444">
        <f>IF(B38=1,Veg_Inputs!$R$15,K37*(1+Veg_CashFlows!J38))*F38</f>
        <v>0</v>
      </c>
      <c r="L38" s="338">
        <f>IF(B38=1,Veg_Inputs!$R$16,L37*(1+Veg_CashFlows!J38))*F38</f>
        <v>0</v>
      </c>
      <c r="M38" s="122">
        <f>K38*I38*Veg_Inputs!$J$9</f>
        <v>0</v>
      </c>
      <c r="N38" s="222">
        <f>L38*I38*Veg_Inputs!$J$10</f>
        <v>0</v>
      </c>
      <c r="O38" s="423">
        <f t="shared" si="30"/>
        <v>0</v>
      </c>
      <c r="P38" s="122">
        <f>SUM(M38:O38)+IF(B38=Veg_Inputs!$J$17,Veg_Inputs!$J$19,0)</f>
        <v>0</v>
      </c>
      <c r="Q38" s="218">
        <f>IF(B38=1,Veg_Inputs!$O$7,Q37*(1+Veg_Inputs!$N$23))*F38</f>
        <v>0</v>
      </c>
      <c r="R38" s="122">
        <f>IF(B38=1,Veg_Inputs!$O$8,R37*(1+Veg_Inputs!$N$23))*F38</f>
        <v>0</v>
      </c>
      <c r="S38" s="122">
        <f>IF(B38=1,Veg_Inputs!$O$9,S37*(1+Veg_Inputs!$N$23))*F38</f>
        <v>0</v>
      </c>
      <c r="T38" s="122">
        <f>IF(B38=1,Veg_Inputs!$O$10,T37*(1+Veg_Inputs!$N$23))*F38</f>
        <v>0</v>
      </c>
      <c r="U38" s="122">
        <f>IF(B38=1,Veg_Inputs!$O$11,U37*(1+Veg_Inputs!$N$23))*F38</f>
        <v>0</v>
      </c>
      <c r="V38" s="122">
        <f>IF(B38=1,Veg_Inputs!$O$12,V37*(1+Veg_Inputs!$N$23))*F38</f>
        <v>0</v>
      </c>
      <c r="W38" s="122">
        <f>IF(B38=1,Veg_Inputs!$O$13,W37*(1+Veg_Inputs!$N$23))*F38</f>
        <v>0</v>
      </c>
      <c r="X38" s="122">
        <f>IF(B38=1,Veg_Inputs!$O$14,X37*(1+Veg_Inputs!$N$23))*F38</f>
        <v>0</v>
      </c>
      <c r="Y38" s="122">
        <f>IF(B38=1,Veg_Inputs!$O$15,Y37*(1+Veg_Inputs!$N$23))*F38</f>
        <v>0</v>
      </c>
      <c r="Z38" s="122">
        <f>IF(B38=1,Veg_Inputs!$O$16,Z37*(1+Veg_Inputs!$N$23))*F38</f>
        <v>0</v>
      </c>
      <c r="AA38" s="122">
        <f>IF(B38=1,Veg_Inputs!$O$17,AA37*(1+Veg_Inputs!$N$23))*F38</f>
        <v>0</v>
      </c>
      <c r="AB38" s="181">
        <f>IF(B38=1,Veg_Inputs!$O$18,AB37*(1+Veg_Inputs!$N$23))*F38</f>
        <v>0</v>
      </c>
      <c r="AC38" s="482">
        <f>IF(B38=1,Veg_Inputs!$O$19,AC37*(1+Veg_Inputs!$N$23))*F38</f>
        <v>0</v>
      </c>
      <c r="AD38" s="122">
        <f>IF(B38=1,Veg_Inputs!$O$20,AD37*(1+Veg_Inputs!$N$23))*F38</f>
        <v>0</v>
      </c>
      <c r="AE38" s="122">
        <f>IF(B38=1,Veg_Inputs!$O$21,AE37*(1+Veg_Inputs!$N$23))*F38</f>
        <v>0</v>
      </c>
      <c r="AF38" s="132">
        <f>IF(B38=1,Veg_Inputs!$O$22,AF37*(1+Veg_Inputs!$N$23))*F38</f>
        <v>0</v>
      </c>
      <c r="AG38" s="200">
        <f t="shared" si="31"/>
        <v>0</v>
      </c>
      <c r="AH38" s="86">
        <f t="shared" si="13"/>
        <v>0</v>
      </c>
      <c r="AI38" s="225">
        <f t="shared" si="14"/>
        <v>0</v>
      </c>
      <c r="AJ38" s="220">
        <f>Deprec!I37</f>
        <v>0</v>
      </c>
      <c r="AK38" s="86">
        <f t="shared" si="15"/>
        <v>0</v>
      </c>
      <c r="AL38" s="455">
        <f t="shared" si="32"/>
        <v>0</v>
      </c>
      <c r="AM38" s="86">
        <f t="shared" si="33"/>
        <v>0</v>
      </c>
      <c r="AN38" s="438">
        <f>IF(AM38&lt;0,0,(AM38*Veg_Inputs!$J$14))</f>
        <v>0</v>
      </c>
      <c r="AO38" s="86">
        <f t="shared" si="34"/>
        <v>0</v>
      </c>
      <c r="AP38" s="226">
        <f t="shared" si="16"/>
        <v>0</v>
      </c>
      <c r="AS38" s="196">
        <f t="shared" si="17"/>
        <v>0</v>
      </c>
      <c r="AT38" s="86">
        <f t="shared" si="18"/>
        <v>0</v>
      </c>
      <c r="AU38" s="197">
        <f t="shared" si="35"/>
        <v>0</v>
      </c>
      <c r="AV38" s="218">
        <f>IF(B38=0,Veg_Inputs!$C$29,0)</f>
        <v>0</v>
      </c>
      <c r="AW38" s="198">
        <f t="shared" si="5"/>
        <v>0</v>
      </c>
      <c r="AX38" s="197">
        <f t="shared" si="6"/>
        <v>0</v>
      </c>
      <c r="AY38" s="184">
        <f>IF(B38=0,Veg_Inputs!$G$15+Veg_Inputs!$G$16,0)</f>
        <v>0</v>
      </c>
      <c r="AZ38" s="185">
        <f>IF(B38=0,Veg_Inputs!$G$14,0)</f>
        <v>0</v>
      </c>
      <c r="BA38" s="200">
        <f t="shared" si="7"/>
        <v>0</v>
      </c>
      <c r="BB38" s="196">
        <f t="shared" si="8"/>
        <v>0</v>
      </c>
      <c r="BC38" s="218">
        <f>Veg_Inputs!$G$20*AVERAGE(BR38,BS38)</f>
        <v>0</v>
      </c>
      <c r="BD38" s="200">
        <f t="shared" si="9"/>
        <v>0</v>
      </c>
      <c r="BE38" s="200">
        <f t="shared" si="19"/>
        <v>0</v>
      </c>
      <c r="BF38" s="86">
        <f t="shared" si="20"/>
        <v>0</v>
      </c>
      <c r="BG38" s="197">
        <f t="shared" si="21"/>
        <v>0</v>
      </c>
      <c r="BH38" s="86">
        <f t="shared" si="36"/>
        <v>0</v>
      </c>
      <c r="BI38" s="86">
        <f t="shared" si="37"/>
        <v>0</v>
      </c>
      <c r="BJ38" s="122">
        <f>-Debt_Calc!AG36</f>
        <v>0</v>
      </c>
      <c r="BK38" s="122">
        <f>Debt_Calc!AH36</f>
        <v>0</v>
      </c>
      <c r="BL38" s="86">
        <f t="shared" si="22"/>
        <v>0</v>
      </c>
      <c r="BM38" s="423">
        <f t="shared" si="38"/>
        <v>0</v>
      </c>
      <c r="BN38" s="86">
        <f t="shared" si="39"/>
        <v>0</v>
      </c>
      <c r="BO38" s="86">
        <f t="shared" si="23"/>
        <v>0</v>
      </c>
      <c r="BP38" s="86">
        <f t="shared" si="40"/>
        <v>0</v>
      </c>
      <c r="BQ38" s="86">
        <f t="shared" si="24"/>
        <v>0</v>
      </c>
      <c r="BR38" s="86">
        <f t="shared" si="25"/>
        <v>0</v>
      </c>
      <c r="BS38" s="86">
        <f t="shared" si="10"/>
        <v>0</v>
      </c>
      <c r="BT38" s="86">
        <f t="shared" si="26"/>
        <v>510645.73387149483</v>
      </c>
      <c r="BU38" s="86">
        <f t="shared" si="41"/>
        <v>2</v>
      </c>
      <c r="BV38" s="214">
        <f t="shared" si="11"/>
        <v>0</v>
      </c>
    </row>
    <row r="39" spans="2:93" s="86" customFormat="1" x14ac:dyDescent="0.3">
      <c r="B39" s="192">
        <f t="shared" si="27"/>
        <v>28</v>
      </c>
      <c r="C39" s="350">
        <f t="shared" si="12"/>
        <v>2049</v>
      </c>
      <c r="D39" s="351">
        <f t="shared" si="42"/>
        <v>54424</v>
      </c>
      <c r="E39" s="441">
        <f t="shared" si="42"/>
        <v>54788</v>
      </c>
      <c r="F39" s="445">
        <f>IF(AND(B39&gt;0,B39&lt;=Veg_Inputs!$J$17),1,0)</f>
        <v>0</v>
      </c>
      <c r="G39" s="447">
        <f>IF(F39=1,Veg_Inputs!$G$31,0)</f>
        <v>0</v>
      </c>
      <c r="H39" s="348">
        <f>IF(AND(F38=0,F39=1),100%,IF(AND(F38=0,F39=0),100%,H38-Veg_Inputs!$G$45))*F39</f>
        <v>0</v>
      </c>
      <c r="I39" s="216">
        <f t="shared" si="29"/>
        <v>0</v>
      </c>
      <c r="J39" s="219">
        <f>Veg_Inputs!$J$11</f>
        <v>0.01</v>
      </c>
      <c r="K39" s="444">
        <f>IF(B39=1,Veg_Inputs!$R$15,K38*(1+Veg_CashFlows!J39))*F39</f>
        <v>0</v>
      </c>
      <c r="L39" s="338">
        <f>IF(B39=1,Veg_Inputs!$R$16,L38*(1+Veg_CashFlows!J39))*F39</f>
        <v>0</v>
      </c>
      <c r="M39" s="122">
        <f>K39*I39*Veg_Inputs!$J$9</f>
        <v>0</v>
      </c>
      <c r="N39" s="222">
        <f>L39*I39*Veg_Inputs!$J$10</f>
        <v>0</v>
      </c>
      <c r="O39" s="423">
        <f t="shared" si="30"/>
        <v>0</v>
      </c>
      <c r="P39" s="122">
        <f>SUM(M39:O39)+IF(B39=Veg_Inputs!$J$17,Veg_Inputs!$J$19,0)</f>
        <v>0</v>
      </c>
      <c r="Q39" s="218">
        <f>IF(B39=1,Veg_Inputs!$O$7,Q38*(1+Veg_Inputs!$N$23))*F39</f>
        <v>0</v>
      </c>
      <c r="R39" s="122">
        <f>IF(B39=1,Veg_Inputs!$O$8,R38*(1+Veg_Inputs!$N$23))*F39</f>
        <v>0</v>
      </c>
      <c r="S39" s="122">
        <f>IF(B39=1,Veg_Inputs!$O$9,S38*(1+Veg_Inputs!$N$23))*F39</f>
        <v>0</v>
      </c>
      <c r="T39" s="122">
        <f>IF(B39=1,Veg_Inputs!$O$10,T38*(1+Veg_Inputs!$N$23))*F39</f>
        <v>0</v>
      </c>
      <c r="U39" s="122">
        <f>IF(B39=1,Veg_Inputs!$O$11,U38*(1+Veg_Inputs!$N$23))*F39</f>
        <v>0</v>
      </c>
      <c r="V39" s="122">
        <f>IF(B39=1,Veg_Inputs!$O$12,V38*(1+Veg_Inputs!$N$23))*F39</f>
        <v>0</v>
      </c>
      <c r="W39" s="122">
        <f>IF(B39=1,Veg_Inputs!$O$13,W38*(1+Veg_Inputs!$N$23))*F39</f>
        <v>0</v>
      </c>
      <c r="X39" s="122">
        <f>IF(B39=1,Veg_Inputs!$O$14,X38*(1+Veg_Inputs!$N$23))*F39</f>
        <v>0</v>
      </c>
      <c r="Y39" s="122">
        <f>IF(B39=1,Veg_Inputs!$O$15,Y38*(1+Veg_Inputs!$N$23))*F39</f>
        <v>0</v>
      </c>
      <c r="Z39" s="122">
        <f>IF(B39=1,Veg_Inputs!$O$16,Z38*(1+Veg_Inputs!$N$23))*F39</f>
        <v>0</v>
      </c>
      <c r="AA39" s="122">
        <f>IF(B39=1,Veg_Inputs!$O$17,AA38*(1+Veg_Inputs!$N$23))*F39</f>
        <v>0</v>
      </c>
      <c r="AB39" s="181">
        <f>IF(B39=1,Veg_Inputs!$O$18,AB38*(1+Veg_Inputs!$N$23))*F39</f>
        <v>0</v>
      </c>
      <c r="AC39" s="482">
        <f>IF(B39=1,Veg_Inputs!$O$19,AC38*(1+Veg_Inputs!$N$23))*F39</f>
        <v>0</v>
      </c>
      <c r="AD39" s="122">
        <f>IF(B39=1,Veg_Inputs!$O$20,AD38*(1+Veg_Inputs!$N$23))*F39</f>
        <v>0</v>
      </c>
      <c r="AE39" s="122">
        <f>IF(B39=1,Veg_Inputs!$O$21,AE38*(1+Veg_Inputs!$N$23))*F39</f>
        <v>0</v>
      </c>
      <c r="AF39" s="132">
        <f>IF(B39=1,Veg_Inputs!$O$22,AF38*(1+Veg_Inputs!$N$23))*F39</f>
        <v>0</v>
      </c>
      <c r="AG39" s="200">
        <f t="shared" si="31"/>
        <v>0</v>
      </c>
      <c r="AH39" s="86">
        <f t="shared" si="13"/>
        <v>0</v>
      </c>
      <c r="AI39" s="225">
        <f t="shared" si="14"/>
        <v>0</v>
      </c>
      <c r="AJ39" s="220">
        <f>Deprec!I38</f>
        <v>0</v>
      </c>
      <c r="AK39" s="86">
        <f t="shared" si="15"/>
        <v>0</v>
      </c>
      <c r="AL39" s="455">
        <f t="shared" si="32"/>
        <v>0</v>
      </c>
      <c r="AM39" s="86">
        <f t="shared" si="33"/>
        <v>0</v>
      </c>
      <c r="AN39" s="438">
        <f>IF(AM39&lt;0,0,(AM39*Veg_Inputs!$J$14))</f>
        <v>0</v>
      </c>
      <c r="AO39" s="86">
        <f t="shared" si="34"/>
        <v>0</v>
      </c>
      <c r="AP39" s="226">
        <f t="shared" si="16"/>
        <v>0</v>
      </c>
      <c r="AS39" s="196">
        <f t="shared" si="17"/>
        <v>0</v>
      </c>
      <c r="AT39" s="86">
        <f t="shared" si="18"/>
        <v>0</v>
      </c>
      <c r="AU39" s="197">
        <f t="shared" si="35"/>
        <v>0</v>
      </c>
      <c r="AV39" s="218">
        <f>IF(B39=0,Veg_Inputs!$C$29,0)</f>
        <v>0</v>
      </c>
      <c r="AW39" s="198">
        <f t="shared" si="5"/>
        <v>0</v>
      </c>
      <c r="AX39" s="197">
        <f t="shared" si="6"/>
        <v>0</v>
      </c>
      <c r="AY39" s="184">
        <f>IF(B39=0,Veg_Inputs!$G$15+Veg_Inputs!$G$16,0)</f>
        <v>0</v>
      </c>
      <c r="AZ39" s="185">
        <f>IF(B39=0,Veg_Inputs!$G$14,0)</f>
        <v>0</v>
      </c>
      <c r="BA39" s="200">
        <f t="shared" si="7"/>
        <v>0</v>
      </c>
      <c r="BB39" s="196">
        <f t="shared" si="8"/>
        <v>0</v>
      </c>
      <c r="BC39" s="218">
        <f>Veg_Inputs!$G$20*AVERAGE(BR39,BS39)</f>
        <v>0</v>
      </c>
      <c r="BD39" s="200">
        <f t="shared" si="9"/>
        <v>0</v>
      </c>
      <c r="BE39" s="200">
        <f t="shared" si="19"/>
        <v>0</v>
      </c>
      <c r="BF39" s="86">
        <f t="shared" si="20"/>
        <v>0</v>
      </c>
      <c r="BG39" s="197">
        <f t="shared" si="21"/>
        <v>0</v>
      </c>
      <c r="BH39" s="86">
        <f t="shared" si="36"/>
        <v>0</v>
      </c>
      <c r="BI39" s="86">
        <f t="shared" si="37"/>
        <v>0</v>
      </c>
      <c r="BJ39" s="122">
        <f>-Debt_Calc!AG37</f>
        <v>0</v>
      </c>
      <c r="BK39" s="122">
        <f>Debt_Calc!AH37</f>
        <v>0</v>
      </c>
      <c r="BL39" s="86">
        <f t="shared" si="22"/>
        <v>0</v>
      </c>
      <c r="BM39" s="423">
        <f t="shared" si="38"/>
        <v>0</v>
      </c>
      <c r="BN39" s="86">
        <f t="shared" si="39"/>
        <v>0</v>
      </c>
      <c r="BO39" s="86">
        <f t="shared" si="23"/>
        <v>0</v>
      </c>
      <c r="BP39" s="86">
        <f t="shared" si="40"/>
        <v>0</v>
      </c>
      <c r="BQ39" s="86">
        <f t="shared" si="24"/>
        <v>0</v>
      </c>
      <c r="BR39" s="86">
        <f t="shared" si="25"/>
        <v>0</v>
      </c>
      <c r="BS39" s="86">
        <f t="shared" si="10"/>
        <v>0</v>
      </c>
      <c r="BT39" s="86">
        <f t="shared" si="26"/>
        <v>510645.73387149483</v>
      </c>
      <c r="BU39" s="86">
        <f t="shared" si="41"/>
        <v>2</v>
      </c>
      <c r="BV39" s="214">
        <f t="shared" si="11"/>
        <v>0</v>
      </c>
    </row>
    <row r="40" spans="2:93" s="86" customFormat="1" x14ac:dyDescent="0.3">
      <c r="B40" s="192">
        <f t="shared" si="27"/>
        <v>29</v>
      </c>
      <c r="C40" s="350">
        <f t="shared" si="12"/>
        <v>2050</v>
      </c>
      <c r="D40" s="351">
        <f t="shared" si="42"/>
        <v>54789</v>
      </c>
      <c r="E40" s="441">
        <f t="shared" si="42"/>
        <v>55153</v>
      </c>
      <c r="F40" s="445">
        <f>IF(AND(B40&gt;0,B40&lt;=Veg_Inputs!$J$17),1,0)</f>
        <v>0</v>
      </c>
      <c r="G40" s="447">
        <f>IF(F40=1,Veg_Inputs!$G$31,0)</f>
        <v>0</v>
      </c>
      <c r="H40" s="348">
        <f>IF(AND(F39=0,F40=1),100%,IF(AND(F39=0,F40=0),100%,H39-Veg_Inputs!$G$45))*F40</f>
        <v>0</v>
      </c>
      <c r="I40" s="216">
        <f t="shared" si="29"/>
        <v>0</v>
      </c>
      <c r="J40" s="219">
        <f>Veg_Inputs!$J$11</f>
        <v>0.01</v>
      </c>
      <c r="K40" s="444">
        <f>IF(B40=1,Veg_Inputs!$R$15,K39*(1+Veg_CashFlows!J40))*F40</f>
        <v>0</v>
      </c>
      <c r="L40" s="338">
        <f>IF(B40=1,Veg_Inputs!$R$16,L39*(1+Veg_CashFlows!J40))*F40</f>
        <v>0</v>
      </c>
      <c r="M40" s="122">
        <f>K40*I40*Veg_Inputs!$J$9</f>
        <v>0</v>
      </c>
      <c r="N40" s="222">
        <f>L40*I40*Veg_Inputs!$J$10</f>
        <v>0</v>
      </c>
      <c r="O40" s="423">
        <f t="shared" si="30"/>
        <v>0</v>
      </c>
      <c r="P40" s="122">
        <f>SUM(M40:O40)+IF(B40=Veg_Inputs!$J$17,Veg_Inputs!$J$19,0)</f>
        <v>0</v>
      </c>
      <c r="Q40" s="218">
        <f>IF(B40=1,Veg_Inputs!$O$7,Q39*(1+Veg_Inputs!$N$23))*F40</f>
        <v>0</v>
      </c>
      <c r="R40" s="122">
        <f>IF(B40=1,Veg_Inputs!$O$8,R39*(1+Veg_Inputs!$N$23))*F40</f>
        <v>0</v>
      </c>
      <c r="S40" s="122">
        <f>IF(B40=1,Veg_Inputs!$O$9,S39*(1+Veg_Inputs!$N$23))*F40</f>
        <v>0</v>
      </c>
      <c r="T40" s="122">
        <f>IF(B40=1,Veg_Inputs!$O$10,T39*(1+Veg_Inputs!$N$23))*F40</f>
        <v>0</v>
      </c>
      <c r="U40" s="122">
        <f>IF(B40=1,Veg_Inputs!$O$11,U39*(1+Veg_Inputs!$N$23))*F40</f>
        <v>0</v>
      </c>
      <c r="V40" s="122">
        <f>IF(B40=1,Veg_Inputs!$O$12,V39*(1+Veg_Inputs!$N$23))*F40</f>
        <v>0</v>
      </c>
      <c r="W40" s="122">
        <f>IF(B40=1,Veg_Inputs!$O$13,W39*(1+Veg_Inputs!$N$23))*F40</f>
        <v>0</v>
      </c>
      <c r="X40" s="122">
        <f>IF(B40=1,Veg_Inputs!$O$14,X39*(1+Veg_Inputs!$N$23))*F40</f>
        <v>0</v>
      </c>
      <c r="Y40" s="122">
        <f>IF(B40=1,Veg_Inputs!$O$15,Y39*(1+Veg_Inputs!$N$23))*F40</f>
        <v>0</v>
      </c>
      <c r="Z40" s="122">
        <f>IF(B40=1,Veg_Inputs!$O$16,Z39*(1+Veg_Inputs!$N$23))*F40</f>
        <v>0</v>
      </c>
      <c r="AA40" s="122">
        <f>IF(B40=1,Veg_Inputs!$O$17,AA39*(1+Veg_Inputs!$N$23))*F40</f>
        <v>0</v>
      </c>
      <c r="AB40" s="181">
        <f>IF(B40=1,Veg_Inputs!$O$18,AB39*(1+Veg_Inputs!$N$23))*F40</f>
        <v>0</v>
      </c>
      <c r="AC40" s="482">
        <f>IF(B40=1,Veg_Inputs!$O$19,AC39*(1+Veg_Inputs!$N$23))*F40</f>
        <v>0</v>
      </c>
      <c r="AD40" s="122">
        <f>IF(B40=1,Veg_Inputs!$O$20,AD39*(1+Veg_Inputs!$N$23))*F40</f>
        <v>0</v>
      </c>
      <c r="AE40" s="122">
        <f>IF(B40=1,Veg_Inputs!$O$21,AE39*(1+Veg_Inputs!$N$23))*F40</f>
        <v>0</v>
      </c>
      <c r="AF40" s="132">
        <f>IF(B40=1,Veg_Inputs!$O$22,AF39*(1+Veg_Inputs!$N$23))*F40</f>
        <v>0</v>
      </c>
      <c r="AG40" s="200">
        <f t="shared" si="31"/>
        <v>0</v>
      </c>
      <c r="AH40" s="86">
        <f t="shared" si="13"/>
        <v>0</v>
      </c>
      <c r="AI40" s="225">
        <f t="shared" si="14"/>
        <v>0</v>
      </c>
      <c r="AJ40" s="220">
        <f>Deprec!I39</f>
        <v>0</v>
      </c>
      <c r="AK40" s="86">
        <f t="shared" si="15"/>
        <v>0</v>
      </c>
      <c r="AL40" s="455">
        <f t="shared" si="32"/>
        <v>0</v>
      </c>
      <c r="AM40" s="86">
        <f t="shared" si="33"/>
        <v>0</v>
      </c>
      <c r="AN40" s="438">
        <f>IF(AM40&lt;0,0,(AM40*Veg_Inputs!$J$14))</f>
        <v>0</v>
      </c>
      <c r="AO40" s="86">
        <f t="shared" si="34"/>
        <v>0</v>
      </c>
      <c r="AP40" s="226">
        <f t="shared" si="16"/>
        <v>0</v>
      </c>
      <c r="AS40" s="196">
        <f t="shared" si="17"/>
        <v>0</v>
      </c>
      <c r="AT40" s="86">
        <f t="shared" si="18"/>
        <v>0</v>
      </c>
      <c r="AU40" s="197">
        <f t="shared" si="35"/>
        <v>0</v>
      </c>
      <c r="AV40" s="218">
        <f>IF(B40=0,Veg_Inputs!$C$29,0)</f>
        <v>0</v>
      </c>
      <c r="AW40" s="198">
        <f t="shared" si="5"/>
        <v>0</v>
      </c>
      <c r="AX40" s="197">
        <f t="shared" si="6"/>
        <v>0</v>
      </c>
      <c r="AY40" s="184">
        <f>IF(B40=0,Veg_Inputs!$G$15+Veg_Inputs!$G$16,0)</f>
        <v>0</v>
      </c>
      <c r="AZ40" s="185">
        <f>IF(B40=0,Veg_Inputs!$G$14,0)</f>
        <v>0</v>
      </c>
      <c r="BA40" s="200">
        <f t="shared" si="7"/>
        <v>0</v>
      </c>
      <c r="BB40" s="196">
        <f t="shared" si="8"/>
        <v>0</v>
      </c>
      <c r="BC40" s="218">
        <f>Veg_Inputs!$G$20*AVERAGE(BR40,BS40)</f>
        <v>0</v>
      </c>
      <c r="BD40" s="200">
        <f t="shared" si="9"/>
        <v>0</v>
      </c>
      <c r="BE40" s="200">
        <f t="shared" si="19"/>
        <v>0</v>
      </c>
      <c r="BF40" s="86">
        <f t="shared" si="20"/>
        <v>0</v>
      </c>
      <c r="BG40" s="197">
        <f t="shared" si="21"/>
        <v>0</v>
      </c>
      <c r="BH40" s="86">
        <f t="shared" si="36"/>
        <v>0</v>
      </c>
      <c r="BI40" s="86">
        <f t="shared" si="37"/>
        <v>0</v>
      </c>
      <c r="BJ40" s="122">
        <f>-Debt_Calc!AG38</f>
        <v>0</v>
      </c>
      <c r="BK40" s="122">
        <f>Debt_Calc!AH38</f>
        <v>0</v>
      </c>
      <c r="BL40" s="86">
        <f t="shared" si="22"/>
        <v>0</v>
      </c>
      <c r="BM40" s="423">
        <f t="shared" si="38"/>
        <v>0</v>
      </c>
      <c r="BN40" s="86">
        <f t="shared" si="39"/>
        <v>0</v>
      </c>
      <c r="BO40" s="86">
        <f t="shared" si="23"/>
        <v>0</v>
      </c>
      <c r="BP40" s="86">
        <f t="shared" si="40"/>
        <v>0</v>
      </c>
      <c r="BQ40" s="86">
        <f t="shared" si="24"/>
        <v>0</v>
      </c>
      <c r="BR40" s="86">
        <f t="shared" si="25"/>
        <v>0</v>
      </c>
      <c r="BS40" s="86">
        <f t="shared" si="10"/>
        <v>0</v>
      </c>
      <c r="BT40" s="86">
        <f t="shared" si="26"/>
        <v>510645.73387149483</v>
      </c>
      <c r="BU40" s="86">
        <f t="shared" si="41"/>
        <v>2</v>
      </c>
      <c r="BV40" s="214">
        <f t="shared" si="11"/>
        <v>0</v>
      </c>
    </row>
    <row r="41" spans="2:93" s="86" customFormat="1" x14ac:dyDescent="0.3">
      <c r="B41" s="192">
        <f t="shared" si="27"/>
        <v>30</v>
      </c>
      <c r="C41" s="350">
        <f t="shared" si="12"/>
        <v>2051</v>
      </c>
      <c r="D41" s="351">
        <f t="shared" si="42"/>
        <v>55154</v>
      </c>
      <c r="E41" s="441">
        <f t="shared" si="42"/>
        <v>55518</v>
      </c>
      <c r="F41" s="445">
        <f>IF(AND(B41&gt;0,B41&lt;=Veg_Inputs!$J$17),1,0)</f>
        <v>0</v>
      </c>
      <c r="G41" s="447">
        <f>IF(F41=1,Veg_Inputs!$G$31,0)</f>
        <v>0</v>
      </c>
      <c r="H41" s="348">
        <f>IF(AND(F40=0,F41=1),100%,IF(AND(F40=0,F41=0),100%,H40-Veg_Inputs!$G$45))*F41</f>
        <v>0</v>
      </c>
      <c r="I41" s="216">
        <f t="shared" si="29"/>
        <v>0</v>
      </c>
      <c r="J41" s="219">
        <f>Veg_Inputs!$J$11</f>
        <v>0.01</v>
      </c>
      <c r="K41" s="444">
        <f>IF(B41=1,Veg_Inputs!$R$15,K40*(1+Veg_CashFlows!J41))*F41</f>
        <v>0</v>
      </c>
      <c r="L41" s="338">
        <f>IF(B41=1,Veg_Inputs!$R$16,L40*(1+Veg_CashFlows!J41))*F41</f>
        <v>0</v>
      </c>
      <c r="M41" s="122">
        <f>K41*I41*Veg_Inputs!$J$9</f>
        <v>0</v>
      </c>
      <c r="N41" s="222">
        <f>L41*I41*Veg_Inputs!$J$10</f>
        <v>0</v>
      </c>
      <c r="O41" s="423">
        <f t="shared" si="30"/>
        <v>0</v>
      </c>
      <c r="P41" s="122">
        <f>SUM(M41:O41)+IF(B41=Veg_Inputs!$J$17,Veg_Inputs!$J$19,0)</f>
        <v>0</v>
      </c>
      <c r="Q41" s="218">
        <f>IF(B41=1,Veg_Inputs!$O$7,Q40*(1+Veg_Inputs!$N$23))*F41</f>
        <v>0</v>
      </c>
      <c r="R41" s="122">
        <f>IF(B41=1,Veg_Inputs!$O$8,R40*(1+Veg_Inputs!$N$23))*F41</f>
        <v>0</v>
      </c>
      <c r="S41" s="122">
        <f>IF(B41=1,Veg_Inputs!$O$9,S40*(1+Veg_Inputs!$N$23))*F41</f>
        <v>0</v>
      </c>
      <c r="T41" s="122">
        <f>IF(B41=1,Veg_Inputs!$O$10,T40*(1+Veg_Inputs!$N$23))*F41</f>
        <v>0</v>
      </c>
      <c r="U41" s="122">
        <f>IF(B41=1,Veg_Inputs!$O$11,U40*(1+Veg_Inputs!$N$23))*F41</f>
        <v>0</v>
      </c>
      <c r="V41" s="122">
        <f>IF(B41=1,Veg_Inputs!$O$12,V40*(1+Veg_Inputs!$N$23))*F41</f>
        <v>0</v>
      </c>
      <c r="W41" s="122">
        <f>IF(B41=1,Veg_Inputs!$O$13,W40*(1+Veg_Inputs!$N$23))*F41</f>
        <v>0</v>
      </c>
      <c r="X41" s="122">
        <f>IF(B41=1,Veg_Inputs!$O$14,X40*(1+Veg_Inputs!$N$23))*F41</f>
        <v>0</v>
      </c>
      <c r="Y41" s="122">
        <f>IF(B41=1,Veg_Inputs!$O$15,Y40*(1+Veg_Inputs!$N$23))*F41</f>
        <v>0</v>
      </c>
      <c r="Z41" s="122">
        <f>IF(B41=1,Veg_Inputs!$O$16,Z40*(1+Veg_Inputs!$N$23))*F41</f>
        <v>0</v>
      </c>
      <c r="AA41" s="122">
        <f>IF(B41=1,Veg_Inputs!$O$17,AA40*(1+Veg_Inputs!$N$23))*F41</f>
        <v>0</v>
      </c>
      <c r="AB41" s="181">
        <f>IF(B41=1,Veg_Inputs!$O$18,AB40*(1+Veg_Inputs!$N$23))*F41</f>
        <v>0</v>
      </c>
      <c r="AC41" s="482">
        <f>IF(B41=1,Veg_Inputs!$O$19,AC40*(1+Veg_Inputs!$N$23))*F41</f>
        <v>0</v>
      </c>
      <c r="AD41" s="122">
        <f>IF(B41=1,Veg_Inputs!$O$20,AD40*(1+Veg_Inputs!$N$23))*F41</f>
        <v>0</v>
      </c>
      <c r="AE41" s="122">
        <f>IF(B41=1,Veg_Inputs!$O$21,AE40*(1+Veg_Inputs!$N$23))*F41</f>
        <v>0</v>
      </c>
      <c r="AF41" s="132">
        <f>IF(B41=1,Veg_Inputs!$O$22,AF40*(1+Veg_Inputs!$N$23))*F41</f>
        <v>0</v>
      </c>
      <c r="AG41" s="200">
        <f t="shared" si="31"/>
        <v>0</v>
      </c>
      <c r="AH41" s="86">
        <f t="shared" si="13"/>
        <v>0</v>
      </c>
      <c r="AI41" s="225">
        <f t="shared" si="14"/>
        <v>0</v>
      </c>
      <c r="AJ41" s="220">
        <f>Deprec!I40</f>
        <v>0</v>
      </c>
      <c r="AK41" s="86">
        <f t="shared" si="15"/>
        <v>0</v>
      </c>
      <c r="AL41" s="455">
        <f t="shared" si="32"/>
        <v>0</v>
      </c>
      <c r="AM41" s="86">
        <f t="shared" si="33"/>
        <v>0</v>
      </c>
      <c r="AN41" s="438">
        <f>IF(AM41&lt;0,0,(AM41*Veg_Inputs!$J$14))</f>
        <v>0</v>
      </c>
      <c r="AO41" s="86">
        <f t="shared" si="34"/>
        <v>0</v>
      </c>
      <c r="AP41" s="226">
        <f t="shared" si="16"/>
        <v>0</v>
      </c>
      <c r="AS41" s="196">
        <f t="shared" si="17"/>
        <v>0</v>
      </c>
      <c r="AT41" s="86">
        <f t="shared" si="18"/>
        <v>0</v>
      </c>
      <c r="AU41" s="197">
        <f t="shared" si="35"/>
        <v>0</v>
      </c>
      <c r="AV41" s="218">
        <f>IF(B41=0,Veg_Inputs!$C$29,0)</f>
        <v>0</v>
      </c>
      <c r="AW41" s="198">
        <f t="shared" si="5"/>
        <v>0</v>
      </c>
      <c r="AX41" s="197">
        <f t="shared" si="6"/>
        <v>0</v>
      </c>
      <c r="AY41" s="184">
        <f>IF(B41=0,Veg_Inputs!$G$15+Veg_Inputs!$G$16,0)</f>
        <v>0</v>
      </c>
      <c r="AZ41" s="185">
        <f>IF(B41=0,Veg_Inputs!$G$14,0)</f>
        <v>0</v>
      </c>
      <c r="BA41" s="200">
        <f t="shared" si="7"/>
        <v>0</v>
      </c>
      <c r="BB41" s="196">
        <f t="shared" si="8"/>
        <v>0</v>
      </c>
      <c r="BC41" s="218">
        <f>Veg_Inputs!$G$20*AVERAGE(BR41,BS41)</f>
        <v>0</v>
      </c>
      <c r="BD41" s="200">
        <f t="shared" si="9"/>
        <v>0</v>
      </c>
      <c r="BE41" s="200">
        <f t="shared" si="19"/>
        <v>0</v>
      </c>
      <c r="BF41" s="86">
        <f t="shared" si="20"/>
        <v>0</v>
      </c>
      <c r="BG41" s="197">
        <f t="shared" si="21"/>
        <v>0</v>
      </c>
      <c r="BH41" s="86">
        <f t="shared" si="36"/>
        <v>0</v>
      </c>
      <c r="BI41" s="86">
        <f t="shared" si="37"/>
        <v>0</v>
      </c>
      <c r="BJ41" s="122">
        <f>-Debt_Calc!AG39</f>
        <v>0</v>
      </c>
      <c r="BK41" s="122">
        <f>Debt_Calc!AH39</f>
        <v>0</v>
      </c>
      <c r="BL41" s="86">
        <f t="shared" si="22"/>
        <v>0</v>
      </c>
      <c r="BM41" s="423">
        <f t="shared" si="38"/>
        <v>0</v>
      </c>
      <c r="BN41" s="86">
        <f t="shared" si="39"/>
        <v>0</v>
      </c>
      <c r="BO41" s="86">
        <f t="shared" si="23"/>
        <v>0</v>
      </c>
      <c r="BP41" s="86">
        <f t="shared" si="40"/>
        <v>0</v>
      </c>
      <c r="BQ41" s="86">
        <f t="shared" si="24"/>
        <v>0</v>
      </c>
      <c r="BR41" s="86">
        <f t="shared" si="25"/>
        <v>0</v>
      </c>
      <c r="BS41" s="86">
        <f t="shared" si="10"/>
        <v>0</v>
      </c>
      <c r="BT41" s="86">
        <f t="shared" si="26"/>
        <v>510645.73387149483</v>
      </c>
      <c r="BU41" s="86">
        <f t="shared" si="41"/>
        <v>2</v>
      </c>
      <c r="BV41" s="214">
        <f t="shared" si="11"/>
        <v>0</v>
      </c>
    </row>
    <row r="42" spans="2:93" s="86" customFormat="1" x14ac:dyDescent="0.3">
      <c r="B42" s="192">
        <f t="shared" si="27"/>
        <v>31</v>
      </c>
      <c r="C42" s="350">
        <f t="shared" si="12"/>
        <v>2052</v>
      </c>
      <c r="D42" s="351">
        <f t="shared" si="42"/>
        <v>55519</v>
      </c>
      <c r="E42" s="441">
        <f t="shared" si="42"/>
        <v>55884</v>
      </c>
      <c r="F42" s="445">
        <f>IF(AND(B42&gt;0,B42&lt;=Veg_Inputs!$J$17),1,0)</f>
        <v>0</v>
      </c>
      <c r="G42" s="447">
        <f>IF(F42=1,Veg_Inputs!$G$31,0)</f>
        <v>0</v>
      </c>
      <c r="H42" s="348">
        <f>IF(AND(F41=0,F42=1),100%,IF(AND(F41=0,F42=0),100%,H41-Veg_Inputs!$G$45))*F42</f>
        <v>0</v>
      </c>
      <c r="I42" s="216">
        <f t="shared" si="29"/>
        <v>0</v>
      </c>
      <c r="J42" s="219">
        <f>Veg_Inputs!$J$11</f>
        <v>0.01</v>
      </c>
      <c r="K42" s="444">
        <f>IF(B42=1,Veg_Inputs!$R$15,K41*(1+Veg_CashFlows!J42))*F42</f>
        <v>0</v>
      </c>
      <c r="L42" s="338">
        <f>IF(B42=1,Veg_Inputs!$R$16,L41*(1+Veg_CashFlows!J42))*F42</f>
        <v>0</v>
      </c>
      <c r="M42" s="122">
        <f>K42*I42*Veg_Inputs!$J$9</f>
        <v>0</v>
      </c>
      <c r="N42" s="222">
        <f>L42*I42*Veg_Inputs!$J$10</f>
        <v>0</v>
      </c>
      <c r="O42" s="423">
        <f t="shared" si="30"/>
        <v>0</v>
      </c>
      <c r="P42" s="122">
        <f>SUM(M42:O42)+IF(B42=Veg_Inputs!$J$17,Veg_Inputs!$J$19,0)</f>
        <v>0</v>
      </c>
      <c r="Q42" s="218">
        <f>IF(B42=1,Veg_Inputs!$O$7,Q41*(1+Veg_Inputs!$N$23))*F42</f>
        <v>0</v>
      </c>
      <c r="R42" s="122">
        <f>IF(B42=1,Veg_Inputs!$O$8,R41*(1+Veg_Inputs!$N$23))*F42</f>
        <v>0</v>
      </c>
      <c r="S42" s="122">
        <f>IF(B42=1,Veg_Inputs!$O$9,S41*(1+Veg_Inputs!$N$23))*F42</f>
        <v>0</v>
      </c>
      <c r="T42" s="122">
        <f>IF(B42=1,Veg_Inputs!$O$10,T41*(1+Veg_Inputs!$N$23))*F42</f>
        <v>0</v>
      </c>
      <c r="U42" s="122">
        <f>IF(B42=1,Veg_Inputs!$O$11,U41*(1+Veg_Inputs!$N$23))*F42</f>
        <v>0</v>
      </c>
      <c r="V42" s="122">
        <f>IF(B42=1,Veg_Inputs!$O$12,V41*(1+Veg_Inputs!$N$23))*F42</f>
        <v>0</v>
      </c>
      <c r="W42" s="122">
        <f>IF(B42=1,Veg_Inputs!$O$13,W41*(1+Veg_Inputs!$N$23))*F42</f>
        <v>0</v>
      </c>
      <c r="X42" s="122">
        <f>IF(B42=1,Veg_Inputs!$O$14,X41*(1+Veg_Inputs!$N$23))*F42</f>
        <v>0</v>
      </c>
      <c r="Y42" s="122">
        <f>IF(B42=1,Veg_Inputs!$O$15,Y41*(1+Veg_Inputs!$N$23))*F42</f>
        <v>0</v>
      </c>
      <c r="Z42" s="122">
        <f>IF(B42=1,Veg_Inputs!$O$16,Z41*(1+Veg_Inputs!$N$23))*F42</f>
        <v>0</v>
      </c>
      <c r="AA42" s="122">
        <f>IF(B42=1,Veg_Inputs!$O$17,AA41*(1+Veg_Inputs!$N$23))*F42</f>
        <v>0</v>
      </c>
      <c r="AB42" s="181">
        <f>IF(B42=1,Veg_Inputs!$O$18,AB41*(1+Veg_Inputs!$N$23))*F42</f>
        <v>0</v>
      </c>
      <c r="AC42" s="482">
        <f>IF(B42=1,Veg_Inputs!$O$19,AC41*(1+Veg_Inputs!$N$23))*F42</f>
        <v>0</v>
      </c>
      <c r="AD42" s="122">
        <f>IF(B42=1,Veg_Inputs!$O$20,AD41*(1+Veg_Inputs!$N$23))*F42</f>
        <v>0</v>
      </c>
      <c r="AE42" s="122">
        <f>IF(B42=1,Veg_Inputs!$O$21,AE41*(1+Veg_Inputs!$N$23))*F42</f>
        <v>0</v>
      </c>
      <c r="AF42" s="132">
        <f>IF(B42=1,Veg_Inputs!$O$22,AF41*(1+Veg_Inputs!$N$23))*F42</f>
        <v>0</v>
      </c>
      <c r="AG42" s="200">
        <f t="shared" si="31"/>
        <v>0</v>
      </c>
      <c r="AH42" s="86">
        <f t="shared" si="13"/>
        <v>0</v>
      </c>
      <c r="AI42" s="225">
        <f t="shared" si="14"/>
        <v>0</v>
      </c>
      <c r="AJ42" s="220">
        <f>Deprec!I41</f>
        <v>0</v>
      </c>
      <c r="AK42" s="86">
        <f t="shared" si="15"/>
        <v>0</v>
      </c>
      <c r="AL42" s="455">
        <f t="shared" si="32"/>
        <v>0</v>
      </c>
      <c r="AM42" s="86">
        <f t="shared" si="33"/>
        <v>0</v>
      </c>
      <c r="AN42" s="438">
        <f>IF(AM42&lt;0,0,(AM42*Veg_Inputs!$J$14))</f>
        <v>0</v>
      </c>
      <c r="AO42" s="86">
        <f t="shared" si="34"/>
        <v>0</v>
      </c>
      <c r="AP42" s="226">
        <f t="shared" si="16"/>
        <v>0</v>
      </c>
      <c r="AS42" s="196">
        <f t="shared" si="17"/>
        <v>0</v>
      </c>
      <c r="AT42" s="86">
        <f t="shared" si="18"/>
        <v>0</v>
      </c>
      <c r="AU42" s="197">
        <f t="shared" si="35"/>
        <v>0</v>
      </c>
      <c r="AV42" s="218">
        <f>IF(B42=0,Veg_Inputs!$C$29,0)</f>
        <v>0</v>
      </c>
      <c r="AW42" s="198">
        <f t="shared" si="5"/>
        <v>0</v>
      </c>
      <c r="AX42" s="197">
        <f t="shared" si="6"/>
        <v>0</v>
      </c>
      <c r="AY42" s="184">
        <f>IF(B42=0,Veg_Inputs!$G$15+Veg_Inputs!$G$16,0)</f>
        <v>0</v>
      </c>
      <c r="AZ42" s="185">
        <f>IF(B42=0,Veg_Inputs!$G$14,0)</f>
        <v>0</v>
      </c>
      <c r="BA42" s="200">
        <f t="shared" si="7"/>
        <v>0</v>
      </c>
      <c r="BB42" s="196">
        <f t="shared" si="8"/>
        <v>0</v>
      </c>
      <c r="BC42" s="218">
        <f>Veg_Inputs!$G$20*AVERAGE(BR42,BS42)</f>
        <v>0</v>
      </c>
      <c r="BD42" s="200">
        <f t="shared" si="9"/>
        <v>0</v>
      </c>
      <c r="BE42" s="200">
        <f t="shared" si="19"/>
        <v>0</v>
      </c>
      <c r="BF42" s="86">
        <f t="shared" si="20"/>
        <v>0</v>
      </c>
      <c r="BG42" s="197">
        <f t="shared" si="21"/>
        <v>0</v>
      </c>
      <c r="BH42" s="86">
        <f t="shared" si="36"/>
        <v>0</v>
      </c>
      <c r="BI42" s="86">
        <f t="shared" si="37"/>
        <v>0</v>
      </c>
      <c r="BJ42" s="122">
        <f>-Debt_Calc!AG40</f>
        <v>0</v>
      </c>
      <c r="BK42" s="122">
        <f>Debt_Calc!AH40</f>
        <v>0</v>
      </c>
      <c r="BL42" s="86">
        <f t="shared" si="22"/>
        <v>0</v>
      </c>
      <c r="BM42" s="423">
        <f t="shared" si="38"/>
        <v>0</v>
      </c>
      <c r="BN42" s="86">
        <f t="shared" si="39"/>
        <v>0</v>
      </c>
      <c r="BO42" s="86">
        <f t="shared" si="23"/>
        <v>0</v>
      </c>
      <c r="BP42" s="86">
        <f t="shared" si="40"/>
        <v>0</v>
      </c>
      <c r="BQ42" s="86">
        <f t="shared" si="24"/>
        <v>0</v>
      </c>
      <c r="BR42" s="86">
        <f t="shared" si="25"/>
        <v>0</v>
      </c>
      <c r="BS42" s="86">
        <f t="shared" si="10"/>
        <v>0</v>
      </c>
      <c r="BT42" s="86">
        <f t="shared" si="26"/>
        <v>510645.73387149483</v>
      </c>
      <c r="BU42" s="86">
        <f t="shared" si="41"/>
        <v>2</v>
      </c>
      <c r="BV42" s="214">
        <f t="shared" si="11"/>
        <v>0</v>
      </c>
    </row>
    <row r="43" spans="2:93" s="86" customFormat="1" x14ac:dyDescent="0.3">
      <c r="B43" s="192">
        <f t="shared" si="27"/>
        <v>32</v>
      </c>
      <c r="C43" s="350">
        <f t="shared" si="12"/>
        <v>2053</v>
      </c>
      <c r="D43" s="351">
        <f t="shared" si="42"/>
        <v>55885</v>
      </c>
      <c r="E43" s="441">
        <f t="shared" si="42"/>
        <v>56249</v>
      </c>
      <c r="F43" s="445">
        <f>IF(AND(B43&gt;0,B43&lt;=Veg_Inputs!$J$17),1,0)</f>
        <v>0</v>
      </c>
      <c r="G43" s="447">
        <f>IF(F43=1,Veg_Inputs!$G$31,0)</f>
        <v>0</v>
      </c>
      <c r="H43" s="348">
        <f>IF(AND(F42=0,F43=1),100%,IF(AND(F42=0,F43=0),100%,H42-Veg_Inputs!$G$45))*F43</f>
        <v>0</v>
      </c>
      <c r="I43" s="216">
        <f t="shared" si="29"/>
        <v>0</v>
      </c>
      <c r="J43" s="219">
        <f>Veg_Inputs!$J$11</f>
        <v>0.01</v>
      </c>
      <c r="K43" s="444">
        <f>IF(B43=1,Veg_Inputs!$R$15,K42*(1+Veg_CashFlows!J43))*F43</f>
        <v>0</v>
      </c>
      <c r="L43" s="338">
        <f>IF(B43=1,Veg_Inputs!$R$16,L42*(1+Veg_CashFlows!J43))*F43</f>
        <v>0</v>
      </c>
      <c r="M43" s="122">
        <f>K43*I43*Veg_Inputs!$J$9</f>
        <v>0</v>
      </c>
      <c r="N43" s="222">
        <f>L43*I43*Veg_Inputs!$J$10</f>
        <v>0</v>
      </c>
      <c r="O43" s="423">
        <f t="shared" si="30"/>
        <v>0</v>
      </c>
      <c r="P43" s="122">
        <f>SUM(M43:O43)+IF(B43=Veg_Inputs!$J$17,Veg_Inputs!$J$19,0)</f>
        <v>0</v>
      </c>
      <c r="Q43" s="218">
        <f>IF(B43=1,Veg_Inputs!$O$7,Q42*(1+Veg_Inputs!$N$23))*F43</f>
        <v>0</v>
      </c>
      <c r="R43" s="122">
        <f>IF(B43=1,Veg_Inputs!$O$8,R42*(1+Veg_Inputs!$N$23))*F43</f>
        <v>0</v>
      </c>
      <c r="S43" s="122">
        <f>IF(B43=1,Veg_Inputs!$O$9,S42*(1+Veg_Inputs!$N$23))*F43</f>
        <v>0</v>
      </c>
      <c r="T43" s="122">
        <f>IF(B43=1,Veg_Inputs!$O$10,T42*(1+Veg_Inputs!$N$23))*F43</f>
        <v>0</v>
      </c>
      <c r="U43" s="122">
        <f>IF(B43=1,Veg_Inputs!$O$11,U42*(1+Veg_Inputs!$N$23))*F43</f>
        <v>0</v>
      </c>
      <c r="V43" s="122">
        <f>IF(B43=1,Veg_Inputs!$O$12,V42*(1+Veg_Inputs!$N$23))*F43</f>
        <v>0</v>
      </c>
      <c r="W43" s="122">
        <f>IF(B43=1,Veg_Inputs!$O$13,W42*(1+Veg_Inputs!$N$23))*F43</f>
        <v>0</v>
      </c>
      <c r="X43" s="122">
        <f>IF(B43=1,Veg_Inputs!$O$14,X42*(1+Veg_Inputs!$N$23))*F43</f>
        <v>0</v>
      </c>
      <c r="Y43" s="122">
        <f>IF(B43=1,Veg_Inputs!$O$15,Y42*(1+Veg_Inputs!$N$23))*F43</f>
        <v>0</v>
      </c>
      <c r="Z43" s="122">
        <f>IF(B43=1,Veg_Inputs!$O$16,Z42*(1+Veg_Inputs!$N$23))*F43</f>
        <v>0</v>
      </c>
      <c r="AA43" s="122">
        <f>IF(B43=1,Veg_Inputs!$O$17,AA42*(1+Veg_Inputs!$N$23))*F43</f>
        <v>0</v>
      </c>
      <c r="AB43" s="181">
        <f>IF(B43=1,Veg_Inputs!$O$18,AB42*(1+Veg_Inputs!$N$23))*F43</f>
        <v>0</v>
      </c>
      <c r="AC43" s="482">
        <f>IF(B43=1,Veg_Inputs!$O$19,AC42*(1+Veg_Inputs!$N$23))*F43</f>
        <v>0</v>
      </c>
      <c r="AD43" s="122">
        <f>IF(B43=1,Veg_Inputs!$O$20,AD42*(1+Veg_Inputs!$N$23))*F43</f>
        <v>0</v>
      </c>
      <c r="AE43" s="122">
        <f>IF(B43=1,Veg_Inputs!$O$21,AE42*(1+Veg_Inputs!$N$23))*F43</f>
        <v>0</v>
      </c>
      <c r="AF43" s="132">
        <f>IF(B43=1,Veg_Inputs!$O$22,AF42*(1+Veg_Inputs!$N$23))*F43</f>
        <v>0</v>
      </c>
      <c r="AG43" s="200">
        <f t="shared" si="31"/>
        <v>0</v>
      </c>
      <c r="AH43" s="86">
        <f t="shared" si="13"/>
        <v>0</v>
      </c>
      <c r="AI43" s="225">
        <f t="shared" si="14"/>
        <v>0</v>
      </c>
      <c r="AJ43" s="220">
        <f>Deprec!I42</f>
        <v>0</v>
      </c>
      <c r="AK43" s="86">
        <f t="shared" si="15"/>
        <v>0</v>
      </c>
      <c r="AL43" s="455">
        <f t="shared" si="32"/>
        <v>0</v>
      </c>
      <c r="AM43" s="86">
        <f t="shared" si="33"/>
        <v>0</v>
      </c>
      <c r="AN43" s="438">
        <f>IF(AM43&lt;0,0,(AM43*Veg_Inputs!$J$14))</f>
        <v>0</v>
      </c>
      <c r="AO43" s="86">
        <f t="shared" si="34"/>
        <v>0</v>
      </c>
      <c r="AP43" s="226">
        <f t="shared" si="16"/>
        <v>0</v>
      </c>
      <c r="AS43" s="196">
        <f t="shared" si="17"/>
        <v>0</v>
      </c>
      <c r="AT43" s="86">
        <f t="shared" si="18"/>
        <v>0</v>
      </c>
      <c r="AU43" s="197">
        <f t="shared" si="35"/>
        <v>0</v>
      </c>
      <c r="AV43" s="218">
        <f>IF(B43=0,Veg_Inputs!$C$29,0)</f>
        <v>0</v>
      </c>
      <c r="AW43" s="198">
        <f t="shared" si="5"/>
        <v>0</v>
      </c>
      <c r="AX43" s="197">
        <f t="shared" si="6"/>
        <v>0</v>
      </c>
      <c r="AY43" s="184">
        <f>IF(B43=0,Veg_Inputs!$G$15+Veg_Inputs!$G$16,0)</f>
        <v>0</v>
      </c>
      <c r="AZ43" s="185">
        <f>IF(B43=0,Veg_Inputs!$G$14,0)</f>
        <v>0</v>
      </c>
      <c r="BA43" s="200">
        <f t="shared" si="7"/>
        <v>0</v>
      </c>
      <c r="BB43" s="196">
        <f t="shared" si="8"/>
        <v>0</v>
      </c>
      <c r="BC43" s="218">
        <f>Veg_Inputs!$G$20*AVERAGE(BR43,BS43)</f>
        <v>0</v>
      </c>
      <c r="BD43" s="200">
        <f t="shared" si="9"/>
        <v>0</v>
      </c>
      <c r="BE43" s="200">
        <f t="shared" si="19"/>
        <v>0</v>
      </c>
      <c r="BF43" s="86">
        <f t="shared" si="20"/>
        <v>0</v>
      </c>
      <c r="BG43" s="197">
        <f t="shared" si="21"/>
        <v>0</v>
      </c>
      <c r="BH43" s="86">
        <f t="shared" si="36"/>
        <v>0</v>
      </c>
      <c r="BI43" s="86">
        <f t="shared" si="37"/>
        <v>0</v>
      </c>
      <c r="BJ43" s="122">
        <f>-Debt_Calc!AG41</f>
        <v>0</v>
      </c>
      <c r="BK43" s="122">
        <f>Debt_Calc!AH41</f>
        <v>0</v>
      </c>
      <c r="BL43" s="86">
        <f t="shared" si="22"/>
        <v>0</v>
      </c>
      <c r="BM43" s="423">
        <f t="shared" si="38"/>
        <v>0</v>
      </c>
      <c r="BN43" s="86">
        <f t="shared" si="39"/>
        <v>0</v>
      </c>
      <c r="BO43" s="86">
        <f t="shared" si="23"/>
        <v>0</v>
      </c>
      <c r="BP43" s="86">
        <f t="shared" si="40"/>
        <v>0</v>
      </c>
      <c r="BQ43" s="86">
        <f t="shared" si="24"/>
        <v>0</v>
      </c>
      <c r="BR43" s="86">
        <f t="shared" si="25"/>
        <v>0</v>
      </c>
      <c r="BS43" s="86">
        <f t="shared" si="10"/>
        <v>0</v>
      </c>
      <c r="BT43" s="86">
        <f t="shared" si="26"/>
        <v>510645.73387149483</v>
      </c>
      <c r="BU43" s="86">
        <f t="shared" si="41"/>
        <v>2</v>
      </c>
      <c r="BV43" s="214">
        <f t="shared" si="11"/>
        <v>0</v>
      </c>
    </row>
    <row r="44" spans="2:93" s="86" customFormat="1" x14ac:dyDescent="0.3">
      <c r="B44" s="215">
        <f t="shared" si="27"/>
        <v>33</v>
      </c>
      <c r="C44" s="352">
        <f t="shared" si="12"/>
        <v>2054</v>
      </c>
      <c r="D44" s="353">
        <f t="shared" si="42"/>
        <v>56250</v>
      </c>
      <c r="E44" s="442">
        <f t="shared" si="42"/>
        <v>56614</v>
      </c>
      <c r="F44" s="735">
        <f>IF(AND(B44&gt;0,B44&lt;=Veg_Inputs!$J$17),1,0)</f>
        <v>0</v>
      </c>
      <c r="G44" s="687">
        <f>IF(F44=1,Veg_Inputs!$G$31,0)</f>
        <v>0</v>
      </c>
      <c r="H44" s="736">
        <f>IF(AND(F43=0,F44=1),100%,IF(AND(F43=0,F44=0),100%,H43-Veg_Inputs!$G$45))*F44</f>
        <v>0</v>
      </c>
      <c r="I44" s="737">
        <f t="shared" si="29"/>
        <v>0</v>
      </c>
      <c r="J44" s="738">
        <f>Veg_Inputs!$J$11</f>
        <v>0.01</v>
      </c>
      <c r="K44" s="744">
        <f>IF(B44=1,Veg_Inputs!$R$15,K43*(1+Veg_CashFlows!J44))*F44</f>
        <v>0</v>
      </c>
      <c r="L44" s="745">
        <f>IF(B44=1,Veg_Inputs!$R$16,L43*(1+Veg_CashFlows!J44))*F44</f>
        <v>0</v>
      </c>
      <c r="M44" s="83">
        <f>K44*I44*Veg_Inputs!$J$9</f>
        <v>0</v>
      </c>
      <c r="N44" s="739">
        <f>L44*I44*Veg_Inputs!$J$10</f>
        <v>0</v>
      </c>
      <c r="O44" s="424">
        <f t="shared" si="30"/>
        <v>0</v>
      </c>
      <c r="P44" s="83">
        <f>SUM(M44:O44)+IF(B44=Veg_Inputs!$J$17,Veg_Inputs!$J$19,0)</f>
        <v>0</v>
      </c>
      <c r="Q44" s="746">
        <f>IF(B44=1,Veg_Inputs!$O$7,Q43*(1+Veg_Inputs!$N$23))*F44</f>
        <v>0</v>
      </c>
      <c r="R44" s="83">
        <f>IF(B44=1,Veg_Inputs!$O$8,R43*(1+Veg_Inputs!$N$23))*F44</f>
        <v>0</v>
      </c>
      <c r="S44" s="83">
        <f>IF(B44=1,Veg_Inputs!$O$9,S43*(1+Veg_Inputs!$N$23))*F44</f>
        <v>0</v>
      </c>
      <c r="T44" s="83">
        <f>IF(B44=1,Veg_Inputs!$O$10,T43*(1+Veg_Inputs!$N$23))*F44</f>
        <v>0</v>
      </c>
      <c r="U44" s="83">
        <f>IF(B44=1,Veg_Inputs!$O$11,U43*(1+Veg_Inputs!$N$23))*F44</f>
        <v>0</v>
      </c>
      <c r="V44" s="83">
        <f>IF(B44=1,Veg_Inputs!$O$12,V43*(1+Veg_Inputs!$N$23))*F44</f>
        <v>0</v>
      </c>
      <c r="W44" s="83">
        <f>IF(B44=1,Veg_Inputs!$O$13,W43*(1+Veg_Inputs!$N$23))*F44</f>
        <v>0</v>
      </c>
      <c r="X44" s="83">
        <f>IF(B44=1,Veg_Inputs!$O$14,X43*(1+Veg_Inputs!$N$23))*F44</f>
        <v>0</v>
      </c>
      <c r="Y44" s="83">
        <f>IF(B44=1,Veg_Inputs!$O$15,Y43*(1+Veg_Inputs!$N$23))*F44</f>
        <v>0</v>
      </c>
      <c r="Z44" s="83">
        <f>IF(B44=1,Veg_Inputs!$O$16,Z43*(1+Veg_Inputs!$N$23))*F44</f>
        <v>0</v>
      </c>
      <c r="AA44" s="83">
        <f>IF(B44=1,Veg_Inputs!$O$17,AA43*(1+Veg_Inputs!$N$23))*F44</f>
        <v>0</v>
      </c>
      <c r="AB44" s="141">
        <f>IF(B44=1,Veg_Inputs!$O$18,AB43*(1+Veg_Inputs!$N$23))*F44</f>
        <v>0</v>
      </c>
      <c r="AC44" s="747">
        <f>IF(B44=1,Veg_Inputs!$O$19,AC43*(1+Veg_Inputs!$N$23))*F44</f>
        <v>0</v>
      </c>
      <c r="AD44" s="83">
        <f>IF(B44=1,Veg_Inputs!$O$20,AD43*(1+Veg_Inputs!$N$23))*F44</f>
        <v>0</v>
      </c>
      <c r="AE44" s="83">
        <f>IF(B44=1,Veg_Inputs!$O$21,AE43*(1+Veg_Inputs!$N$23))*F44</f>
        <v>0</v>
      </c>
      <c r="AF44" s="84">
        <f>IF(B44=1,Veg_Inputs!$O$22,AF43*(1+Veg_Inputs!$N$23))*F44</f>
        <v>0</v>
      </c>
      <c r="AG44" s="231">
        <f t="shared" si="31"/>
        <v>0</v>
      </c>
      <c r="AH44" s="232">
        <f t="shared" si="13"/>
        <v>0</v>
      </c>
      <c r="AI44" s="234">
        <f t="shared" si="14"/>
        <v>0</v>
      </c>
      <c r="AJ44" s="750">
        <f>Deprec!I43</f>
        <v>0</v>
      </c>
      <c r="AK44" s="232">
        <f t="shared" si="15"/>
        <v>0</v>
      </c>
      <c r="AL44" s="456">
        <f t="shared" si="32"/>
        <v>0</v>
      </c>
      <c r="AM44" s="232">
        <f t="shared" si="33"/>
        <v>0</v>
      </c>
      <c r="AN44" s="749">
        <f>IF(AM44&lt;0,0,(AM44*Veg_Inputs!$J$14))</f>
        <v>0</v>
      </c>
      <c r="AO44" s="232">
        <f t="shared" si="34"/>
        <v>0</v>
      </c>
      <c r="AP44" s="235">
        <f t="shared" si="16"/>
        <v>0</v>
      </c>
      <c r="AQ44" s="232"/>
      <c r="AR44" s="232"/>
      <c r="AS44" s="233">
        <f t="shared" si="17"/>
        <v>0</v>
      </c>
      <c r="AT44" s="232">
        <f t="shared" si="18"/>
        <v>0</v>
      </c>
      <c r="AU44" s="439">
        <f t="shared" si="35"/>
        <v>0</v>
      </c>
      <c r="AV44" s="746">
        <f>IF(B44=0,Veg_Inputs!$C$29,0)</f>
        <v>0</v>
      </c>
      <c r="AW44" s="434">
        <f t="shared" si="5"/>
        <v>0</v>
      </c>
      <c r="AX44" s="439">
        <f t="shared" si="6"/>
        <v>0</v>
      </c>
      <c r="AY44" s="748">
        <f>IF(B44=0,Veg_Inputs!$G$15+Veg_Inputs!$G$16,0)</f>
        <v>0</v>
      </c>
      <c r="AZ44" s="150">
        <f>IF(B44=0,Veg_Inputs!$G$14,0)</f>
        <v>0</v>
      </c>
      <c r="BA44" s="231">
        <f t="shared" si="7"/>
        <v>0</v>
      </c>
      <c r="BB44" s="233">
        <f t="shared" si="8"/>
        <v>0</v>
      </c>
      <c r="BC44" s="746">
        <f>Veg_Inputs!$G$20*AVERAGE(BR44,BS44)</f>
        <v>0</v>
      </c>
      <c r="BD44" s="231">
        <f t="shared" si="9"/>
        <v>0</v>
      </c>
      <c r="BE44" s="231">
        <f t="shared" si="19"/>
        <v>0</v>
      </c>
      <c r="BF44" s="232">
        <f t="shared" si="20"/>
        <v>0</v>
      </c>
      <c r="BG44" s="439">
        <f t="shared" si="21"/>
        <v>0</v>
      </c>
      <c r="BH44" s="232">
        <f t="shared" si="36"/>
        <v>0</v>
      </c>
      <c r="BI44" s="232">
        <f t="shared" si="37"/>
        <v>0</v>
      </c>
      <c r="BJ44" s="83">
        <f>-Debt_Calc!AG42</f>
        <v>0</v>
      </c>
      <c r="BK44" s="83">
        <f>Debt_Calc!AH42</f>
        <v>0</v>
      </c>
      <c r="BL44" s="232">
        <f t="shared" si="22"/>
        <v>0</v>
      </c>
      <c r="BM44" s="424">
        <f t="shared" si="38"/>
        <v>0</v>
      </c>
      <c r="BN44" s="232">
        <f t="shared" si="39"/>
        <v>0</v>
      </c>
      <c r="BO44" s="232">
        <f t="shared" si="23"/>
        <v>0</v>
      </c>
      <c r="BP44" s="232">
        <f t="shared" si="40"/>
        <v>0</v>
      </c>
      <c r="BQ44" s="232">
        <f t="shared" si="24"/>
        <v>0</v>
      </c>
      <c r="BR44" s="232">
        <f t="shared" si="25"/>
        <v>0</v>
      </c>
      <c r="BS44" s="232">
        <f t="shared" si="10"/>
        <v>0</v>
      </c>
      <c r="BT44" s="232">
        <f t="shared" si="26"/>
        <v>510645.73387149483</v>
      </c>
      <c r="BU44" s="232">
        <f t="shared" si="41"/>
        <v>2</v>
      </c>
      <c r="BV44" s="236">
        <f t="shared" si="11"/>
        <v>0</v>
      </c>
    </row>
    <row r="45" spans="2:93" s="227" customFormat="1" x14ac:dyDescent="0.3">
      <c r="H45" s="237"/>
      <c r="J45" s="238"/>
      <c r="K45" s="199"/>
      <c r="L45" s="86"/>
      <c r="M45" s="86"/>
      <c r="N45" s="86"/>
      <c r="O45" s="202"/>
      <c r="P45" s="86"/>
      <c r="Q45" s="86"/>
      <c r="R45" s="86"/>
      <c r="S45" s="86"/>
      <c r="T45" s="86"/>
      <c r="U45" s="86"/>
      <c r="V45" s="86"/>
      <c r="W45" s="86"/>
      <c r="X45" s="86"/>
      <c r="Y45" s="86"/>
      <c r="Z45" s="86"/>
      <c r="AA45" s="86"/>
      <c r="AB45" s="86"/>
      <c r="AC45" s="86"/>
      <c r="AD45" s="86"/>
      <c r="AE45" s="86"/>
      <c r="AF45" s="86"/>
      <c r="AG45" s="86"/>
      <c r="AH45" s="86"/>
      <c r="AI45" s="86"/>
      <c r="AJ45" s="86"/>
      <c r="AK45" s="86"/>
      <c r="AL45" s="199"/>
      <c r="AM45" s="86"/>
      <c r="AN45" s="86"/>
      <c r="AO45" s="86"/>
      <c r="AP45" s="225"/>
      <c r="AQ45" s="86"/>
      <c r="AR45" s="86"/>
      <c r="AS45" s="239"/>
      <c r="AT45" s="86"/>
      <c r="AU45" s="86"/>
      <c r="AV45" s="202"/>
      <c r="AW45" s="86"/>
      <c r="AX45" s="86"/>
      <c r="AY45" s="86"/>
      <c r="AZ45" s="86"/>
      <c r="BA45" s="86"/>
      <c r="BB45" s="86"/>
      <c r="BC45" s="86"/>
      <c r="BD45" s="86"/>
      <c r="BE45" s="86"/>
      <c r="BF45" s="86"/>
      <c r="BG45" s="86"/>
      <c r="BH45" s="86"/>
      <c r="BI45" s="86"/>
      <c r="BJ45" s="202"/>
      <c r="BK45" s="202"/>
      <c r="BL45" s="202"/>
      <c r="BM45" s="86"/>
      <c r="BN45" s="86"/>
      <c r="BO45" s="86"/>
      <c r="BP45" s="86"/>
      <c r="BQ45" s="86"/>
      <c r="BR45" s="86"/>
      <c r="BS45" s="86"/>
      <c r="BT45" s="86"/>
      <c r="BU45" s="86"/>
      <c r="BV45" s="86"/>
      <c r="BW45" s="86"/>
      <c r="BX45" s="86"/>
      <c r="BY45" s="86"/>
      <c r="BZ45" s="86"/>
      <c r="CA45" s="86"/>
      <c r="CB45" s="86"/>
      <c r="CC45" s="86"/>
      <c r="CD45" s="86"/>
      <c r="CE45" s="86"/>
      <c r="CF45" s="86"/>
      <c r="CG45" s="86"/>
      <c r="CH45" s="86"/>
      <c r="CI45" s="86"/>
      <c r="CJ45" s="86"/>
      <c r="CK45" s="86"/>
      <c r="CL45" s="86"/>
      <c r="CM45" s="86"/>
      <c r="CN45" s="86"/>
      <c r="CO45" s="86"/>
    </row>
    <row r="46" spans="2:93" s="227" customFormat="1" x14ac:dyDescent="0.3">
      <c r="H46" s="237"/>
      <c r="J46" s="238"/>
      <c r="K46" s="199"/>
      <c r="L46" s="86"/>
      <c r="M46" s="86"/>
      <c r="N46" s="86"/>
      <c r="O46" s="202"/>
      <c r="P46" s="86"/>
      <c r="Q46" s="86"/>
      <c r="R46" s="86"/>
      <c r="S46" s="86"/>
      <c r="T46" s="86"/>
      <c r="U46" s="86"/>
      <c r="V46" s="86"/>
      <c r="W46" s="86"/>
      <c r="X46" s="86"/>
      <c r="Y46" s="86"/>
      <c r="Z46" s="86"/>
      <c r="AA46" s="86"/>
      <c r="AB46" s="86"/>
      <c r="AC46" s="86"/>
      <c r="AD46" s="86"/>
      <c r="AE46" s="86"/>
      <c r="AF46" s="86"/>
      <c r="AG46" s="86"/>
      <c r="AH46" s="86"/>
      <c r="AI46" s="86"/>
      <c r="AJ46" s="86"/>
      <c r="AK46" s="86"/>
      <c r="AL46" s="199"/>
      <c r="AM46" s="86"/>
      <c r="AN46" s="86"/>
      <c r="AO46" s="86"/>
      <c r="AP46" s="225"/>
      <c r="AQ46" s="86"/>
      <c r="AR46" s="86"/>
      <c r="AS46" s="239"/>
      <c r="AT46" s="240"/>
      <c r="AU46" s="86"/>
      <c r="AV46" s="202"/>
      <c r="AW46" s="86"/>
      <c r="AX46" s="86"/>
      <c r="AY46" s="86"/>
      <c r="AZ46" s="86"/>
      <c r="BA46" s="86"/>
      <c r="BB46" s="86"/>
      <c r="BC46" s="86"/>
      <c r="BD46" s="86"/>
      <c r="BE46" s="86"/>
      <c r="BF46" s="86"/>
      <c r="BG46" s="86"/>
      <c r="BH46" s="86"/>
      <c r="BI46" s="86"/>
      <c r="BJ46" s="202"/>
      <c r="BK46" s="202"/>
      <c r="BL46" s="202"/>
      <c r="BM46" s="86"/>
      <c r="BN46" s="86"/>
      <c r="BO46" s="86"/>
      <c r="BP46" s="86"/>
      <c r="BQ46" s="86"/>
      <c r="BR46" s="86"/>
      <c r="BS46" s="86"/>
      <c r="BT46" s="86"/>
      <c r="BU46" s="86"/>
      <c r="BV46" s="86"/>
      <c r="BW46" s="86"/>
      <c r="BX46" s="86"/>
      <c r="BY46" s="86"/>
      <c r="BZ46" s="86"/>
      <c r="CA46" s="86"/>
      <c r="CB46" s="86"/>
      <c r="CC46" s="86"/>
      <c r="CD46" s="86"/>
      <c r="CE46" s="86"/>
      <c r="CF46" s="86"/>
      <c r="CG46" s="86"/>
      <c r="CH46" s="86"/>
      <c r="CI46" s="86"/>
      <c r="CJ46" s="86"/>
      <c r="CK46" s="86"/>
      <c r="CL46" s="86"/>
      <c r="CM46" s="86"/>
      <c r="CN46" s="86"/>
      <c r="CO46" s="86"/>
    </row>
    <row r="47" spans="2:93" s="227" customFormat="1" x14ac:dyDescent="0.3">
      <c r="H47" s="237"/>
      <c r="J47" s="238"/>
      <c r="K47" s="199"/>
      <c r="L47" s="86"/>
      <c r="M47" s="86"/>
      <c r="N47" s="86"/>
      <c r="O47" s="202"/>
      <c r="P47" s="86"/>
      <c r="Q47" s="86"/>
      <c r="R47" s="86"/>
      <c r="S47" s="86"/>
      <c r="T47" s="86"/>
      <c r="U47" s="86"/>
      <c r="V47" s="86"/>
      <c r="W47" s="86"/>
      <c r="X47" s="86"/>
      <c r="Y47" s="86"/>
      <c r="Z47" s="86"/>
      <c r="AA47" s="86"/>
      <c r="AB47" s="86"/>
      <c r="AC47" s="86"/>
      <c r="AD47" s="86"/>
      <c r="AE47" s="86"/>
      <c r="AF47" s="86"/>
      <c r="AG47" s="86"/>
      <c r="AH47" s="86"/>
      <c r="AI47" s="86"/>
      <c r="AJ47" s="86"/>
      <c r="AK47" s="86"/>
      <c r="AL47" s="199"/>
      <c r="AM47" s="86"/>
      <c r="AN47" s="86"/>
      <c r="AO47" s="86"/>
      <c r="AP47" s="225"/>
      <c r="AQ47" s="86"/>
      <c r="AR47" s="86"/>
      <c r="AS47" s="239"/>
      <c r="AT47" s="86"/>
      <c r="AU47" s="86"/>
      <c r="AV47" s="202"/>
      <c r="AW47" s="86"/>
      <c r="AX47" s="86"/>
      <c r="AY47" s="86"/>
      <c r="AZ47" s="86"/>
      <c r="BA47" s="86"/>
      <c r="BB47" s="86"/>
      <c r="BC47" s="86"/>
      <c r="BD47" s="86"/>
      <c r="BE47" s="86"/>
      <c r="BF47" s="86"/>
      <c r="BG47" s="86"/>
      <c r="BH47" s="86"/>
      <c r="BI47" s="86"/>
      <c r="BJ47" s="202"/>
      <c r="BK47" s="202"/>
      <c r="BL47" s="202"/>
      <c r="BM47" s="86"/>
      <c r="BN47" s="86"/>
      <c r="BO47" s="86"/>
      <c r="BP47" s="86"/>
      <c r="BQ47" s="86"/>
      <c r="BR47" s="86"/>
      <c r="BS47" s="86"/>
      <c r="BT47" s="86"/>
      <c r="BU47" s="86"/>
      <c r="BV47" s="86"/>
      <c r="BW47" s="86"/>
      <c r="BX47" s="86"/>
      <c r="BY47" s="86"/>
      <c r="BZ47" s="86"/>
      <c r="CA47" s="86"/>
      <c r="CB47" s="86"/>
      <c r="CC47" s="86"/>
      <c r="CD47" s="86"/>
      <c r="CE47" s="86"/>
      <c r="CF47" s="86"/>
      <c r="CG47" s="86"/>
      <c r="CH47" s="86"/>
      <c r="CI47" s="86"/>
      <c r="CJ47" s="86"/>
      <c r="CK47" s="86"/>
      <c r="CL47" s="86"/>
      <c r="CM47" s="86"/>
      <c r="CN47" s="86"/>
      <c r="CO47" s="86"/>
    </row>
    <row r="48" spans="2:93" s="227" customFormat="1" x14ac:dyDescent="0.3">
      <c r="H48" s="237"/>
      <c r="J48" s="238"/>
      <c r="K48" s="199"/>
      <c r="L48" s="86"/>
      <c r="M48" s="86"/>
      <c r="N48" s="86"/>
      <c r="O48" s="202"/>
      <c r="P48" s="86"/>
      <c r="Q48" s="86"/>
      <c r="R48" s="86"/>
      <c r="S48" s="86"/>
      <c r="T48" s="86"/>
      <c r="U48" s="86"/>
      <c r="V48" s="86"/>
      <c r="W48" s="86"/>
      <c r="X48" s="86"/>
      <c r="Y48" s="86"/>
      <c r="Z48" s="86"/>
      <c r="AA48" s="86"/>
      <c r="AB48" s="86"/>
      <c r="AC48" s="86"/>
      <c r="AD48" s="86"/>
      <c r="AE48" s="86"/>
      <c r="AF48" s="86"/>
      <c r="AG48" s="86"/>
      <c r="AH48" s="86"/>
      <c r="AI48" s="86"/>
      <c r="AJ48" s="86"/>
      <c r="AK48" s="86"/>
      <c r="AL48" s="199"/>
      <c r="AM48" s="86"/>
      <c r="AN48" s="86"/>
      <c r="AO48" s="86"/>
      <c r="AP48" s="225"/>
      <c r="AQ48" s="86"/>
      <c r="AR48" s="86"/>
      <c r="AS48" s="239"/>
      <c r="AT48" s="86"/>
      <c r="AU48" s="86"/>
      <c r="AV48" s="202"/>
      <c r="AW48" s="86"/>
      <c r="AX48" s="86"/>
      <c r="AY48" s="86"/>
      <c r="AZ48" s="86"/>
      <c r="BA48" s="86"/>
      <c r="BB48" s="86"/>
      <c r="BC48" s="86"/>
      <c r="BD48" s="86"/>
      <c r="BE48" s="86"/>
      <c r="BF48" s="86"/>
      <c r="BG48" s="86"/>
      <c r="BH48" s="86"/>
      <c r="BI48" s="86"/>
      <c r="BJ48" s="202"/>
      <c r="BK48" s="202"/>
      <c r="BL48" s="202"/>
      <c r="BM48" s="86"/>
      <c r="BN48" s="86"/>
      <c r="BO48" s="86"/>
      <c r="BP48" s="86"/>
      <c r="BQ48" s="86"/>
      <c r="BR48" s="86"/>
      <c r="BS48" s="86"/>
      <c r="BT48" s="86"/>
      <c r="BU48" s="86"/>
      <c r="BV48" s="86"/>
      <c r="BW48" s="86"/>
      <c r="BX48" s="86"/>
      <c r="BY48" s="86"/>
      <c r="BZ48" s="86"/>
      <c r="CA48" s="86"/>
      <c r="CB48" s="86"/>
      <c r="CC48" s="86"/>
      <c r="CD48" s="86"/>
      <c r="CE48" s="86"/>
      <c r="CF48" s="86"/>
      <c r="CG48" s="86"/>
      <c r="CH48" s="86"/>
      <c r="CI48" s="86"/>
      <c r="CJ48" s="86"/>
      <c r="CK48" s="86"/>
      <c r="CL48" s="86"/>
      <c r="CM48" s="86"/>
      <c r="CN48" s="86"/>
      <c r="CO48" s="86"/>
    </row>
    <row r="49" spans="8:93" s="227" customFormat="1" x14ac:dyDescent="0.3">
      <c r="H49" s="237"/>
      <c r="J49" s="238"/>
      <c r="K49" s="199"/>
      <c r="L49" s="86"/>
      <c r="M49" s="86"/>
      <c r="N49" s="86"/>
      <c r="O49" s="202"/>
      <c r="P49" s="86"/>
      <c r="Q49" s="86"/>
      <c r="R49" s="86"/>
      <c r="S49" s="86"/>
      <c r="T49" s="86"/>
      <c r="U49" s="86"/>
      <c r="V49" s="86"/>
      <c r="W49" s="86"/>
      <c r="X49" s="86"/>
      <c r="Y49" s="86"/>
      <c r="Z49" s="86"/>
      <c r="AA49" s="86"/>
      <c r="AB49" s="86"/>
      <c r="AC49" s="86"/>
      <c r="AD49" s="86"/>
      <c r="AE49" s="86"/>
      <c r="AF49" s="86"/>
      <c r="AG49" s="86"/>
      <c r="AH49" s="86"/>
      <c r="AI49" s="86"/>
      <c r="AJ49" s="86"/>
      <c r="AK49" s="86"/>
      <c r="AL49" s="199"/>
      <c r="AM49" s="86"/>
      <c r="AN49" s="86"/>
      <c r="AO49" s="86"/>
      <c r="AP49" s="225"/>
      <c r="AQ49" s="86"/>
      <c r="AR49" s="86"/>
      <c r="AS49" s="239"/>
      <c r="AT49" s="86"/>
      <c r="AU49" s="86"/>
      <c r="AV49" s="202"/>
      <c r="AW49" s="86"/>
      <c r="AX49" s="86"/>
      <c r="AY49" s="86"/>
      <c r="AZ49" s="86"/>
      <c r="BA49" s="86"/>
      <c r="BB49" s="86"/>
      <c r="BC49" s="86"/>
      <c r="BD49" s="86"/>
      <c r="BE49" s="86"/>
      <c r="BF49" s="86"/>
      <c r="BG49" s="86"/>
      <c r="BH49" s="86"/>
      <c r="BI49" s="86"/>
      <c r="BJ49" s="202"/>
      <c r="BK49" s="202"/>
      <c r="BL49" s="202"/>
      <c r="BM49" s="86"/>
      <c r="BN49" s="86"/>
      <c r="BO49" s="86"/>
      <c r="BP49" s="86"/>
      <c r="BQ49" s="86"/>
      <c r="BR49" s="86"/>
      <c r="BS49" s="86"/>
      <c r="BT49" s="86"/>
      <c r="BU49" s="86"/>
      <c r="BV49" s="86"/>
      <c r="BW49" s="86"/>
      <c r="BX49" s="86"/>
      <c r="BY49" s="86"/>
      <c r="BZ49" s="86"/>
      <c r="CA49" s="86"/>
      <c r="CB49" s="86"/>
      <c r="CC49" s="86"/>
      <c r="CD49" s="86"/>
      <c r="CE49" s="86"/>
      <c r="CF49" s="86"/>
      <c r="CG49" s="86"/>
      <c r="CH49" s="86"/>
      <c r="CI49" s="86"/>
      <c r="CJ49" s="86"/>
      <c r="CK49" s="86"/>
      <c r="CL49" s="86"/>
      <c r="CM49" s="86"/>
      <c r="CN49" s="86"/>
      <c r="CO49" s="86"/>
    </row>
    <row r="50" spans="8:93" s="227" customFormat="1" x14ac:dyDescent="0.3">
      <c r="H50" s="237"/>
      <c r="J50" s="238"/>
      <c r="K50" s="199"/>
      <c r="L50" s="86"/>
      <c r="M50" s="86"/>
      <c r="N50" s="86"/>
      <c r="O50" s="202"/>
      <c r="P50" s="86"/>
      <c r="Q50" s="86"/>
      <c r="R50" s="86"/>
      <c r="S50" s="86"/>
      <c r="T50" s="86"/>
      <c r="U50" s="86"/>
      <c r="V50" s="86"/>
      <c r="W50" s="86"/>
      <c r="X50" s="86"/>
      <c r="Y50" s="86"/>
      <c r="Z50" s="86"/>
      <c r="AA50" s="86"/>
      <c r="AB50" s="86"/>
      <c r="AC50" s="86"/>
      <c r="AD50" s="86"/>
      <c r="AE50" s="86"/>
      <c r="AF50" s="86"/>
      <c r="AG50" s="86"/>
      <c r="AH50" s="86"/>
      <c r="AI50" s="86"/>
      <c r="AJ50" s="86"/>
      <c r="AK50" s="86"/>
      <c r="AL50" s="199"/>
      <c r="AM50" s="86"/>
      <c r="AN50" s="86"/>
      <c r="AO50" s="86"/>
      <c r="AP50" s="225"/>
      <c r="AQ50" s="86"/>
      <c r="AR50" s="86"/>
      <c r="AS50" s="239"/>
      <c r="AT50" s="86"/>
      <c r="AU50" s="86"/>
      <c r="AV50" s="202"/>
      <c r="AW50" s="86"/>
      <c r="AX50" s="86"/>
      <c r="AY50" s="86"/>
      <c r="AZ50" s="86"/>
      <c r="BA50" s="86"/>
      <c r="BB50" s="86"/>
      <c r="BC50" s="86"/>
      <c r="BD50" s="86"/>
      <c r="BE50" s="86"/>
      <c r="BF50" s="86"/>
      <c r="BG50" s="86"/>
      <c r="BH50" s="86"/>
      <c r="BI50" s="86"/>
      <c r="BJ50" s="202"/>
      <c r="BK50" s="202"/>
      <c r="BL50" s="202"/>
      <c r="BM50" s="86"/>
      <c r="BN50" s="86"/>
      <c r="BO50" s="86"/>
      <c r="BP50" s="86"/>
      <c r="BQ50" s="86"/>
      <c r="BR50" s="86"/>
      <c r="BS50" s="86"/>
      <c r="BT50" s="86"/>
      <c r="BU50" s="86"/>
      <c r="BV50" s="86"/>
      <c r="BW50" s="86"/>
      <c r="BX50" s="86"/>
      <c r="BY50" s="86"/>
      <c r="BZ50" s="86"/>
      <c r="CA50" s="86"/>
      <c r="CB50" s="86"/>
      <c r="CC50" s="86"/>
      <c r="CD50" s="86"/>
      <c r="CE50" s="86"/>
      <c r="CF50" s="86"/>
      <c r="CG50" s="86"/>
      <c r="CH50" s="86"/>
      <c r="CI50" s="86"/>
      <c r="CJ50" s="86"/>
      <c r="CK50" s="86"/>
      <c r="CL50" s="86"/>
      <c r="CM50" s="86"/>
      <c r="CN50" s="86"/>
      <c r="CO50" s="86"/>
    </row>
    <row r="51" spans="8:93" s="227" customFormat="1" x14ac:dyDescent="0.3">
      <c r="H51" s="237"/>
      <c r="J51" s="238"/>
      <c r="K51" s="199"/>
      <c r="L51" s="86"/>
      <c r="M51" s="86"/>
      <c r="N51" s="86"/>
      <c r="O51" s="202"/>
      <c r="P51" s="86"/>
      <c r="Q51" s="86"/>
      <c r="R51" s="86"/>
      <c r="S51" s="86"/>
      <c r="T51" s="86"/>
      <c r="U51" s="86"/>
      <c r="V51" s="86"/>
      <c r="W51" s="86"/>
      <c r="X51" s="86"/>
      <c r="Y51" s="86"/>
      <c r="Z51" s="86"/>
      <c r="AA51" s="86"/>
      <c r="AB51" s="86"/>
      <c r="AC51" s="86"/>
      <c r="AD51" s="86"/>
      <c r="AE51" s="86"/>
      <c r="AF51" s="86"/>
      <c r="AG51" s="86"/>
      <c r="AH51" s="86"/>
      <c r="AI51" s="86"/>
      <c r="AJ51" s="86"/>
      <c r="AK51" s="86"/>
      <c r="AL51" s="199"/>
      <c r="AM51" s="86"/>
      <c r="AN51" s="86"/>
      <c r="AO51" s="86"/>
      <c r="AP51" s="225"/>
      <c r="AQ51" s="86"/>
      <c r="AR51" s="86"/>
      <c r="AS51" s="239"/>
      <c r="AT51" s="86"/>
      <c r="AU51" s="86"/>
      <c r="AV51" s="202"/>
      <c r="AW51" s="86"/>
      <c r="AX51" s="86"/>
      <c r="AY51" s="86"/>
      <c r="AZ51" s="86"/>
      <c r="BA51" s="86"/>
      <c r="BB51" s="86"/>
      <c r="BC51" s="86"/>
      <c r="BD51" s="86"/>
      <c r="BE51" s="86"/>
      <c r="BF51" s="86"/>
      <c r="BG51" s="86"/>
      <c r="BH51" s="86"/>
      <c r="BI51" s="86"/>
      <c r="BJ51" s="202"/>
      <c r="BK51" s="202"/>
      <c r="BL51" s="202"/>
      <c r="BM51" s="86"/>
      <c r="BN51" s="86"/>
      <c r="BO51" s="86"/>
      <c r="BP51" s="86"/>
      <c r="BQ51" s="86"/>
      <c r="BR51" s="86"/>
      <c r="BS51" s="86"/>
      <c r="BT51" s="86"/>
      <c r="BU51" s="86"/>
      <c r="BV51" s="86"/>
      <c r="BW51" s="86"/>
      <c r="BX51" s="86"/>
      <c r="BY51" s="86"/>
      <c r="BZ51" s="86"/>
      <c r="CA51" s="86"/>
      <c r="CB51" s="86"/>
      <c r="CC51" s="86"/>
      <c r="CD51" s="86"/>
      <c r="CE51" s="86"/>
      <c r="CF51" s="86"/>
      <c r="CG51" s="86"/>
      <c r="CH51" s="86"/>
      <c r="CI51" s="86"/>
      <c r="CJ51" s="86"/>
      <c r="CK51" s="86"/>
      <c r="CL51" s="86"/>
      <c r="CM51" s="86"/>
      <c r="CN51" s="86"/>
      <c r="CO51" s="86"/>
    </row>
    <row r="52" spans="8:93" s="227" customFormat="1" x14ac:dyDescent="0.3">
      <c r="H52" s="237"/>
      <c r="J52" s="238"/>
      <c r="K52" s="199"/>
      <c r="L52" s="86"/>
      <c r="M52" s="86"/>
      <c r="N52" s="86"/>
      <c r="O52" s="202"/>
      <c r="P52" s="86"/>
      <c r="Q52" s="86"/>
      <c r="R52" s="86"/>
      <c r="S52" s="86"/>
      <c r="T52" s="86"/>
      <c r="U52" s="86"/>
      <c r="V52" s="86"/>
      <c r="W52" s="86"/>
      <c r="X52" s="86"/>
      <c r="Y52" s="86"/>
      <c r="Z52" s="86"/>
      <c r="AA52" s="86"/>
      <c r="AB52" s="86"/>
      <c r="AC52" s="86"/>
      <c r="AD52" s="86"/>
      <c r="AE52" s="86"/>
      <c r="AF52" s="86"/>
      <c r="AG52" s="86"/>
      <c r="AH52" s="86"/>
      <c r="AI52" s="86"/>
      <c r="AJ52" s="86"/>
      <c r="AK52" s="86"/>
      <c r="AL52" s="199"/>
      <c r="AM52" s="86"/>
      <c r="AN52" s="86"/>
      <c r="AO52" s="86"/>
      <c r="AP52" s="225"/>
      <c r="AQ52" s="86"/>
      <c r="AR52" s="86"/>
      <c r="AS52" s="239"/>
      <c r="AT52" s="86"/>
      <c r="AU52" s="86"/>
      <c r="AV52" s="202"/>
      <c r="AW52" s="86"/>
      <c r="AX52" s="86"/>
      <c r="AY52" s="86"/>
      <c r="AZ52" s="86"/>
      <c r="BA52" s="86"/>
      <c r="BB52" s="86"/>
      <c r="BC52" s="86"/>
      <c r="BD52" s="86"/>
      <c r="BE52" s="86"/>
      <c r="BF52" s="86"/>
      <c r="BG52" s="86"/>
      <c r="BH52" s="86"/>
      <c r="BI52" s="86"/>
      <c r="BJ52" s="202"/>
      <c r="BK52" s="202"/>
      <c r="BL52" s="202"/>
      <c r="BM52" s="86"/>
      <c r="BN52" s="86"/>
      <c r="BO52" s="86"/>
      <c r="BP52" s="86"/>
      <c r="BQ52" s="86"/>
      <c r="BR52" s="86"/>
      <c r="BS52" s="86"/>
      <c r="BT52" s="86"/>
      <c r="BU52" s="86"/>
      <c r="BV52" s="86"/>
      <c r="BW52" s="86"/>
      <c r="BX52" s="86"/>
      <c r="BY52" s="86"/>
      <c r="BZ52" s="86"/>
      <c r="CA52" s="86"/>
      <c r="CB52" s="86"/>
      <c r="CC52" s="86"/>
      <c r="CD52" s="86"/>
      <c r="CE52" s="86"/>
      <c r="CF52" s="86"/>
      <c r="CG52" s="86"/>
      <c r="CH52" s="86"/>
      <c r="CI52" s="86"/>
      <c r="CJ52" s="86"/>
      <c r="CK52" s="86"/>
      <c r="CL52" s="86"/>
      <c r="CM52" s="86"/>
      <c r="CN52" s="86"/>
      <c r="CO52" s="86"/>
    </row>
    <row r="53" spans="8:93" s="227" customFormat="1" x14ac:dyDescent="0.3">
      <c r="H53" s="237"/>
      <c r="J53" s="238"/>
      <c r="K53" s="199"/>
      <c r="L53" s="86"/>
      <c r="M53" s="86"/>
      <c r="N53" s="86"/>
      <c r="O53" s="202"/>
      <c r="P53" s="86"/>
      <c r="Q53" s="86"/>
      <c r="R53" s="86"/>
      <c r="S53" s="86"/>
      <c r="T53" s="86"/>
      <c r="U53" s="86"/>
      <c r="V53" s="86"/>
      <c r="W53" s="86"/>
      <c r="X53" s="86"/>
      <c r="Y53" s="86"/>
      <c r="Z53" s="86"/>
      <c r="AA53" s="86"/>
      <c r="AB53" s="86"/>
      <c r="AC53" s="86"/>
      <c r="AD53" s="86"/>
      <c r="AE53" s="86"/>
      <c r="AF53" s="86"/>
      <c r="AG53" s="86"/>
      <c r="AH53" s="86"/>
      <c r="AI53" s="86"/>
      <c r="AJ53" s="86"/>
      <c r="AK53" s="86"/>
      <c r="AL53" s="199"/>
      <c r="AM53" s="86"/>
      <c r="AN53" s="86"/>
      <c r="AO53" s="86"/>
      <c r="AP53" s="225"/>
      <c r="AQ53" s="86"/>
      <c r="AR53" s="86"/>
      <c r="AS53" s="239"/>
      <c r="AT53" s="86"/>
      <c r="AU53" s="86"/>
      <c r="AV53" s="202"/>
      <c r="AW53" s="86"/>
      <c r="AX53" s="86"/>
      <c r="AY53" s="86"/>
      <c r="AZ53" s="86"/>
      <c r="BA53" s="86"/>
      <c r="BB53" s="86"/>
      <c r="BC53" s="86"/>
      <c r="BD53" s="86"/>
      <c r="BE53" s="86"/>
      <c r="BF53" s="86"/>
      <c r="BG53" s="86"/>
      <c r="BH53" s="86"/>
      <c r="BI53" s="86"/>
      <c r="BJ53" s="202"/>
      <c r="BK53" s="202"/>
      <c r="BL53" s="202"/>
      <c r="BM53" s="86"/>
      <c r="BN53" s="86"/>
      <c r="BO53" s="86"/>
      <c r="BP53" s="86"/>
      <c r="BQ53" s="86"/>
      <c r="BR53" s="86"/>
      <c r="BS53" s="86"/>
      <c r="BT53" s="86"/>
      <c r="BU53" s="86"/>
      <c r="BV53" s="86"/>
      <c r="BW53" s="86"/>
      <c r="BX53" s="86"/>
      <c r="BY53" s="86"/>
      <c r="BZ53" s="86"/>
      <c r="CA53" s="86"/>
      <c r="CB53" s="86"/>
      <c r="CC53" s="86"/>
      <c r="CD53" s="86"/>
      <c r="CE53" s="86"/>
      <c r="CF53" s="86"/>
      <c r="CG53" s="86"/>
      <c r="CH53" s="86"/>
      <c r="CI53" s="86"/>
      <c r="CJ53" s="86"/>
      <c r="CK53" s="86"/>
      <c r="CL53" s="86"/>
      <c r="CM53" s="86"/>
      <c r="CN53" s="86"/>
      <c r="CO53" s="86"/>
    </row>
    <row r="54" spans="8:93" s="227" customFormat="1" x14ac:dyDescent="0.3">
      <c r="H54" s="237"/>
      <c r="J54" s="238"/>
      <c r="K54" s="199"/>
      <c r="L54" s="86"/>
      <c r="M54" s="86"/>
      <c r="N54" s="86"/>
      <c r="O54" s="202"/>
      <c r="P54" s="86"/>
      <c r="Q54" s="86"/>
      <c r="R54" s="86"/>
      <c r="S54" s="86"/>
      <c r="T54" s="86"/>
      <c r="U54" s="86"/>
      <c r="V54" s="86"/>
      <c r="W54" s="86"/>
      <c r="X54" s="86"/>
      <c r="Y54" s="86"/>
      <c r="Z54" s="86"/>
      <c r="AA54" s="86"/>
      <c r="AB54" s="86"/>
      <c r="AC54" s="86"/>
      <c r="AD54" s="86"/>
      <c r="AE54" s="86"/>
      <c r="AF54" s="86"/>
      <c r="AG54" s="86"/>
      <c r="AH54" s="86"/>
      <c r="AI54" s="86"/>
      <c r="AJ54" s="86"/>
      <c r="AK54" s="86"/>
      <c r="AL54" s="199"/>
      <c r="AM54" s="86"/>
      <c r="AN54" s="86"/>
      <c r="AO54" s="86"/>
      <c r="AP54" s="225"/>
      <c r="AQ54" s="86"/>
      <c r="AR54" s="86"/>
      <c r="AS54" s="239"/>
      <c r="AT54" s="86"/>
      <c r="AU54" s="86"/>
      <c r="AV54" s="202"/>
      <c r="AW54" s="86"/>
      <c r="AX54" s="86"/>
      <c r="AY54" s="86"/>
      <c r="AZ54" s="86"/>
      <c r="BA54" s="86"/>
      <c r="BB54" s="86"/>
      <c r="BC54" s="86"/>
      <c r="BD54" s="86"/>
      <c r="BE54" s="86"/>
      <c r="BF54" s="86"/>
      <c r="BG54" s="86"/>
      <c r="BH54" s="86"/>
      <c r="BI54" s="86"/>
      <c r="BJ54" s="202"/>
      <c r="BK54" s="202"/>
      <c r="BL54" s="202"/>
      <c r="BM54" s="86"/>
      <c r="BN54" s="86"/>
      <c r="BO54" s="86"/>
      <c r="BP54" s="86"/>
      <c r="BQ54" s="86"/>
      <c r="BR54" s="86"/>
      <c r="BS54" s="86"/>
      <c r="BT54" s="86"/>
      <c r="BU54" s="86"/>
      <c r="BV54" s="86"/>
      <c r="BW54" s="86"/>
      <c r="BX54" s="86"/>
      <c r="BY54" s="86"/>
      <c r="BZ54" s="86"/>
      <c r="CA54" s="86"/>
      <c r="CB54" s="86"/>
      <c r="CC54" s="86"/>
      <c r="CD54" s="86"/>
      <c r="CE54" s="86"/>
      <c r="CF54" s="86"/>
      <c r="CG54" s="86"/>
      <c r="CH54" s="86"/>
      <c r="CI54" s="86"/>
      <c r="CJ54" s="86"/>
      <c r="CK54" s="86"/>
      <c r="CL54" s="86"/>
      <c r="CM54" s="86"/>
      <c r="CN54" s="86"/>
      <c r="CO54" s="86"/>
    </row>
    <row r="55" spans="8:93" s="227" customFormat="1" x14ac:dyDescent="0.3">
      <c r="H55" s="237"/>
      <c r="J55" s="238"/>
      <c r="K55" s="199"/>
      <c r="L55" s="86"/>
      <c r="M55" s="86"/>
      <c r="N55" s="86"/>
      <c r="O55" s="202"/>
      <c r="P55" s="86"/>
      <c r="Q55" s="86"/>
      <c r="R55" s="86"/>
      <c r="S55" s="86"/>
      <c r="T55" s="86"/>
      <c r="U55" s="86"/>
      <c r="V55" s="86"/>
      <c r="W55" s="86"/>
      <c r="X55" s="86"/>
      <c r="Y55" s="86"/>
      <c r="Z55" s="86"/>
      <c r="AA55" s="86"/>
      <c r="AB55" s="86"/>
      <c r="AC55" s="86"/>
      <c r="AD55" s="86"/>
      <c r="AE55" s="86"/>
      <c r="AF55" s="86"/>
      <c r="AG55" s="86"/>
      <c r="AH55" s="86"/>
      <c r="AI55" s="86"/>
      <c r="AJ55" s="86"/>
      <c r="AK55" s="86"/>
      <c r="AL55" s="199"/>
      <c r="AM55" s="86"/>
      <c r="AN55" s="86"/>
      <c r="AO55" s="86"/>
      <c r="AP55" s="225"/>
      <c r="AQ55" s="86"/>
      <c r="AR55" s="86"/>
      <c r="AS55" s="239"/>
      <c r="AT55" s="86"/>
      <c r="AU55" s="86"/>
      <c r="AV55" s="202"/>
      <c r="AW55" s="86"/>
      <c r="AX55" s="86"/>
      <c r="AY55" s="86"/>
      <c r="AZ55" s="86"/>
      <c r="BA55" s="86"/>
      <c r="BB55" s="86"/>
      <c r="BC55" s="86"/>
      <c r="BD55" s="86"/>
      <c r="BE55" s="86"/>
      <c r="BF55" s="86"/>
      <c r="BG55" s="86"/>
      <c r="BH55" s="86"/>
      <c r="BI55" s="86"/>
      <c r="BJ55" s="202"/>
      <c r="BK55" s="202"/>
      <c r="BL55" s="202"/>
      <c r="BM55" s="86"/>
      <c r="BN55" s="86"/>
      <c r="BO55" s="86"/>
      <c r="BP55" s="86"/>
      <c r="BQ55" s="86"/>
      <c r="BR55" s="86"/>
      <c r="BS55" s="86"/>
      <c r="BT55" s="86"/>
      <c r="BU55" s="86"/>
      <c r="BV55" s="86"/>
      <c r="BW55" s="86"/>
      <c r="BX55" s="86"/>
      <c r="BY55" s="86"/>
      <c r="BZ55" s="86"/>
      <c r="CA55" s="86"/>
      <c r="CB55" s="86"/>
      <c r="CC55" s="86"/>
      <c r="CD55" s="86"/>
      <c r="CE55" s="86"/>
      <c r="CF55" s="86"/>
      <c r="CG55" s="86"/>
      <c r="CH55" s="86"/>
      <c r="CI55" s="86"/>
      <c r="CJ55" s="86"/>
      <c r="CK55" s="86"/>
      <c r="CL55" s="86"/>
      <c r="CM55" s="86"/>
      <c r="CN55" s="86"/>
      <c r="CO55" s="86"/>
    </row>
    <row r="56" spans="8:93" s="227" customFormat="1" x14ac:dyDescent="0.3">
      <c r="H56" s="237"/>
      <c r="J56" s="238"/>
      <c r="K56" s="199"/>
      <c r="L56" s="86"/>
      <c r="M56" s="86"/>
      <c r="N56" s="86"/>
      <c r="O56" s="202"/>
      <c r="P56" s="86"/>
      <c r="Q56" s="86"/>
      <c r="R56" s="86"/>
      <c r="S56" s="86"/>
      <c r="T56" s="86"/>
      <c r="U56" s="86"/>
      <c r="V56" s="86"/>
      <c r="W56" s="86"/>
      <c r="X56" s="86"/>
      <c r="Y56" s="86"/>
      <c r="Z56" s="86"/>
      <c r="AA56" s="86"/>
      <c r="AB56" s="86"/>
      <c r="AC56" s="86"/>
      <c r="AD56" s="86"/>
      <c r="AE56" s="86"/>
      <c r="AF56" s="86"/>
      <c r="AG56" s="86"/>
      <c r="AH56" s="86"/>
      <c r="AI56" s="86"/>
      <c r="AJ56" s="86"/>
      <c r="AK56" s="86"/>
      <c r="AL56" s="199"/>
      <c r="AM56" s="86"/>
      <c r="AN56" s="86"/>
      <c r="AO56" s="86"/>
      <c r="AP56" s="225"/>
      <c r="AQ56" s="86"/>
      <c r="AR56" s="86"/>
      <c r="AS56" s="239"/>
      <c r="AT56" s="86"/>
      <c r="AU56" s="86"/>
      <c r="AV56" s="202"/>
      <c r="AW56" s="86"/>
      <c r="AX56" s="86"/>
      <c r="AY56" s="86"/>
      <c r="AZ56" s="86"/>
      <c r="BA56" s="86"/>
      <c r="BB56" s="86"/>
      <c r="BC56" s="86"/>
      <c r="BD56" s="86"/>
      <c r="BE56" s="86"/>
      <c r="BF56" s="86"/>
      <c r="BG56" s="86"/>
      <c r="BH56" s="86"/>
      <c r="BI56" s="86"/>
      <c r="BJ56" s="202"/>
      <c r="BK56" s="202"/>
      <c r="BL56" s="202"/>
      <c r="BM56" s="86"/>
      <c r="BN56" s="86"/>
      <c r="BO56" s="86"/>
      <c r="BP56" s="86"/>
      <c r="BQ56" s="86"/>
      <c r="BR56" s="86"/>
      <c r="BS56" s="86"/>
      <c r="BT56" s="86"/>
      <c r="BU56" s="86"/>
      <c r="BV56" s="86"/>
      <c r="BW56" s="86"/>
      <c r="BX56" s="86"/>
      <c r="BY56" s="86"/>
      <c r="BZ56" s="86"/>
      <c r="CA56" s="86"/>
      <c r="CB56" s="86"/>
      <c r="CC56" s="86"/>
      <c r="CD56" s="86"/>
      <c r="CE56" s="86"/>
      <c r="CF56" s="86"/>
      <c r="CG56" s="86"/>
      <c r="CH56" s="86"/>
      <c r="CI56" s="86"/>
      <c r="CJ56" s="86"/>
      <c r="CK56" s="86"/>
      <c r="CL56" s="86"/>
      <c r="CM56" s="86"/>
      <c r="CN56" s="86"/>
      <c r="CO56" s="86"/>
    </row>
    <row r="57" spans="8:93" s="227" customFormat="1" x14ac:dyDescent="0.3">
      <c r="H57" s="237"/>
      <c r="J57" s="238"/>
      <c r="K57" s="199"/>
      <c r="L57" s="86"/>
      <c r="M57" s="86"/>
      <c r="N57" s="86"/>
      <c r="O57" s="202"/>
      <c r="P57" s="86"/>
      <c r="Q57" s="86"/>
      <c r="R57" s="86"/>
      <c r="S57" s="86"/>
      <c r="T57" s="86"/>
      <c r="U57" s="86"/>
      <c r="V57" s="86"/>
      <c r="W57" s="86"/>
      <c r="X57" s="86"/>
      <c r="Y57" s="86"/>
      <c r="Z57" s="86"/>
      <c r="AA57" s="86"/>
      <c r="AB57" s="86"/>
      <c r="AC57" s="86"/>
      <c r="AD57" s="86"/>
      <c r="AE57" s="86"/>
      <c r="AF57" s="86"/>
      <c r="AG57" s="86"/>
      <c r="AH57" s="86"/>
      <c r="AI57" s="86"/>
      <c r="AJ57" s="86"/>
      <c r="AK57" s="86"/>
      <c r="AL57" s="199"/>
      <c r="AM57" s="86"/>
      <c r="AN57" s="86"/>
      <c r="AO57" s="86"/>
      <c r="AP57" s="225"/>
      <c r="AQ57" s="86"/>
      <c r="AR57" s="86"/>
      <c r="AS57" s="239"/>
      <c r="AT57" s="86"/>
      <c r="AU57" s="86"/>
      <c r="AV57" s="202"/>
      <c r="AW57" s="86"/>
      <c r="AX57" s="86"/>
      <c r="AY57" s="86"/>
      <c r="AZ57" s="86"/>
      <c r="BA57" s="86"/>
      <c r="BB57" s="86"/>
      <c r="BC57" s="86"/>
      <c r="BD57" s="86"/>
      <c r="BE57" s="86"/>
      <c r="BF57" s="86"/>
      <c r="BG57" s="86"/>
      <c r="BH57" s="86"/>
      <c r="BI57" s="86"/>
      <c r="BJ57" s="202"/>
      <c r="BK57" s="202"/>
      <c r="BL57" s="202"/>
      <c r="BM57" s="86"/>
      <c r="BN57" s="86"/>
      <c r="BO57" s="86"/>
      <c r="BP57" s="86"/>
      <c r="BQ57" s="86"/>
      <c r="BR57" s="86"/>
      <c r="BS57" s="86"/>
      <c r="BT57" s="86"/>
      <c r="BU57" s="86"/>
      <c r="BV57" s="86"/>
      <c r="BW57" s="86"/>
      <c r="BX57" s="86"/>
      <c r="BY57" s="86"/>
      <c r="BZ57" s="86"/>
      <c r="CA57" s="86"/>
      <c r="CB57" s="86"/>
      <c r="CC57" s="86"/>
      <c r="CD57" s="86"/>
      <c r="CE57" s="86"/>
      <c r="CF57" s="86"/>
      <c r="CG57" s="86"/>
      <c r="CH57" s="86"/>
      <c r="CI57" s="86"/>
      <c r="CJ57" s="86"/>
      <c r="CK57" s="86"/>
      <c r="CL57" s="86"/>
      <c r="CM57" s="86"/>
      <c r="CN57" s="86"/>
      <c r="CO57" s="86"/>
    </row>
    <row r="58" spans="8:93" s="227" customFormat="1" x14ac:dyDescent="0.3">
      <c r="H58" s="237"/>
      <c r="J58" s="238"/>
      <c r="K58" s="199"/>
      <c r="L58" s="86"/>
      <c r="M58" s="86"/>
      <c r="N58" s="86"/>
      <c r="O58" s="202"/>
      <c r="P58" s="86"/>
      <c r="Q58" s="86"/>
      <c r="R58" s="86"/>
      <c r="S58" s="86"/>
      <c r="T58" s="86"/>
      <c r="U58" s="86"/>
      <c r="V58" s="86"/>
      <c r="W58" s="86"/>
      <c r="X58" s="86"/>
      <c r="Y58" s="86"/>
      <c r="Z58" s="86"/>
      <c r="AA58" s="86"/>
      <c r="AB58" s="86"/>
      <c r="AC58" s="86"/>
      <c r="AD58" s="86"/>
      <c r="AE58" s="86"/>
      <c r="AF58" s="86"/>
      <c r="AG58" s="86"/>
      <c r="AH58" s="86"/>
      <c r="AI58" s="86"/>
      <c r="AJ58" s="86"/>
      <c r="AK58" s="86"/>
      <c r="AL58" s="199"/>
      <c r="AM58" s="86"/>
      <c r="AN58" s="86"/>
      <c r="AO58" s="86"/>
      <c r="AP58" s="225"/>
      <c r="AQ58" s="86"/>
      <c r="AR58" s="86"/>
      <c r="AS58" s="239"/>
      <c r="AT58" s="86"/>
      <c r="AU58" s="86"/>
      <c r="AV58" s="202"/>
      <c r="AW58" s="86"/>
      <c r="AX58" s="86"/>
      <c r="AY58" s="86"/>
      <c r="AZ58" s="86"/>
      <c r="BA58" s="86"/>
      <c r="BB58" s="86"/>
      <c r="BC58" s="86"/>
      <c r="BD58" s="86"/>
      <c r="BE58" s="86"/>
      <c r="BF58" s="86"/>
      <c r="BG58" s="86"/>
      <c r="BH58" s="86"/>
      <c r="BI58" s="86"/>
      <c r="BJ58" s="202"/>
      <c r="BK58" s="202"/>
      <c r="BL58" s="202"/>
      <c r="BM58" s="86"/>
      <c r="BN58" s="86"/>
      <c r="BO58" s="86"/>
      <c r="BP58" s="86"/>
      <c r="BQ58" s="86"/>
      <c r="BR58" s="86"/>
      <c r="BS58" s="86"/>
      <c r="BT58" s="86"/>
      <c r="BU58" s="86"/>
      <c r="BV58" s="86"/>
      <c r="BW58" s="86"/>
      <c r="BX58" s="86"/>
      <c r="BY58" s="86"/>
      <c r="BZ58" s="86"/>
      <c r="CA58" s="86"/>
      <c r="CB58" s="86"/>
      <c r="CC58" s="86"/>
      <c r="CD58" s="86"/>
      <c r="CE58" s="86"/>
      <c r="CF58" s="86"/>
      <c r="CG58" s="86"/>
      <c r="CH58" s="86"/>
      <c r="CI58" s="86"/>
      <c r="CJ58" s="86"/>
      <c r="CK58" s="86"/>
      <c r="CL58" s="86"/>
      <c r="CM58" s="86"/>
      <c r="CN58" s="86"/>
      <c r="CO58" s="86"/>
    </row>
    <row r="59" spans="8:93" s="227" customFormat="1" x14ac:dyDescent="0.3">
      <c r="H59" s="237"/>
      <c r="J59" s="238"/>
      <c r="K59" s="199"/>
      <c r="L59" s="86"/>
      <c r="M59" s="86"/>
      <c r="N59" s="86"/>
      <c r="O59" s="202"/>
      <c r="P59" s="86"/>
      <c r="Q59" s="86"/>
      <c r="R59" s="86"/>
      <c r="S59" s="86"/>
      <c r="T59" s="86"/>
      <c r="U59" s="86"/>
      <c r="V59" s="86"/>
      <c r="W59" s="86"/>
      <c r="X59" s="86"/>
      <c r="Y59" s="86"/>
      <c r="Z59" s="86"/>
      <c r="AA59" s="86"/>
      <c r="AB59" s="86"/>
      <c r="AC59" s="86"/>
      <c r="AD59" s="86"/>
      <c r="AE59" s="86"/>
      <c r="AF59" s="86"/>
      <c r="AG59" s="86"/>
      <c r="AH59" s="86"/>
      <c r="AI59" s="86"/>
      <c r="AJ59" s="86"/>
      <c r="AK59" s="86"/>
      <c r="AL59" s="199"/>
      <c r="AM59" s="86"/>
      <c r="AN59" s="86"/>
      <c r="AO59" s="86"/>
      <c r="AP59" s="225"/>
      <c r="AQ59" s="86"/>
      <c r="AR59" s="86"/>
      <c r="AS59" s="239"/>
      <c r="AT59" s="86"/>
      <c r="AU59" s="86"/>
      <c r="AV59" s="202"/>
      <c r="AW59" s="86"/>
      <c r="AX59" s="86"/>
      <c r="AY59" s="86"/>
      <c r="AZ59" s="86"/>
      <c r="BA59" s="86"/>
      <c r="BB59" s="86"/>
      <c r="BC59" s="86"/>
      <c r="BD59" s="86"/>
      <c r="BE59" s="86"/>
      <c r="BF59" s="86"/>
      <c r="BG59" s="86"/>
      <c r="BH59" s="86"/>
      <c r="BI59" s="86"/>
      <c r="BJ59" s="202"/>
      <c r="BK59" s="202"/>
      <c r="BL59" s="202"/>
      <c r="BM59" s="86"/>
      <c r="BN59" s="86"/>
      <c r="BO59" s="86"/>
      <c r="BP59" s="86"/>
      <c r="BQ59" s="86"/>
      <c r="BR59" s="86"/>
      <c r="BS59" s="86"/>
      <c r="BT59" s="86"/>
      <c r="BU59" s="86"/>
      <c r="BV59" s="86"/>
      <c r="BW59" s="86"/>
      <c r="BX59" s="86"/>
      <c r="BY59" s="86"/>
      <c r="BZ59" s="86"/>
      <c r="CA59" s="86"/>
      <c r="CB59" s="86"/>
      <c r="CC59" s="86"/>
      <c r="CD59" s="86"/>
      <c r="CE59" s="86"/>
      <c r="CF59" s="86"/>
      <c r="CG59" s="86"/>
      <c r="CH59" s="86"/>
      <c r="CI59" s="86"/>
      <c r="CJ59" s="86"/>
      <c r="CK59" s="86"/>
      <c r="CL59" s="86"/>
      <c r="CM59" s="86"/>
      <c r="CN59" s="86"/>
      <c r="CO59" s="86"/>
    </row>
    <row r="60" spans="8:93" x14ac:dyDescent="0.3">
      <c r="AS60" s="107"/>
    </row>
    <row r="61" spans="8:93" x14ac:dyDescent="0.3">
      <c r="AS61" s="107"/>
    </row>
    <row r="62" spans="8:93" x14ac:dyDescent="0.3">
      <c r="AS62" s="107"/>
    </row>
    <row r="63" spans="8:93" x14ac:dyDescent="0.3">
      <c r="AS63" s="107"/>
    </row>
    <row r="64" spans="8:93" x14ac:dyDescent="0.3">
      <c r="AS64" s="107"/>
    </row>
    <row r="65" spans="45:45" x14ac:dyDescent="0.3">
      <c r="AS65" s="107"/>
    </row>
    <row r="66" spans="45:45" x14ac:dyDescent="0.3">
      <c r="AS66" s="107"/>
    </row>
  </sheetData>
  <pageMargins left="0.7" right="0.7" top="0.75" bottom="0.75" header="0.3" footer="0.3"/>
  <pageSetup orientation="portrait" verticalDpi="0" r:id="rId1"/>
  <headerFooter>
    <oddFooter>&amp;L&amp;F&amp;C&amp;A&amp;R&amp;D&amp;T</oddFoot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38B287-517B-46CE-A97E-CB497800BCE8}">
  <sheetPr>
    <tabColor theme="3" tint="0.39997558519241921"/>
  </sheetPr>
  <dimension ref="B2:DQ66"/>
  <sheetViews>
    <sheetView zoomScale="80" zoomScaleNormal="80" workbookViewId="0"/>
  </sheetViews>
  <sheetFormatPr defaultColWidth="14.33203125" defaultRowHeight="14.4" x14ac:dyDescent="0.3"/>
  <cols>
    <col min="1" max="1" width="4.33203125" style="75" customWidth="1"/>
    <col min="2" max="7" width="14.33203125" style="75"/>
    <col min="8" max="8" width="14.33203125" style="76"/>
    <col min="9" max="9" width="14.33203125" style="75"/>
    <col min="10" max="10" width="14.33203125" style="77"/>
    <col min="11" max="11" width="14.33203125" style="78"/>
    <col min="12" max="12" width="15.6640625" style="79" customWidth="1"/>
    <col min="13" max="14" width="14.33203125" style="79"/>
    <col min="15" max="15" width="14.33203125" style="80"/>
    <col min="16" max="37" width="14.33203125" style="79"/>
    <col min="38" max="38" width="15.109375" style="78" bestFit="1" customWidth="1"/>
    <col min="39" max="41" width="14.33203125" style="79"/>
    <col min="42" max="42" width="14.33203125" style="81"/>
    <col min="43" max="47" width="14.33203125" style="79"/>
    <col min="48" max="48" width="14.33203125" style="80"/>
    <col min="49" max="61" width="14.33203125" style="79"/>
    <col min="62" max="62" width="14.33203125" style="80"/>
    <col min="63" max="63" width="16.33203125" style="80" bestFit="1" customWidth="1"/>
    <col min="64" max="64" width="14.33203125" style="80"/>
    <col min="65" max="93" width="14.33203125" style="79"/>
    <col min="94" max="16384" width="14.33203125" style="75"/>
  </cols>
  <sheetData>
    <row r="2" spans="2:121" x14ac:dyDescent="0.3">
      <c r="AY2" s="82" t="s">
        <v>90</v>
      </c>
      <c r="AZ2" s="83"/>
      <c r="BA2" s="83"/>
      <c r="BB2" s="84"/>
      <c r="BE2" s="82" t="s">
        <v>91</v>
      </c>
      <c r="BF2" s="85"/>
      <c r="BG2" s="86"/>
      <c r="BJ2" s="82" t="s">
        <v>153</v>
      </c>
      <c r="BK2" s="85"/>
      <c r="BN2" s="82" t="s">
        <v>92</v>
      </c>
      <c r="BO2" s="83"/>
      <c r="BP2" s="83"/>
      <c r="BQ2" s="84"/>
      <c r="BS2" s="82" t="s">
        <v>93</v>
      </c>
      <c r="BT2" s="84"/>
    </row>
    <row r="3" spans="2:121" s="87" customFormat="1" ht="28.8" x14ac:dyDescent="0.3">
      <c r="F3" s="88" t="s">
        <v>94</v>
      </c>
      <c r="H3" s="89"/>
      <c r="I3" s="90" t="s">
        <v>739</v>
      </c>
      <c r="J3" s="90" t="s">
        <v>95</v>
      </c>
      <c r="K3" s="90" t="s">
        <v>213</v>
      </c>
      <c r="L3" s="90" t="s">
        <v>214</v>
      </c>
      <c r="M3" s="91"/>
      <c r="N3" s="91"/>
      <c r="O3" s="92"/>
      <c r="P3" s="90" t="s">
        <v>736</v>
      </c>
      <c r="Q3" s="91"/>
      <c r="R3" s="91"/>
      <c r="S3" s="91"/>
      <c r="T3" s="91"/>
      <c r="U3" s="91"/>
      <c r="V3" s="91"/>
      <c r="W3" s="91"/>
      <c r="X3" s="91"/>
      <c r="Y3" s="91"/>
      <c r="Z3" s="91"/>
      <c r="AA3" s="91"/>
      <c r="AB3" s="93"/>
      <c r="AC3" s="93"/>
      <c r="AD3" s="93"/>
      <c r="AE3" s="93"/>
      <c r="AF3" s="93"/>
      <c r="AG3" s="90" t="s">
        <v>737</v>
      </c>
      <c r="AH3" s="90" t="s">
        <v>750</v>
      </c>
      <c r="AI3" s="90" t="s">
        <v>96</v>
      </c>
      <c r="AJ3" s="93"/>
      <c r="AK3" s="94"/>
      <c r="AL3" s="95"/>
      <c r="AM3" s="94"/>
      <c r="AN3" s="94"/>
      <c r="AO3" s="96"/>
      <c r="AP3" s="90" t="s">
        <v>97</v>
      </c>
      <c r="AQ3" s="96"/>
      <c r="AR3" s="91"/>
      <c r="AS3" s="91"/>
      <c r="AT3" s="91"/>
      <c r="AU3" s="91"/>
      <c r="AV3" s="92"/>
      <c r="AW3" s="91"/>
      <c r="AX3" s="91"/>
      <c r="AY3" s="97" t="s">
        <v>38</v>
      </c>
      <c r="AZ3" s="97" t="s">
        <v>222</v>
      </c>
      <c r="BA3" s="97" t="s">
        <v>98</v>
      </c>
      <c r="BB3" s="97" t="s">
        <v>223</v>
      </c>
      <c r="BD3" s="91"/>
      <c r="BE3" s="98" t="s">
        <v>38</v>
      </c>
      <c r="BF3" s="98" t="s">
        <v>222</v>
      </c>
      <c r="BG3" s="91"/>
      <c r="BH3" s="79"/>
      <c r="BI3" s="79"/>
      <c r="BJ3" s="97" t="s">
        <v>151</v>
      </c>
      <c r="BK3" s="97" t="s">
        <v>152</v>
      </c>
      <c r="BN3" s="97" t="s">
        <v>98</v>
      </c>
      <c r="BO3" s="97" t="s">
        <v>99</v>
      </c>
      <c r="BP3" s="97" t="s">
        <v>38</v>
      </c>
      <c r="BQ3" s="97" t="s">
        <v>222</v>
      </c>
      <c r="BR3" s="91"/>
      <c r="BS3" s="97" t="s">
        <v>38</v>
      </c>
      <c r="BT3" s="97" t="s">
        <v>222</v>
      </c>
      <c r="BU3" s="97" t="s">
        <v>100</v>
      </c>
      <c r="BV3" s="88" t="s">
        <v>101</v>
      </c>
      <c r="BW3" s="91"/>
      <c r="BX3" s="91"/>
      <c r="BY3" s="91"/>
      <c r="BZ3" s="91"/>
      <c r="CA3" s="91"/>
      <c r="CB3" s="91"/>
      <c r="CC3" s="91"/>
      <c r="CD3" s="91"/>
      <c r="CE3" s="91"/>
      <c r="CF3" s="91"/>
      <c r="CG3" s="91"/>
      <c r="CH3" s="91"/>
      <c r="CI3" s="91"/>
      <c r="CJ3" s="91"/>
      <c r="CK3" s="91"/>
      <c r="CL3" s="91"/>
      <c r="CM3" s="91"/>
      <c r="CN3" s="91"/>
      <c r="CO3" s="91"/>
    </row>
    <row r="4" spans="2:121" x14ac:dyDescent="0.3">
      <c r="F4" s="99">
        <f t="array" ref="F4">MAX(($F$12:$F$44&gt;0)*($B$12:$B$44))</f>
        <v>25</v>
      </c>
      <c r="I4" s="101">
        <f>AVERAGEIF(I12:I44,"&gt;0")</f>
        <v>1539544.1860465123</v>
      </c>
      <c r="J4" s="100">
        <f>AVERAGEIF(J12:J44,"&gt;0")</f>
        <v>1.0000000000000004E-2</v>
      </c>
      <c r="K4" s="101">
        <f>AVERAGEIF(K12:K44,"&gt;0")</f>
        <v>1.5311743276376213</v>
      </c>
      <c r="L4" s="101" t="e">
        <f>AVERAGEIF(L12:L44,"&gt;0")</f>
        <v>#DIV/0!</v>
      </c>
      <c r="P4" s="101">
        <f>AVERAGEIF(P12:P44,"&gt;0")</f>
        <v>2356697.6290475349</v>
      </c>
      <c r="AG4" s="101">
        <f>AVERAGEIF(AG12:AG44,"&gt;0")</f>
        <v>2150154.6762393736</v>
      </c>
      <c r="AH4" s="101">
        <f>AVERAGEIF(AH12:AH44,"&gt;0")</f>
        <v>206542.95280816182</v>
      </c>
      <c r="AI4" s="100">
        <f>AVERAGEIF(AI12:AI44,"&gt;0")</f>
        <v>8.7866050556394695E-2</v>
      </c>
      <c r="AP4" s="100">
        <f>AVERAGEIF(AP12:AP44,"&gt;0")</f>
        <v>4.7361600203157155E-2</v>
      </c>
      <c r="AY4" s="103">
        <f>IRR(BF11:BF44)</f>
        <v>0.31407571872835827</v>
      </c>
      <c r="AZ4" s="104">
        <f>NPV(AY4,BF11:BF44)</f>
        <v>3.2231475875959073E-9</v>
      </c>
      <c r="BA4" s="103">
        <f>XIRR(BG11:BG44,E11:E44,1)</f>
        <v>0.3138725534081459</v>
      </c>
      <c r="BB4" s="101">
        <f>XNPV(BA4,BG11:BG44,E11:E44)</f>
        <v>8.5167520964830601E-3</v>
      </c>
      <c r="BE4" s="103">
        <f>IRR(BE11:BE44)</f>
        <v>0.37493970746249983</v>
      </c>
      <c r="BF4" s="105">
        <f>NPV(BE4,BE11:BE44)</f>
        <v>-1.1415692592010405E-10</v>
      </c>
      <c r="BJ4" s="106">
        <f>AVERAGEIF(BM12:BM44,"&gt;0")</f>
        <v>1.6840332098499347</v>
      </c>
      <c r="BK4" s="106">
        <f t="array" ref="BK4">MIN(IF(BM12:BM44&lt;&gt;0,BM12:BM44))</f>
        <v>1.582628967922292</v>
      </c>
      <c r="BN4" s="103">
        <f>XIRR(BP11:BP44,D11:D44,1)</f>
        <v>0.4539555087685585</v>
      </c>
      <c r="BO4" s="106">
        <f>XNPV(BN4,BP11:BP44,D11:D44)</f>
        <v>6.0586474605983653E-4</v>
      </c>
      <c r="BP4" s="103">
        <f>IFERROR(IRR(BP11:BP44),"NEG IRR")</f>
        <v>0.45416044001521527</v>
      </c>
      <c r="BQ4" s="105">
        <f>NPV(BP4,BP11:BP44)</f>
        <v>-7.5160677327651009E-11</v>
      </c>
      <c r="BS4" s="103">
        <f>IRR(BO11:BO44)</f>
        <v>0.63283576171907963</v>
      </c>
      <c r="BT4" s="105">
        <f>NPV(BS4,BO11:BO44)</f>
        <v>6.3403877988081047E-10</v>
      </c>
      <c r="BU4" s="105">
        <f>MATCH(1,$BU$12:$BU$44,0)</f>
        <v>3</v>
      </c>
      <c r="BV4" s="99">
        <f t="array" ref="BV4">MAX(($BV$12:$BV$44&gt;0)*($B$12:$B$44))</f>
        <v>25</v>
      </c>
    </row>
    <row r="5" spans="2:121" x14ac:dyDescent="0.3">
      <c r="H5" s="108"/>
      <c r="I5" s="102"/>
    </row>
    <row r="6" spans="2:121" x14ac:dyDescent="0.3">
      <c r="G6" s="109"/>
      <c r="H6" s="109"/>
      <c r="I6" s="109"/>
      <c r="K6" s="110"/>
      <c r="O6" s="112"/>
      <c r="P6" s="111"/>
      <c r="AS6" s="113"/>
      <c r="AV6" s="114"/>
    </row>
    <row r="7" spans="2:121" x14ac:dyDescent="0.3">
      <c r="G7" s="450" t="s">
        <v>102</v>
      </c>
      <c r="H7" s="451"/>
      <c r="I7" s="452"/>
      <c r="J7" s="453"/>
      <c r="K7" s="460" t="s">
        <v>103</v>
      </c>
      <c r="L7" s="461"/>
      <c r="M7" s="462"/>
      <c r="N7" s="463"/>
      <c r="O7" s="116"/>
      <c r="P7" s="116"/>
      <c r="Q7" s="117" t="s">
        <v>104</v>
      </c>
      <c r="R7" s="115"/>
      <c r="S7" s="115"/>
      <c r="T7" s="115"/>
      <c r="U7" s="115"/>
      <c r="V7" s="115"/>
      <c r="W7" s="115"/>
      <c r="X7" s="115"/>
      <c r="Y7" s="115"/>
      <c r="Z7" s="115"/>
      <c r="AA7" s="115"/>
      <c r="AB7" s="115"/>
      <c r="AC7" s="115"/>
      <c r="AD7" s="115"/>
      <c r="AE7" s="115"/>
      <c r="AF7" s="115"/>
      <c r="AG7" s="118"/>
      <c r="AH7" s="117" t="s">
        <v>105</v>
      </c>
      <c r="AI7" s="118"/>
      <c r="AJ7" s="105" t="s">
        <v>106</v>
      </c>
      <c r="AK7" s="105" t="s">
        <v>107</v>
      </c>
      <c r="AL7" s="119" t="s">
        <v>108</v>
      </c>
      <c r="AM7" s="105" t="s">
        <v>109</v>
      </c>
      <c r="AN7" s="120" t="s">
        <v>110</v>
      </c>
      <c r="AO7" s="121" t="s">
        <v>111</v>
      </c>
      <c r="AP7" s="123"/>
      <c r="AS7" s="425" t="s">
        <v>112</v>
      </c>
      <c r="AT7" s="426"/>
      <c r="AU7" s="427"/>
      <c r="AV7" s="430" t="s">
        <v>13</v>
      </c>
      <c r="AW7" s="431"/>
      <c r="AX7" s="432"/>
      <c r="AY7" s="124" t="s">
        <v>113</v>
      </c>
      <c r="AZ7" s="83"/>
      <c r="BA7" s="83"/>
      <c r="BB7" s="83"/>
      <c r="BC7" s="125" t="s">
        <v>114</v>
      </c>
      <c r="BD7" s="127" t="s">
        <v>110</v>
      </c>
      <c r="BE7" s="128" t="s">
        <v>115</v>
      </c>
      <c r="BF7" s="126"/>
      <c r="BG7" s="105" t="s">
        <v>116</v>
      </c>
      <c r="BH7" s="129" t="s">
        <v>117</v>
      </c>
      <c r="BI7" s="130"/>
      <c r="BJ7" s="131"/>
      <c r="BK7" s="131"/>
      <c r="BL7" s="131"/>
      <c r="BM7" s="132"/>
      <c r="BN7" s="133" t="s">
        <v>118</v>
      </c>
      <c r="BO7" s="133"/>
      <c r="BP7" s="134"/>
      <c r="BQ7" s="126"/>
      <c r="BR7" s="126"/>
      <c r="BS7" s="126"/>
      <c r="BT7" s="126"/>
      <c r="BU7" s="126"/>
      <c r="BV7" s="127"/>
      <c r="CI7" s="135"/>
      <c r="CS7" s="136"/>
      <c r="DD7" s="136"/>
      <c r="DJ7" s="136"/>
      <c r="DQ7" s="136"/>
    </row>
    <row r="8" spans="2:121" s="163" customFormat="1" ht="57.6" x14ac:dyDescent="0.3">
      <c r="B8" s="34" t="s">
        <v>51</v>
      </c>
      <c r="C8" s="137" t="s">
        <v>52</v>
      </c>
      <c r="D8" s="36" t="s">
        <v>56</v>
      </c>
      <c r="E8" s="138" t="s">
        <v>57</v>
      </c>
      <c r="F8" s="449" t="s">
        <v>119</v>
      </c>
      <c r="G8" s="142" t="s">
        <v>698</v>
      </c>
      <c r="H8" s="140" t="s">
        <v>208</v>
      </c>
      <c r="I8" s="141" t="s">
        <v>699</v>
      </c>
      <c r="J8" s="459" t="s">
        <v>212</v>
      </c>
      <c r="K8" s="464" t="s">
        <v>690</v>
      </c>
      <c r="L8" s="141" t="s">
        <v>691</v>
      </c>
      <c r="M8" s="141" t="s">
        <v>210</v>
      </c>
      <c r="N8" s="144" t="s">
        <v>211</v>
      </c>
      <c r="O8" s="143" t="s">
        <v>120</v>
      </c>
      <c r="P8" s="147" t="s">
        <v>121</v>
      </c>
      <c r="Q8" s="141" t="str">
        <f>Rice_Inputs!L7</f>
        <v>Cost of Fresh Rice (incl. Transport)</v>
      </c>
      <c r="R8" s="141" t="str">
        <f>Rice_Inputs!L8</f>
        <v>Electricity Costs</v>
      </c>
      <c r="S8" s="141" t="str">
        <f>Rice_Inputs!L9</f>
        <v>Equipment O&amp;M</v>
      </c>
      <c r="T8" s="141" t="str">
        <f>Rice_Inputs!L10</f>
        <v>Labor (Non-payroll)</v>
      </c>
      <c r="U8" s="141" t="str">
        <f>Rice_Inputs!L11</f>
        <v>Payroll</v>
      </c>
      <c r="V8" s="141" t="str">
        <f>Rice_Inputs!L12</f>
        <v>Insurances</v>
      </c>
      <c r="W8" s="141" t="str">
        <f>Rice_Inputs!L13</f>
        <v>Equipment Leases</v>
      </c>
      <c r="X8" s="141" t="str">
        <f>Rice_Inputs!L14</f>
        <v>Office and Admin Expenses</v>
      </c>
      <c r="Y8" s="141" t="str">
        <f>Rice_Inputs!L15</f>
        <v xml:space="preserve">Distribution/Marketing Expenses </v>
      </c>
      <c r="Z8" s="145" t="str">
        <f>Rice_Inputs!L16</f>
        <v>Utilities, Property Tax</v>
      </c>
      <c r="AA8" s="145" t="str">
        <f>Rice_Inputs!L17</f>
        <v>Packaging</v>
      </c>
      <c r="AB8" s="141" t="str">
        <f>Rice_Inputs!L18</f>
        <v>Other 1</v>
      </c>
      <c r="AC8" s="141" t="str">
        <f>Rice_Inputs!L19</f>
        <v>Other 2</v>
      </c>
      <c r="AD8" s="141" t="str">
        <f>Rice_Inputs!L20</f>
        <v>Other 3</v>
      </c>
      <c r="AE8" s="141" t="str">
        <f>Rice_Inputs!L21</f>
        <v>Other 4</v>
      </c>
      <c r="AF8" s="141" t="str">
        <f>Rice_Inputs!L22</f>
        <v>Other 5</v>
      </c>
      <c r="AG8" s="142" t="s">
        <v>122</v>
      </c>
      <c r="AH8" s="142" t="s">
        <v>105</v>
      </c>
      <c r="AI8" s="144" t="s">
        <v>123</v>
      </c>
      <c r="AJ8" s="139" t="s">
        <v>124</v>
      </c>
      <c r="AK8" s="139" t="s">
        <v>107</v>
      </c>
      <c r="AL8" s="146" t="s">
        <v>125</v>
      </c>
      <c r="AM8" s="147" t="s">
        <v>126</v>
      </c>
      <c r="AN8" s="147" t="s">
        <v>110</v>
      </c>
      <c r="AO8" s="148" t="s">
        <v>111</v>
      </c>
      <c r="AP8" s="149" t="s">
        <v>127</v>
      </c>
      <c r="AQ8" s="150"/>
      <c r="AR8" s="150"/>
      <c r="AS8" s="428" t="s">
        <v>128</v>
      </c>
      <c r="AT8" s="429" t="s">
        <v>129</v>
      </c>
      <c r="AU8" s="156" t="s">
        <v>130</v>
      </c>
      <c r="AV8" s="433" t="s">
        <v>215</v>
      </c>
      <c r="AW8" s="429" t="s">
        <v>131</v>
      </c>
      <c r="AX8" s="156" t="s">
        <v>132</v>
      </c>
      <c r="AY8" s="152" t="s">
        <v>133</v>
      </c>
      <c r="AZ8" s="152" t="s">
        <v>134</v>
      </c>
      <c r="BA8" s="152" t="s">
        <v>131</v>
      </c>
      <c r="BB8" s="151" t="s">
        <v>135</v>
      </c>
      <c r="BC8" s="153" t="s">
        <v>136</v>
      </c>
      <c r="BD8" s="155" t="s">
        <v>137</v>
      </c>
      <c r="BE8" s="156" t="s">
        <v>138</v>
      </c>
      <c r="BF8" s="154" t="s">
        <v>139</v>
      </c>
      <c r="BG8" s="42" t="s">
        <v>116</v>
      </c>
      <c r="BH8" s="157" t="s">
        <v>140</v>
      </c>
      <c r="BI8" s="158" t="s">
        <v>141</v>
      </c>
      <c r="BJ8" s="159" t="s">
        <v>142</v>
      </c>
      <c r="BK8" s="159" t="s">
        <v>63</v>
      </c>
      <c r="BL8" s="159" t="s">
        <v>131</v>
      </c>
      <c r="BM8" s="160" t="s">
        <v>143</v>
      </c>
      <c r="BN8" s="152" t="s">
        <v>144</v>
      </c>
      <c r="BO8" s="152" t="s">
        <v>145</v>
      </c>
      <c r="BP8" s="41" t="s">
        <v>146</v>
      </c>
      <c r="BQ8" s="161" t="s">
        <v>147</v>
      </c>
      <c r="BR8" s="161" t="s">
        <v>64</v>
      </c>
      <c r="BS8" s="161" t="s">
        <v>65</v>
      </c>
      <c r="BT8" s="161" t="s">
        <v>148</v>
      </c>
      <c r="BU8" s="161" t="s">
        <v>100</v>
      </c>
      <c r="BV8" s="144" t="s">
        <v>149</v>
      </c>
      <c r="BW8" s="162"/>
      <c r="BX8" s="162"/>
      <c r="BY8" s="162"/>
      <c r="BZ8" s="162"/>
      <c r="CA8" s="162"/>
      <c r="CB8" s="162"/>
      <c r="CC8" s="162"/>
      <c r="CD8" s="162"/>
      <c r="CE8" s="162"/>
      <c r="CF8" s="162"/>
      <c r="CG8" s="162"/>
      <c r="CH8" s="162"/>
      <c r="CI8" s="102"/>
      <c r="CJ8" s="162"/>
      <c r="CK8" s="162"/>
      <c r="CL8" s="162"/>
      <c r="CM8" s="162"/>
      <c r="CN8" s="162"/>
      <c r="CO8" s="162"/>
      <c r="CS8" s="164"/>
      <c r="DD8" s="75"/>
      <c r="DJ8" s="75"/>
      <c r="DQ8" s="75"/>
    </row>
    <row r="9" spans="2:121" s="163" customFormat="1" x14ac:dyDescent="0.3">
      <c r="B9" s="165"/>
      <c r="C9" s="166"/>
      <c r="D9" s="167"/>
      <c r="E9" s="170"/>
      <c r="F9" s="171"/>
      <c r="G9" s="172">
        <f>SUM(G12:G44)</f>
        <v>38720930.232558139</v>
      </c>
      <c r="H9" s="173"/>
      <c r="I9" s="172">
        <f>SUM(I12:I44)</f>
        <v>38488604.651162811</v>
      </c>
      <c r="J9" s="191"/>
      <c r="K9" s="174"/>
      <c r="L9" s="102"/>
      <c r="M9" s="102">
        <f t="shared" ref="M9:AH9" si="0">SUM(M12:M44)</f>
        <v>58917440.726188377</v>
      </c>
      <c r="N9" s="175">
        <f t="shared" si="0"/>
        <v>0</v>
      </c>
      <c r="O9" s="177">
        <f t="shared" si="0"/>
        <v>0</v>
      </c>
      <c r="P9" s="178">
        <f t="shared" si="0"/>
        <v>58917440.726188377</v>
      </c>
      <c r="Q9" s="102">
        <f t="shared" si="0"/>
        <v>48231991.320585087</v>
      </c>
      <c r="R9" s="102">
        <f t="shared" si="0"/>
        <v>1585316.6518628877</v>
      </c>
      <c r="S9" s="102">
        <f t="shared" si="0"/>
        <v>1493527.6549357595</v>
      </c>
      <c r="T9" s="102">
        <f t="shared" si="0"/>
        <v>706943.18707028963</v>
      </c>
      <c r="U9" s="102">
        <f t="shared" si="0"/>
        <v>520752.38882955507</v>
      </c>
      <c r="V9" s="102">
        <f t="shared" si="0"/>
        <v>2605.3915072127552</v>
      </c>
      <c r="W9" s="102">
        <f t="shared" si="0"/>
        <v>0</v>
      </c>
      <c r="X9" s="102">
        <f t="shared" si="0"/>
        <v>296442.47157170222</v>
      </c>
      <c r="Y9" s="102">
        <f t="shared" si="0"/>
        <v>296442.47157170222</v>
      </c>
      <c r="Z9" s="102">
        <f t="shared" si="0"/>
        <v>182404.18506996005</v>
      </c>
      <c r="AA9" s="102">
        <f t="shared" si="0"/>
        <v>437441.18298018043</v>
      </c>
      <c r="AB9" s="102">
        <f t="shared" si="0"/>
        <v>0</v>
      </c>
      <c r="AC9" s="102">
        <f t="shared" si="0"/>
        <v>0</v>
      </c>
      <c r="AD9" s="102">
        <f t="shared" si="0"/>
        <v>0</v>
      </c>
      <c r="AE9" s="102"/>
      <c r="AF9" s="102"/>
      <c r="AG9" s="178">
        <f t="shared" si="0"/>
        <v>53753866.905984342</v>
      </c>
      <c r="AH9" s="176">
        <f t="shared" si="0"/>
        <v>5163573.8202040456</v>
      </c>
      <c r="AI9" s="175"/>
      <c r="AJ9" s="178">
        <f t="shared" ref="AJ9:AO9" si="1">SUM(AJ12:AJ44)</f>
        <v>528809.65375209204</v>
      </c>
      <c r="AK9" s="178">
        <f t="shared" si="1"/>
        <v>4634764.1664519534</v>
      </c>
      <c r="AL9" s="178">
        <f t="shared" si="1"/>
        <v>606927.84906337759</v>
      </c>
      <c r="AM9" s="178">
        <f t="shared" si="1"/>
        <v>4027836.3173885765</v>
      </c>
      <c r="AN9" s="178">
        <f t="shared" si="1"/>
        <v>1208350.8952165726</v>
      </c>
      <c r="AO9" s="176">
        <f t="shared" si="1"/>
        <v>2819485.4221720025</v>
      </c>
      <c r="AP9" s="179"/>
      <c r="AQ9" s="162"/>
      <c r="AR9" s="162"/>
      <c r="AS9" s="180">
        <f>SUM(AS12:AS44)</f>
        <v>58917440.726188377</v>
      </c>
      <c r="AT9" s="181">
        <f>SUM(AT12:AT44)</f>
        <v>53753866.905984342</v>
      </c>
      <c r="AU9" s="183">
        <f>SUM(AU12:AU44)</f>
        <v>5163573.8202040456</v>
      </c>
      <c r="AV9" s="180">
        <f t="shared" ref="AV9:BA9" si="2">SUM(AV10:AV44)</f>
        <v>528809.65375209216</v>
      </c>
      <c r="AW9" s="181">
        <f t="shared" si="2"/>
        <v>528809.65375209216</v>
      </c>
      <c r="AX9" s="183">
        <f t="shared" si="2"/>
        <v>4634764.1664519515</v>
      </c>
      <c r="AY9" s="102">
        <f t="shared" si="2"/>
        <v>158642.89612562765</v>
      </c>
      <c r="AZ9" s="102">
        <f t="shared" si="2"/>
        <v>370166.75762646447</v>
      </c>
      <c r="BA9" s="102">
        <f t="shared" si="2"/>
        <v>528809.65375209216</v>
      </c>
      <c r="BB9" s="176">
        <f t="shared" ref="BB9:BL9" si="3">SUM(BB12:BB44)</f>
        <v>5163573.8202040456</v>
      </c>
      <c r="BC9" s="180">
        <f>SUM(BC10:BC44)</f>
        <v>0</v>
      </c>
      <c r="BD9" s="182">
        <f>SUM(BD10:BD44)</f>
        <v>1208350.8952165726</v>
      </c>
      <c r="BE9" s="183">
        <f>SUM(BE12:BE44)</f>
        <v>5163573.8202040456</v>
      </c>
      <c r="BF9" s="183">
        <f>SUM(BF12:BF44)</f>
        <v>3955222.9249874721</v>
      </c>
      <c r="BG9" s="182">
        <f>SUM(BG12:BG44)</f>
        <v>3955222.9249874721</v>
      </c>
      <c r="BH9" s="180">
        <f t="shared" si="3"/>
        <v>2628531.178273615</v>
      </c>
      <c r="BI9" s="181">
        <f t="shared" si="3"/>
        <v>2258364.4206471499</v>
      </c>
      <c r="BJ9" s="181">
        <f t="shared" si="3"/>
        <v>606927.84906337759</v>
      </c>
      <c r="BK9" s="181">
        <f t="shared" si="3"/>
        <v>370166.75762646436</v>
      </c>
      <c r="BL9" s="181">
        <f t="shared" si="3"/>
        <v>977094.60668984207</v>
      </c>
      <c r="BM9" s="182"/>
      <c r="BN9" s="180">
        <f t="shared" ref="BN9:BS9" si="4">SUM(BN10:BN44)</f>
        <v>2978128.3182976297</v>
      </c>
      <c r="BO9" s="181">
        <f t="shared" si="4"/>
        <v>4027836.3173885746</v>
      </c>
      <c r="BP9" s="181">
        <f t="shared" si="4"/>
        <v>2819485.4221720025</v>
      </c>
      <c r="BQ9" s="181">
        <f t="shared" si="4"/>
        <v>0</v>
      </c>
      <c r="BR9" s="181">
        <f t="shared" si="4"/>
        <v>0</v>
      </c>
      <c r="BS9" s="181">
        <f t="shared" si="4"/>
        <v>0</v>
      </c>
      <c r="BT9" s="181"/>
      <c r="BU9" s="181"/>
      <c r="BV9" s="182">
        <f>SUM(BV11:BV44)</f>
        <v>-1.2732392917769175E-10</v>
      </c>
      <c r="BW9" s="162"/>
      <c r="BX9" s="162"/>
      <c r="BY9" s="162"/>
      <c r="BZ9" s="162"/>
      <c r="CA9" s="162"/>
      <c r="CB9" s="162"/>
      <c r="CC9" s="162"/>
      <c r="CD9" s="162"/>
      <c r="CE9" s="162"/>
      <c r="CF9" s="162"/>
      <c r="CG9" s="162"/>
      <c r="CH9" s="162"/>
      <c r="CI9" s="102"/>
      <c r="CJ9" s="162"/>
      <c r="CK9" s="162"/>
      <c r="CL9" s="162"/>
      <c r="CM9" s="162"/>
      <c r="CN9" s="162"/>
      <c r="CO9" s="162"/>
      <c r="CS9" s="164"/>
      <c r="DD9" s="75"/>
      <c r="DJ9" s="75"/>
      <c r="DQ9" s="75"/>
    </row>
    <row r="10" spans="2:121" s="163" customFormat="1" x14ac:dyDescent="0.3">
      <c r="B10" s="186"/>
      <c r="C10" s="187"/>
      <c r="D10" s="186"/>
      <c r="E10" s="169"/>
      <c r="F10" s="190"/>
      <c r="J10" s="191"/>
      <c r="K10" s="174"/>
      <c r="L10" s="102"/>
      <c r="M10" s="193"/>
      <c r="N10" s="194"/>
      <c r="O10" s="194"/>
      <c r="P10" s="195"/>
      <c r="Q10" s="162"/>
      <c r="R10" s="162"/>
      <c r="S10" s="162"/>
      <c r="T10" s="162"/>
      <c r="U10" s="162"/>
      <c r="V10" s="162"/>
      <c r="W10" s="162"/>
      <c r="X10" s="162"/>
      <c r="Y10" s="162"/>
      <c r="Z10" s="162"/>
      <c r="AA10" s="162"/>
      <c r="AB10" s="162"/>
      <c r="AC10" s="162"/>
      <c r="AD10" s="162"/>
      <c r="AE10" s="162"/>
      <c r="AF10" s="162"/>
      <c r="AG10" s="195"/>
      <c r="AH10" s="192"/>
      <c r="AI10" s="194"/>
      <c r="AJ10" s="195"/>
      <c r="AK10" s="195"/>
      <c r="AL10" s="195"/>
      <c r="AM10" s="195"/>
      <c r="AN10" s="195"/>
      <c r="AO10" s="192"/>
      <c r="AP10" s="179"/>
      <c r="AQ10" s="162"/>
      <c r="AR10" s="162"/>
      <c r="AS10" s="196"/>
      <c r="AT10" s="86"/>
      <c r="AU10" s="197"/>
      <c r="AV10" s="196"/>
      <c r="AW10" s="198"/>
      <c r="AX10" s="197"/>
      <c r="AY10" s="162"/>
      <c r="AZ10" s="162"/>
      <c r="BA10" s="79"/>
      <c r="BB10" s="196"/>
      <c r="BC10" s="196"/>
      <c r="BD10" s="200"/>
      <c r="BE10" s="197"/>
      <c r="BF10" s="200"/>
      <c r="BG10" s="200"/>
      <c r="BH10" s="196"/>
      <c r="BI10" s="86"/>
      <c r="BJ10" s="201"/>
      <c r="BK10" s="201"/>
      <c r="BL10" s="202"/>
      <c r="BM10" s="203"/>
      <c r="BN10" s="196"/>
      <c r="BO10" s="86"/>
      <c r="BP10" s="193"/>
      <c r="BQ10" s="86"/>
      <c r="BR10" s="86"/>
      <c r="BS10" s="86"/>
      <c r="BT10" s="86"/>
      <c r="BU10" s="86"/>
      <c r="BV10" s="175"/>
      <c r="BW10" s="162"/>
      <c r="BX10" s="162"/>
      <c r="BY10" s="162"/>
      <c r="BZ10" s="162"/>
      <c r="CA10" s="162"/>
      <c r="CB10" s="162"/>
      <c r="CC10" s="162"/>
      <c r="CD10" s="162"/>
      <c r="CE10" s="162"/>
      <c r="CF10" s="162"/>
      <c r="CG10" s="162"/>
      <c r="CH10" s="162"/>
      <c r="CI10" s="102"/>
      <c r="CJ10" s="162"/>
      <c r="CK10" s="162"/>
      <c r="CL10" s="162"/>
      <c r="CM10" s="162"/>
      <c r="CN10" s="162"/>
      <c r="CO10" s="162"/>
      <c r="CS10" s="164"/>
      <c r="DD10" s="75"/>
      <c r="DJ10" s="75"/>
      <c r="DQ10" s="75"/>
    </row>
    <row r="11" spans="2:121" s="163" customFormat="1" x14ac:dyDescent="0.3">
      <c r="B11" s="73">
        <v>0</v>
      </c>
      <c r="C11" s="74">
        <f>YEAR(D11)</f>
        <v>2021</v>
      </c>
      <c r="D11" s="205">
        <f>Fish_Inputs!G6</f>
        <v>44197</v>
      </c>
      <c r="E11" s="206">
        <f>EDATE(D11,12)-1</f>
        <v>44561</v>
      </c>
      <c r="F11" s="443">
        <v>0</v>
      </c>
      <c r="G11" s="172"/>
      <c r="H11" s="173"/>
      <c r="I11" s="102"/>
      <c r="J11" s="191"/>
      <c r="K11" s="174"/>
      <c r="L11" s="102"/>
      <c r="M11" s="102"/>
      <c r="N11" s="175"/>
      <c r="O11" s="207"/>
      <c r="P11" s="454"/>
      <c r="Q11" s="102"/>
      <c r="R11" s="102"/>
      <c r="S11" s="102"/>
      <c r="T11" s="102"/>
      <c r="U11" s="102"/>
      <c r="V11" s="102"/>
      <c r="W11" s="102"/>
      <c r="X11" s="102"/>
      <c r="Y11" s="102"/>
      <c r="Z11" s="193"/>
      <c r="AA11" s="193"/>
      <c r="AB11" s="102"/>
      <c r="AC11" s="102"/>
      <c r="AD11" s="102"/>
      <c r="AE11" s="102"/>
      <c r="AF11" s="102"/>
      <c r="AG11" s="340"/>
      <c r="AH11" s="176"/>
      <c r="AI11" s="175"/>
      <c r="AJ11" s="190"/>
      <c r="AK11" s="190"/>
      <c r="AL11" s="208"/>
      <c r="AM11" s="178"/>
      <c r="AN11" s="178"/>
      <c r="AO11" s="209"/>
      <c r="AP11" s="179"/>
      <c r="AQ11" s="162"/>
      <c r="AR11" s="162"/>
      <c r="AS11" s="196"/>
      <c r="AT11" s="86"/>
      <c r="AU11" s="197"/>
      <c r="AV11" s="680">
        <f>IF(B11=0,Rice_Inputs!$C$29,0)</f>
        <v>528809.65375209216</v>
      </c>
      <c r="AW11" s="198">
        <f t="shared" ref="AW11:AW44" si="5">SUM(AV11:AV11)</f>
        <v>528809.65375209216</v>
      </c>
      <c r="AX11" s="197">
        <f t="shared" ref="AX11:AX44" si="6">AU11-AW11</f>
        <v>-528809.65375209216</v>
      </c>
      <c r="AY11" s="681">
        <f>IF(B11=0,Rice_Inputs!$G$15+Rice_Inputs!$G$16,0)</f>
        <v>158642.89612562765</v>
      </c>
      <c r="AZ11" s="681">
        <f>IF(B11=0,Rice_Inputs!$G$14,0)</f>
        <v>370166.75762646447</v>
      </c>
      <c r="BA11" s="79">
        <f t="shared" ref="BA11:BA12" si="7">SUM(AY11:AZ11)</f>
        <v>528809.65375209216</v>
      </c>
      <c r="BB11" s="196">
        <f t="shared" ref="BB11:BB12" si="8">AX11+BA11</f>
        <v>0</v>
      </c>
      <c r="BC11" s="682">
        <f>Rice_Inputs!$G$20*AVERAGE(BR11,BS11)</f>
        <v>0</v>
      </c>
      <c r="BD11" s="231">
        <f t="shared" ref="BD11:BD44" si="9">AN11</f>
        <v>0</v>
      </c>
      <c r="BE11" s="210">
        <f>AX11</f>
        <v>-528809.65375209216</v>
      </c>
      <c r="BF11" s="211">
        <f>AX11</f>
        <v>-528809.65375209216</v>
      </c>
      <c r="BG11" s="211">
        <f>AX11</f>
        <v>-528809.65375209216</v>
      </c>
      <c r="BH11" s="212"/>
      <c r="BI11" s="290">
        <f>Rice_Inputs!G14</f>
        <v>370166.75762646447</v>
      </c>
      <c r="BJ11" s="201"/>
      <c r="BK11" s="201"/>
      <c r="BL11" s="202"/>
      <c r="BM11" s="203"/>
      <c r="BN11" s="196"/>
      <c r="BO11" s="683">
        <f>-Rice_Inputs!G15</f>
        <v>-158642.89612562765</v>
      </c>
      <c r="BP11" s="683">
        <f>-Rice_Inputs!G15</f>
        <v>-158642.89612562765</v>
      </c>
      <c r="BQ11" s="683">
        <f>BB11</f>
        <v>0</v>
      </c>
      <c r="BR11" s="86"/>
      <c r="BS11" s="683">
        <f t="shared" ref="BS11:BS44" si="10">BQ11+BR11</f>
        <v>0</v>
      </c>
      <c r="BT11" s="683">
        <f>-Rice_Inputs!G15</f>
        <v>-158642.89612562765</v>
      </c>
      <c r="BU11" s="86"/>
      <c r="BV11" s="214">
        <f t="shared" ref="BV11:BV44" si="11">BP11/((1+$BP$4)^B11)</f>
        <v>-158642.89612562765</v>
      </c>
      <c r="BW11" s="162"/>
      <c r="BX11" s="162"/>
      <c r="BY11" s="162"/>
      <c r="BZ11" s="162"/>
      <c r="CA11" s="162"/>
      <c r="CB11" s="162"/>
      <c r="CC11" s="162"/>
      <c r="CD11" s="162"/>
      <c r="CE11" s="162"/>
      <c r="CF11" s="162"/>
      <c r="CG11" s="162"/>
      <c r="CH11" s="162"/>
      <c r="CI11" s="102"/>
      <c r="CJ11" s="162"/>
      <c r="CK11" s="162"/>
      <c r="CL11" s="162"/>
      <c r="CM11" s="162"/>
      <c r="CN11" s="162"/>
      <c r="CO11" s="162"/>
      <c r="CS11" s="164"/>
      <c r="DD11" s="75"/>
      <c r="DJ11" s="75"/>
      <c r="DQ11" s="75"/>
    </row>
    <row r="12" spans="2:121" s="162" customFormat="1" x14ac:dyDescent="0.3">
      <c r="B12" s="184">
        <f>B11+1</f>
        <v>1</v>
      </c>
      <c r="C12" s="346">
        <f t="shared" ref="C12:C44" si="12">YEAR(D12)</f>
        <v>2022</v>
      </c>
      <c r="D12" s="347">
        <f>EDATE(D11,12)</f>
        <v>44562</v>
      </c>
      <c r="E12" s="440">
        <f>EDATE(E11,12)</f>
        <v>44926</v>
      </c>
      <c r="F12" s="445">
        <f>IF(AND(B12&gt;0,B12&lt;=Rice_Inputs!$J$17),1,0)</f>
        <v>1</v>
      </c>
      <c r="G12" s="447">
        <f>IF(F12=1,Rice_Inputs!$G$29,0)</f>
        <v>1548837.2093023255</v>
      </c>
      <c r="H12" s="348">
        <f>IF(AND(F11=0,F12=1),100%,IF(AND(F11=0,F12=0),100%,H11-Rice_Inputs!$G$42))*F12</f>
        <v>1</v>
      </c>
      <c r="I12" s="216">
        <f>H12*G12</f>
        <v>1548837.2093023255</v>
      </c>
      <c r="J12" s="219">
        <f>Rice_Inputs!$J$11</f>
        <v>0.01</v>
      </c>
      <c r="K12" s="444">
        <f>IF(B12=1,Rice_Inputs!$R$15,K11*(1+Rice_CashFlows!J12))*F12</f>
        <v>1.3553477957978797</v>
      </c>
      <c r="L12" s="338">
        <f>IF(B12=1,Rice_Inputs!$R$16,L11*(1+Rice_CashFlows!J12))*F12</f>
        <v>0</v>
      </c>
      <c r="M12" s="122">
        <f>K12*I12*Rice_Inputs!$J$9</f>
        <v>2099213.0976776462</v>
      </c>
      <c r="N12" s="222">
        <f>L12*I12*Rice_Inputs!$J$10</f>
        <v>0</v>
      </c>
      <c r="O12" s="217">
        <f>BC11</f>
        <v>0</v>
      </c>
      <c r="P12" s="122">
        <f>SUM(M12:O12)+IF(B12=Rice_Inputs!$J$17,Rice_Inputs!$J$19,0)</f>
        <v>2099213.0976776462</v>
      </c>
      <c r="Q12" s="218">
        <f>IF(B12=1,Rice_Inputs!$O$7,Q11*(1+Rice_Inputs!$N$23))*F12</f>
        <v>1707738.2227053284</v>
      </c>
      <c r="R12" s="122">
        <f>IF(B12=1,Rice_Inputs!$O$8,R11*(1+Rice_Inputs!$N$23))*F12</f>
        <v>56130.915754291709</v>
      </c>
      <c r="S12" s="122">
        <f>IF(B12=1,Rice_Inputs!$O$9,S11*(1+Rice_Inputs!$N$23))*F12</f>
        <v>52880.96537520922</v>
      </c>
      <c r="T12" s="122">
        <f>IF(B12=1,Rice_Inputs!$O$10,T11*(1+Rice_Inputs!$N$23))*F12</f>
        <v>25030.563092795241</v>
      </c>
      <c r="U12" s="122">
        <f>IF(B12=1,Rice_Inputs!$O$11,U11*(1+Rice_Inputs!$N$23))*F12</f>
        <v>18438.151414034357</v>
      </c>
      <c r="V12" s="122">
        <f>IF(B12=1,Rice_Inputs!$O$12,V11*(1+Rice_Inputs!$N$23))*F12</f>
        <v>92.248454607764188</v>
      </c>
      <c r="W12" s="122">
        <f>IF(B12=1,Rice_Inputs!$O$13,W11*(1+Rice_Inputs!$N$23))*F12</f>
        <v>0</v>
      </c>
      <c r="X12" s="122">
        <f>IF(B12=1,Rice_Inputs!$O$14,X11*(1+Rice_Inputs!$N$23))*F12</f>
        <v>10496.065488388231</v>
      </c>
      <c r="Y12" s="122">
        <f>IF(B12=1,Rice_Inputs!$O$15,Y11*(1+Rice_Inputs!$N$23))*F12</f>
        <v>10496.065488388231</v>
      </c>
      <c r="Z12" s="122">
        <f>IF(B12=1,Rice_Inputs!$O$16,Z11*(1+Rice_Inputs!$N$23))*F12</f>
        <v>6458.3399999999992</v>
      </c>
      <c r="AA12" s="122">
        <f>IF(B12=1,Rice_Inputs!$O$17,AA11*(1+Rice_Inputs!$N$23))*F12</f>
        <v>15488.372093023256</v>
      </c>
      <c r="AB12" s="181">
        <f>IF(B12=1,Rice_Inputs!$O$18,AB11*(1+Rice_Inputs!$N$23))*F12</f>
        <v>0</v>
      </c>
      <c r="AC12" s="482">
        <f>IF(B12=1,Rice_Inputs!$O$19,AC11*(1+Rice_Inputs!$N$23))*F12</f>
        <v>0</v>
      </c>
      <c r="AD12" s="122">
        <f>IF(B12=1,Rice_Inputs!$O$20,AD11*(1+Rice_Inputs!$N$23))*F12</f>
        <v>0</v>
      </c>
      <c r="AE12" s="122">
        <f>IF(B12=1,Rice_Inputs!$O$21,AE11*(1+Rice_Inputs!$N$23))*F12</f>
        <v>0</v>
      </c>
      <c r="AF12" s="132">
        <f>IF(B12=1,Rice_Inputs!$O$22,AF11*(1+Rice_Inputs!$N$23))*F12</f>
        <v>0</v>
      </c>
      <c r="AG12" s="132">
        <f>SUM(Q12:AF12)*F12</f>
        <v>1903249.9098660666</v>
      </c>
      <c r="AH12" s="122">
        <f t="shared" ref="AH12:AH44" si="13">P12-AG12</f>
        <v>195963.18781157956</v>
      </c>
      <c r="AI12" s="219">
        <f t="shared" ref="AI12:AI44" si="14">IFERROR(AH12/P12,0)</f>
        <v>9.3350783695268058E-2</v>
      </c>
      <c r="AJ12" s="220">
        <f>Deprec!L11</f>
        <v>21152.386150083687</v>
      </c>
      <c r="AK12" s="122">
        <f t="shared" ref="AK12" si="15">AH12-AJ12</f>
        <v>174810.80166149588</v>
      </c>
      <c r="AL12" s="221">
        <f>BJ12</f>
        <v>85471.504335950638</v>
      </c>
      <c r="AM12" s="122">
        <f>AK12-AL12</f>
        <v>89339.297325545238</v>
      </c>
      <c r="AN12" s="438">
        <f>IF(AM12&lt;0,0,(AM12*Rice_Inputs!$J$14))</f>
        <v>26801.789197663569</v>
      </c>
      <c r="AO12" s="122">
        <f>AM12-AN12</f>
        <v>62537.508127881665</v>
      </c>
      <c r="AP12" s="123">
        <f t="shared" ref="AP12:AP44" si="16">IFERROR(AO12/P12,0)</f>
        <v>2.9790928894768587E-2</v>
      </c>
      <c r="AQ12" s="185"/>
      <c r="AR12" s="185"/>
      <c r="AS12" s="218">
        <f t="shared" ref="AS12:AS44" si="17">P12</f>
        <v>2099213.0976776462</v>
      </c>
      <c r="AT12" s="122">
        <f t="shared" ref="AT12:AT44" si="18">AG12</f>
        <v>1903249.9098660666</v>
      </c>
      <c r="AU12" s="438">
        <f>AS12-AT12</f>
        <v>195963.18781157956</v>
      </c>
      <c r="AV12" s="218">
        <f>IF(B12=0,Rice_Inputs!$C$29,0)</f>
        <v>0</v>
      </c>
      <c r="AW12" s="435">
        <f t="shared" si="5"/>
        <v>0</v>
      </c>
      <c r="AX12" s="438">
        <f t="shared" si="6"/>
        <v>195963.18781157956</v>
      </c>
      <c r="AY12" s="184">
        <f>IF(B12=0,Rice_Inputs!$G$15+Rice_Inputs!$G$16,0)</f>
        <v>0</v>
      </c>
      <c r="AZ12" s="185">
        <f>IF(B12=0,Rice_Inputs!$G$14,0)</f>
        <v>0</v>
      </c>
      <c r="BA12" s="132">
        <f t="shared" si="7"/>
        <v>0</v>
      </c>
      <c r="BB12" s="218">
        <f t="shared" si="8"/>
        <v>195963.18781157956</v>
      </c>
      <c r="BC12" s="218">
        <f>Rice_Inputs!$G$20*AVERAGE(BR12,BS12)</f>
        <v>0</v>
      </c>
      <c r="BD12" s="132">
        <f t="shared" si="9"/>
        <v>26801.789197663569</v>
      </c>
      <c r="BE12" s="132">
        <f t="shared" ref="BE12:BE44" si="19">BG12+BD12-O12</f>
        <v>195963.18781157956</v>
      </c>
      <c r="BF12" s="122">
        <f t="shared" ref="BF12:BF44" si="20">BG12-O12</f>
        <v>169161.39861391598</v>
      </c>
      <c r="BG12" s="438">
        <f t="shared" ref="BG12:BG44" si="21">BB12-BD12</f>
        <v>169161.39861391598</v>
      </c>
      <c r="BH12" s="122">
        <f>BI11</f>
        <v>370166.75762646447</v>
      </c>
      <c r="BI12" s="122">
        <f>BH12-BK12</f>
        <v>357928.80129343091</v>
      </c>
      <c r="BJ12" s="122">
        <f>-Debt_Calc!AQ10</f>
        <v>85471.504335950638</v>
      </c>
      <c r="BK12" s="122">
        <f>Debt_Calc!AR10</f>
        <v>12237.956333033551</v>
      </c>
      <c r="BL12" s="122">
        <f t="shared" ref="BL12:BL44" si="22">SUM(BJ12:BK12)</f>
        <v>97709.460668984189</v>
      </c>
      <c r="BM12" s="217">
        <f>IFERROR(BG12/BL12,0)</f>
        <v>1.7312693925002158</v>
      </c>
      <c r="BN12" s="122">
        <f>BG12-BL12</f>
        <v>71451.937944931793</v>
      </c>
      <c r="BO12" s="122">
        <f t="shared" ref="BO12:BO44" si="23">BN12+BD12</f>
        <v>98253.727142595366</v>
      </c>
      <c r="BP12" s="122">
        <f>BN12+BR12</f>
        <v>71451.937944931793</v>
      </c>
      <c r="BQ12" s="122">
        <f t="shared" ref="BQ12:BQ44" si="24">BN12-BP12</f>
        <v>0</v>
      </c>
      <c r="BR12" s="122">
        <f t="shared" ref="BR12:BR44" si="25">BS11</f>
        <v>0</v>
      </c>
      <c r="BS12" s="122">
        <f t="shared" si="10"/>
        <v>0</v>
      </c>
      <c r="BT12" s="122">
        <f t="shared" ref="BT12:BT44" si="26">BP12+BT11</f>
        <v>-87190.958180695859</v>
      </c>
      <c r="BU12" s="122">
        <f>IF(BU11&gt;=1,2,IF(BT12&gt;0,1,0))</f>
        <v>0</v>
      </c>
      <c r="BV12" s="222">
        <f t="shared" si="11"/>
        <v>49136.213569517939</v>
      </c>
      <c r="BW12" s="102"/>
      <c r="BX12" s="102"/>
      <c r="BY12" s="102"/>
      <c r="BZ12" s="102"/>
      <c r="CA12" s="102"/>
      <c r="CI12" s="102"/>
      <c r="CS12" s="349"/>
      <c r="CT12" s="102"/>
      <c r="CU12" s="102"/>
      <c r="CV12" s="102"/>
      <c r="CW12" s="102"/>
      <c r="CX12" s="102"/>
      <c r="CY12" s="102"/>
      <c r="CZ12" s="102"/>
      <c r="DA12" s="102"/>
      <c r="DB12" s="102"/>
      <c r="DC12" s="102"/>
      <c r="DD12" s="79"/>
      <c r="DJ12" s="79"/>
      <c r="DQ12" s="79"/>
    </row>
    <row r="13" spans="2:121" s="193" customFormat="1" x14ac:dyDescent="0.3">
      <c r="B13" s="192">
        <f t="shared" ref="B13:B44" si="27">B12+1</f>
        <v>2</v>
      </c>
      <c r="C13" s="350">
        <f t="shared" si="12"/>
        <v>2023</v>
      </c>
      <c r="D13" s="351">
        <f t="shared" ref="D13:E28" si="28">EDATE(D12,12)</f>
        <v>44927</v>
      </c>
      <c r="E13" s="441">
        <f t="shared" si="28"/>
        <v>45291</v>
      </c>
      <c r="F13" s="445">
        <f>IF(AND(B13&gt;0,B13&lt;=Rice_Inputs!$J$17),1,0)</f>
        <v>1</v>
      </c>
      <c r="G13" s="447">
        <f>IF(F13=1,Rice_Inputs!$G$29,0)</f>
        <v>1548837.2093023255</v>
      </c>
      <c r="H13" s="348">
        <f>IF(AND(F12=0,F13=1),100%,IF(AND(F12=0,F13=0),100%,H12-Rice_Inputs!$G$42))*F13</f>
        <v>0.99950000000000006</v>
      </c>
      <c r="I13" s="216">
        <f t="shared" ref="I13:I44" si="29">H13*G13</f>
        <v>1548062.7906976745</v>
      </c>
      <c r="J13" s="219">
        <f>Rice_Inputs!$J$11</f>
        <v>0.01</v>
      </c>
      <c r="K13" s="444">
        <f>IF(B13=1,Rice_Inputs!$R$15,K12*(1+Rice_CashFlows!J13))*F13</f>
        <v>1.3689012737558586</v>
      </c>
      <c r="L13" s="338">
        <f>IF(B13=1,Rice_Inputs!$R$16,L12*(1+Rice_CashFlows!J13))*F13</f>
        <v>0</v>
      </c>
      <c r="M13" s="122">
        <f>K13*I13*Rice_Inputs!$J$9</f>
        <v>2119145.1260400959</v>
      </c>
      <c r="N13" s="222">
        <f>L13*I13*Rice_Inputs!$J$10</f>
        <v>0</v>
      </c>
      <c r="O13" s="423">
        <f t="shared" ref="O13:O44" si="30">BC12</f>
        <v>0</v>
      </c>
      <c r="P13" s="122">
        <f>SUM(M13:O13)+IF(B13=Rice_Inputs!$J$17,Rice_Inputs!$J$19,0)</f>
        <v>2119145.1260400959</v>
      </c>
      <c r="Q13" s="218">
        <f>IF(B13=1,Rice_Inputs!$O$7,Q12*(1+Rice_Inputs!$N$23))*F13</f>
        <v>1724815.6049323818</v>
      </c>
      <c r="R13" s="122">
        <f>IF(B13=1,Rice_Inputs!$O$8,R12*(1+Rice_Inputs!$N$23))*F13</f>
        <v>56692.22491183463</v>
      </c>
      <c r="S13" s="122">
        <f>IF(B13=1,Rice_Inputs!$O$9,S12*(1+Rice_Inputs!$N$23))*F13</f>
        <v>53409.77502896131</v>
      </c>
      <c r="T13" s="122">
        <f>IF(B13=1,Rice_Inputs!$O$10,T12*(1+Rice_Inputs!$N$23))*F13</f>
        <v>25280.868723723193</v>
      </c>
      <c r="U13" s="122">
        <f>IF(B13=1,Rice_Inputs!$O$11,U12*(1+Rice_Inputs!$N$23))*F13</f>
        <v>18622.5329281747</v>
      </c>
      <c r="V13" s="122">
        <f>IF(B13=1,Rice_Inputs!$O$12,V12*(1+Rice_Inputs!$N$23))*F13</f>
        <v>93.170939153841829</v>
      </c>
      <c r="W13" s="122">
        <f>IF(B13=1,Rice_Inputs!$O$13,W12*(1+Rice_Inputs!$N$23))*F13</f>
        <v>0</v>
      </c>
      <c r="X13" s="122">
        <f>IF(B13=1,Rice_Inputs!$O$14,X12*(1+Rice_Inputs!$N$23))*F13</f>
        <v>10601.026143272113</v>
      </c>
      <c r="Y13" s="122">
        <f>IF(B13=1,Rice_Inputs!$O$15,Y12*(1+Rice_Inputs!$N$23))*F13</f>
        <v>10601.026143272113</v>
      </c>
      <c r="Z13" s="122">
        <f>IF(B13=1,Rice_Inputs!$O$16,Z12*(1+Rice_Inputs!$N$23))*F13</f>
        <v>6522.9233999999997</v>
      </c>
      <c r="AA13" s="122">
        <f>IF(B13=1,Rice_Inputs!$O$17,AA12*(1+Rice_Inputs!$N$23))*F13</f>
        <v>15643.255813953489</v>
      </c>
      <c r="AB13" s="181">
        <f>IF(B13=1,Rice_Inputs!$O$18,AB12*(1+Rice_Inputs!$N$23))*F13</f>
        <v>0</v>
      </c>
      <c r="AC13" s="482">
        <f>IF(B13=1,Rice_Inputs!$O$19,AC12*(1+Rice_Inputs!$N$23))*F13</f>
        <v>0</v>
      </c>
      <c r="AD13" s="122">
        <f>IF(B13=1,Rice_Inputs!$O$20,AD12*(1+Rice_Inputs!$N$23))*F13</f>
        <v>0</v>
      </c>
      <c r="AE13" s="122">
        <f>IF(B13=1,Rice_Inputs!$O$21,AE12*(1+Rice_Inputs!$N$23))*F13</f>
        <v>0</v>
      </c>
      <c r="AF13" s="132">
        <f>IF(B13=1,Rice_Inputs!$O$22,AF12*(1+Rice_Inputs!$N$23))*F13</f>
        <v>0</v>
      </c>
      <c r="AG13" s="200">
        <f t="shared" ref="AG13:AG44" si="31">SUM(Q13:AF13)*F13</f>
        <v>1922282.4089647268</v>
      </c>
      <c r="AH13" s="86">
        <f t="shared" si="13"/>
        <v>196862.71707536909</v>
      </c>
      <c r="AI13" s="225">
        <f t="shared" si="14"/>
        <v>9.2897232311424188E-2</v>
      </c>
      <c r="AJ13" s="220">
        <f>Deprec!L12</f>
        <v>21152.386150083687</v>
      </c>
      <c r="AK13" s="122">
        <f t="shared" ref="AK13:AK44" si="32">AH13-AJ13</f>
        <v>175710.33092528541</v>
      </c>
      <c r="AL13" s="221">
        <f t="shared" ref="AL13:AL44" si="33">BJ13</f>
        <v>82645.760218653188</v>
      </c>
      <c r="AM13" s="122">
        <f t="shared" ref="AM13:AM44" si="34">AK13-AL13</f>
        <v>93064.570706632221</v>
      </c>
      <c r="AN13" s="438">
        <f>IF(AM13&lt;0,0,(AM13*Rice_Inputs!$J$14))</f>
        <v>27919.371211989666</v>
      </c>
      <c r="AO13" s="86">
        <f t="shared" ref="AO13:AO44" si="35">AM13-AN13</f>
        <v>65145.199494642555</v>
      </c>
      <c r="AP13" s="226">
        <f t="shared" si="16"/>
        <v>3.0741263868216052E-2</v>
      </c>
      <c r="AS13" s="196">
        <f t="shared" si="17"/>
        <v>2119145.1260400959</v>
      </c>
      <c r="AT13" s="86">
        <f t="shared" si="18"/>
        <v>1922282.4089647268</v>
      </c>
      <c r="AU13" s="197">
        <f t="shared" ref="AU13:AU44" si="36">AS13-AT13</f>
        <v>196862.71707536909</v>
      </c>
      <c r="AV13" s="218">
        <f>IF(B13=0,Rice_Inputs!$C$29,0)</f>
        <v>0</v>
      </c>
      <c r="AW13" s="198">
        <f t="shared" si="5"/>
        <v>0</v>
      </c>
      <c r="AX13" s="197">
        <f t="shared" si="6"/>
        <v>196862.71707536909</v>
      </c>
      <c r="AY13" s="184">
        <f>IF(B13=0,Rice_Inputs!$G$15+Rice_Inputs!$G$16,0)</f>
        <v>0</v>
      </c>
      <c r="AZ13" s="185">
        <f>IF(B13=0,Rice_Inputs!$G$14,0)</f>
        <v>0</v>
      </c>
      <c r="BA13" s="132">
        <f t="shared" ref="BA13:BA44" si="37">SUM(AY13:AZ13)</f>
        <v>0</v>
      </c>
      <c r="BB13" s="218">
        <f t="shared" ref="BB13:BB44" si="38">AX13+BA13</f>
        <v>196862.71707536909</v>
      </c>
      <c r="BC13" s="218">
        <f>Rice_Inputs!$G$20*AVERAGE(BR13,BS13)</f>
        <v>0</v>
      </c>
      <c r="BD13" s="200">
        <f t="shared" si="9"/>
        <v>27919.371211989666</v>
      </c>
      <c r="BE13" s="200">
        <f t="shared" si="19"/>
        <v>196862.71707536909</v>
      </c>
      <c r="BF13" s="86">
        <f t="shared" si="20"/>
        <v>168943.34586337942</v>
      </c>
      <c r="BG13" s="197">
        <f t="shared" si="21"/>
        <v>168943.34586337942</v>
      </c>
      <c r="BH13" s="86">
        <f t="shared" ref="BH13:BH44" si="39">BI12</f>
        <v>357928.80129343091</v>
      </c>
      <c r="BI13" s="86">
        <f t="shared" ref="BI13:BI44" si="40">BH13-BK13</f>
        <v>342865.10084309988</v>
      </c>
      <c r="BJ13" s="122">
        <f>-Debt_Calc!AQ11</f>
        <v>82645.760218653188</v>
      </c>
      <c r="BK13" s="122">
        <f>Debt_Calc!AR11</f>
        <v>15063.700450331002</v>
      </c>
      <c r="BL13" s="86">
        <f t="shared" si="22"/>
        <v>97709.460668984189</v>
      </c>
      <c r="BM13" s="423">
        <f t="shared" ref="BM13:BM44" si="41">IFERROR(BG13/BL13,0)</f>
        <v>1.7290377483068733</v>
      </c>
      <c r="BN13" s="86">
        <f t="shared" ref="BN13:BN44" si="42">BG13-BL13</f>
        <v>71233.885194395232</v>
      </c>
      <c r="BO13" s="86">
        <f t="shared" si="23"/>
        <v>99153.256406384899</v>
      </c>
      <c r="BP13" s="86">
        <f t="shared" ref="BP13:BP44" si="43">BN13+BR13</f>
        <v>71233.885194395232</v>
      </c>
      <c r="BQ13" s="86">
        <f t="shared" si="24"/>
        <v>0</v>
      </c>
      <c r="BR13" s="86">
        <f t="shared" si="25"/>
        <v>0</v>
      </c>
      <c r="BS13" s="86">
        <f t="shared" si="10"/>
        <v>0</v>
      </c>
      <c r="BT13" s="86">
        <f t="shared" si="26"/>
        <v>-15957.072986300627</v>
      </c>
      <c r="BU13" s="86">
        <f t="shared" ref="BU13:BU44" si="44">IF(BU12&gt;=1,2,IF(BT13&gt;0,1,0))</f>
        <v>0</v>
      </c>
      <c r="BV13" s="214">
        <f t="shared" si="11"/>
        <v>33686.97240269406</v>
      </c>
      <c r="BW13" s="102"/>
      <c r="BX13" s="102"/>
      <c r="BY13" s="102"/>
      <c r="BZ13" s="102"/>
      <c r="CA13" s="102"/>
      <c r="CI13" s="102"/>
      <c r="CS13" s="102"/>
      <c r="CT13" s="102"/>
      <c r="CU13" s="102"/>
      <c r="CV13" s="102"/>
      <c r="CW13" s="102"/>
      <c r="CX13" s="102"/>
      <c r="CY13" s="102"/>
      <c r="CZ13" s="102"/>
      <c r="DA13" s="102"/>
      <c r="DB13" s="102"/>
      <c r="DC13" s="102"/>
      <c r="DD13" s="86"/>
      <c r="DJ13" s="86"/>
      <c r="DQ13" s="86"/>
    </row>
    <row r="14" spans="2:121" s="193" customFormat="1" x14ac:dyDescent="0.3">
      <c r="B14" s="192">
        <f t="shared" si="27"/>
        <v>3</v>
      </c>
      <c r="C14" s="350">
        <f t="shared" si="12"/>
        <v>2024</v>
      </c>
      <c r="D14" s="351">
        <f t="shared" si="28"/>
        <v>45292</v>
      </c>
      <c r="E14" s="441">
        <f>EDATE(E13,12)</f>
        <v>45657</v>
      </c>
      <c r="F14" s="445">
        <f>IF(AND(B14&gt;0,B14&lt;=Rice_Inputs!$J$17),1,0)</f>
        <v>1</v>
      </c>
      <c r="G14" s="447">
        <f>IF(F14=1,Rice_Inputs!$G$29,0)</f>
        <v>1548837.2093023255</v>
      </c>
      <c r="H14" s="348">
        <f>IF(AND(F13=0,F14=1),100%,IF(AND(F13=0,F14=0),100%,H13-Rice_Inputs!$G$42))*F14</f>
        <v>0.99900000000000011</v>
      </c>
      <c r="I14" s="216">
        <f t="shared" si="29"/>
        <v>1547288.3720930233</v>
      </c>
      <c r="J14" s="219">
        <f>Rice_Inputs!$J$11</f>
        <v>0.01</v>
      </c>
      <c r="K14" s="444">
        <f>IF(B14=1,Rice_Inputs!$R$15,K13*(1+Rice_CashFlows!J14))*F14</f>
        <v>1.3825902864934172</v>
      </c>
      <c r="L14" s="338">
        <f>IF(B14=1,Rice_Inputs!$R$16,L13*(1+Rice_CashFlows!J14))*F14</f>
        <v>0</v>
      </c>
      <c r="M14" s="122">
        <f>K14*I14*Rice_Inputs!$J$9</f>
        <v>2139265.8736600261</v>
      </c>
      <c r="N14" s="222">
        <f>L14*I14*Rice_Inputs!$J$10</f>
        <v>0</v>
      </c>
      <c r="O14" s="423">
        <f t="shared" si="30"/>
        <v>0</v>
      </c>
      <c r="P14" s="122">
        <f>SUM(M14:O14)+IF(B14=Rice_Inputs!$J$17,Rice_Inputs!$J$19,0)</f>
        <v>2139265.8736600261</v>
      </c>
      <c r="Q14" s="218">
        <f>IF(B14=1,Rice_Inputs!$O$7,Q13*(1+Rice_Inputs!$N$23))*F14</f>
        <v>1742063.7609817055</v>
      </c>
      <c r="R14" s="122">
        <f>IF(B14=1,Rice_Inputs!$O$8,R13*(1+Rice_Inputs!$N$23))*F14</f>
        <v>57259.147160952976</v>
      </c>
      <c r="S14" s="122">
        <f>IF(B14=1,Rice_Inputs!$O$9,S13*(1+Rice_Inputs!$N$23))*F14</f>
        <v>53943.872779250923</v>
      </c>
      <c r="T14" s="122">
        <f>IF(B14=1,Rice_Inputs!$O$10,T13*(1+Rice_Inputs!$N$23))*F14</f>
        <v>25533.677410960427</v>
      </c>
      <c r="U14" s="122">
        <f>IF(B14=1,Rice_Inputs!$O$11,U13*(1+Rice_Inputs!$N$23))*F14</f>
        <v>18808.758257456448</v>
      </c>
      <c r="V14" s="122">
        <f>IF(B14=1,Rice_Inputs!$O$12,V13*(1+Rice_Inputs!$N$23))*F14</f>
        <v>94.102648545380248</v>
      </c>
      <c r="W14" s="122">
        <f>IF(B14=1,Rice_Inputs!$O$13,W13*(1+Rice_Inputs!$N$23))*F14</f>
        <v>0</v>
      </c>
      <c r="X14" s="122">
        <f>IF(B14=1,Rice_Inputs!$O$14,X13*(1+Rice_Inputs!$N$23))*F14</f>
        <v>10707.036404704833</v>
      </c>
      <c r="Y14" s="122">
        <f>IF(B14=1,Rice_Inputs!$O$15,Y13*(1+Rice_Inputs!$N$23))*F14</f>
        <v>10707.036404704833</v>
      </c>
      <c r="Z14" s="122">
        <f>IF(B14=1,Rice_Inputs!$O$16,Z13*(1+Rice_Inputs!$N$23))*F14</f>
        <v>6588.152634</v>
      </c>
      <c r="AA14" s="122">
        <f>IF(B14=1,Rice_Inputs!$O$17,AA13*(1+Rice_Inputs!$N$23))*F14</f>
        <v>15799.688372093024</v>
      </c>
      <c r="AB14" s="181">
        <f>IF(B14=1,Rice_Inputs!$O$18,AB13*(1+Rice_Inputs!$N$23))*F14</f>
        <v>0</v>
      </c>
      <c r="AC14" s="482">
        <f>IF(B14=1,Rice_Inputs!$O$19,AC13*(1+Rice_Inputs!$N$23))*F14</f>
        <v>0</v>
      </c>
      <c r="AD14" s="122">
        <f>IF(B14=1,Rice_Inputs!$O$20,AD13*(1+Rice_Inputs!$N$23))*F14</f>
        <v>0</v>
      </c>
      <c r="AE14" s="122">
        <f>IF(B14=1,Rice_Inputs!$O$21,AE13*(1+Rice_Inputs!$N$23))*F14</f>
        <v>0</v>
      </c>
      <c r="AF14" s="132">
        <f>IF(B14=1,Rice_Inputs!$O$22,AF13*(1+Rice_Inputs!$N$23))*F14</f>
        <v>0</v>
      </c>
      <c r="AG14" s="200">
        <f t="shared" si="31"/>
        <v>1941505.2330543741</v>
      </c>
      <c r="AH14" s="86">
        <f t="shared" si="13"/>
        <v>197760.64060565201</v>
      </c>
      <c r="AI14" s="225">
        <f t="shared" si="14"/>
        <v>9.2443226922190549E-2</v>
      </c>
      <c r="AJ14" s="220">
        <f>Deprec!L13</f>
        <v>21152.386150083687</v>
      </c>
      <c r="AK14" s="122">
        <f t="shared" si="32"/>
        <v>176608.25445556833</v>
      </c>
      <c r="AL14" s="221">
        <f t="shared" si="33"/>
        <v>79167.551784671756</v>
      </c>
      <c r="AM14" s="122">
        <f t="shared" si="34"/>
        <v>97440.702670896571</v>
      </c>
      <c r="AN14" s="438">
        <f>IF(AM14&lt;0,0,(AM14*Rice_Inputs!$J$14))</f>
        <v>29232.210801268971</v>
      </c>
      <c r="AO14" s="86">
        <f t="shared" si="35"/>
        <v>68208.4918696276</v>
      </c>
      <c r="AP14" s="226">
        <f t="shared" si="16"/>
        <v>3.1884064860498655E-2</v>
      </c>
      <c r="AS14" s="196">
        <f t="shared" si="17"/>
        <v>2139265.8736600261</v>
      </c>
      <c r="AT14" s="86">
        <f t="shared" si="18"/>
        <v>1941505.2330543741</v>
      </c>
      <c r="AU14" s="197">
        <f t="shared" si="36"/>
        <v>197760.64060565201</v>
      </c>
      <c r="AV14" s="218">
        <f>IF(B14=0,Rice_Inputs!$C$29,0)</f>
        <v>0</v>
      </c>
      <c r="AW14" s="198">
        <f t="shared" si="5"/>
        <v>0</v>
      </c>
      <c r="AX14" s="197">
        <f t="shared" si="6"/>
        <v>197760.64060565201</v>
      </c>
      <c r="AY14" s="184">
        <f>IF(B14=0,Rice_Inputs!$G$15+Rice_Inputs!$G$16,0)</f>
        <v>0</v>
      </c>
      <c r="AZ14" s="185">
        <f>IF(B14=0,Rice_Inputs!$G$14,0)</f>
        <v>0</v>
      </c>
      <c r="BA14" s="132">
        <f t="shared" si="37"/>
        <v>0</v>
      </c>
      <c r="BB14" s="218">
        <f t="shared" si="38"/>
        <v>197760.64060565201</v>
      </c>
      <c r="BC14" s="218">
        <f>Rice_Inputs!$G$20*AVERAGE(BR14,BS14)</f>
        <v>0</v>
      </c>
      <c r="BD14" s="200">
        <f t="shared" si="9"/>
        <v>29232.210801268971</v>
      </c>
      <c r="BE14" s="200">
        <f t="shared" si="19"/>
        <v>197760.64060565201</v>
      </c>
      <c r="BF14" s="86">
        <f t="shared" si="20"/>
        <v>168528.42980438302</v>
      </c>
      <c r="BG14" s="197">
        <f t="shared" si="21"/>
        <v>168528.42980438302</v>
      </c>
      <c r="BH14" s="86">
        <f t="shared" si="39"/>
        <v>342865.10084309988</v>
      </c>
      <c r="BI14" s="86">
        <f t="shared" si="40"/>
        <v>324323.19195878744</v>
      </c>
      <c r="BJ14" s="122">
        <f>-Debt_Calc!AQ12</f>
        <v>79167.551784671756</v>
      </c>
      <c r="BK14" s="122">
        <f>Debt_Calc!AR12</f>
        <v>18541.908884312419</v>
      </c>
      <c r="BL14" s="86">
        <f t="shared" si="22"/>
        <v>97709.460668984175</v>
      </c>
      <c r="BM14" s="423">
        <f t="shared" si="41"/>
        <v>1.7247913216440345</v>
      </c>
      <c r="BN14" s="86">
        <f t="shared" si="42"/>
        <v>70818.969135398846</v>
      </c>
      <c r="BO14" s="86">
        <f t="shared" si="23"/>
        <v>100051.17993666782</v>
      </c>
      <c r="BP14" s="86">
        <f t="shared" si="43"/>
        <v>70818.969135398846</v>
      </c>
      <c r="BQ14" s="86">
        <f t="shared" si="24"/>
        <v>0</v>
      </c>
      <c r="BR14" s="86">
        <f t="shared" si="25"/>
        <v>0</v>
      </c>
      <c r="BS14" s="86">
        <f t="shared" si="10"/>
        <v>0</v>
      </c>
      <c r="BT14" s="86">
        <f t="shared" si="26"/>
        <v>54861.896149098218</v>
      </c>
      <c r="BU14" s="86">
        <f t="shared" si="44"/>
        <v>1</v>
      </c>
      <c r="BV14" s="214">
        <f t="shared" si="11"/>
        <v>23030.990907396208</v>
      </c>
      <c r="BW14" s="102"/>
      <c r="BX14" s="102"/>
      <c r="BY14" s="102"/>
      <c r="BZ14" s="102"/>
      <c r="CA14" s="102"/>
      <c r="CI14" s="102"/>
      <c r="CS14" s="102"/>
      <c r="CT14" s="102"/>
      <c r="CU14" s="102"/>
      <c r="CV14" s="102"/>
      <c r="CW14" s="102"/>
      <c r="CX14" s="102"/>
      <c r="CY14" s="102"/>
      <c r="CZ14" s="102"/>
      <c r="DA14" s="102"/>
      <c r="DB14" s="102"/>
      <c r="DC14" s="102"/>
      <c r="DD14" s="86"/>
      <c r="DJ14" s="86"/>
      <c r="DQ14" s="86"/>
    </row>
    <row r="15" spans="2:121" s="86" customFormat="1" x14ac:dyDescent="0.3">
      <c r="B15" s="192">
        <f t="shared" si="27"/>
        <v>4</v>
      </c>
      <c r="C15" s="350">
        <f t="shared" si="12"/>
        <v>2025</v>
      </c>
      <c r="D15" s="351">
        <f t="shared" si="28"/>
        <v>45658</v>
      </c>
      <c r="E15" s="441">
        <f t="shared" si="28"/>
        <v>46022</v>
      </c>
      <c r="F15" s="445">
        <f>IF(AND(B15&gt;0,B15&lt;=Rice_Inputs!$J$17),1,0)</f>
        <v>1</v>
      </c>
      <c r="G15" s="447">
        <f>IF(F15=1,Rice_Inputs!$G$29,0)</f>
        <v>1548837.2093023255</v>
      </c>
      <c r="H15" s="348">
        <f>IF(AND(F14=0,F15=1),100%,IF(AND(F14=0,F15=0),100%,H14-Rice_Inputs!$G$42))*F15</f>
        <v>0.99850000000000017</v>
      </c>
      <c r="I15" s="216">
        <f t="shared" si="29"/>
        <v>1546513.9534883723</v>
      </c>
      <c r="J15" s="219">
        <f>Rice_Inputs!$J$11</f>
        <v>0.01</v>
      </c>
      <c r="K15" s="444">
        <f>IF(B15=1,Rice_Inputs!$R$15,K14*(1+Rice_CashFlows!J15))*F15</f>
        <v>1.3964161893583513</v>
      </c>
      <c r="L15" s="338">
        <f>IF(B15=1,Rice_Inputs!$R$16,L14*(1+Rice_CashFlows!J15))*F15</f>
        <v>0</v>
      </c>
      <c r="M15" s="122">
        <f>K15*I15*Rice_Inputs!$J$9</f>
        <v>2159577.1217197515</v>
      </c>
      <c r="N15" s="222">
        <f>L15*I15*Rice_Inputs!$J$10</f>
        <v>0</v>
      </c>
      <c r="O15" s="423">
        <f t="shared" si="30"/>
        <v>0</v>
      </c>
      <c r="P15" s="122">
        <f>SUM(M15:O15)+IF(B15=Rice_Inputs!$J$17,Rice_Inputs!$J$19,0)</f>
        <v>2159577.1217197515</v>
      </c>
      <c r="Q15" s="218">
        <f>IF(B15=1,Rice_Inputs!$O$7,Q14*(1+Rice_Inputs!$N$23))*F15</f>
        <v>1759484.3985915226</v>
      </c>
      <c r="R15" s="122">
        <f>IF(B15=1,Rice_Inputs!$O$8,R14*(1+Rice_Inputs!$N$23))*F15</f>
        <v>57831.738632562505</v>
      </c>
      <c r="S15" s="122">
        <f>IF(B15=1,Rice_Inputs!$O$9,S14*(1+Rice_Inputs!$N$23))*F15</f>
        <v>54483.311507043436</v>
      </c>
      <c r="T15" s="122">
        <f>IF(B15=1,Rice_Inputs!$O$10,T14*(1+Rice_Inputs!$N$23))*F15</f>
        <v>25789.014185070031</v>
      </c>
      <c r="U15" s="122">
        <f>IF(B15=1,Rice_Inputs!$O$11,U14*(1+Rice_Inputs!$N$23))*F15</f>
        <v>18996.845840031012</v>
      </c>
      <c r="V15" s="122">
        <f>IF(B15=1,Rice_Inputs!$O$12,V14*(1+Rice_Inputs!$N$23))*F15</f>
        <v>95.043675030834052</v>
      </c>
      <c r="W15" s="122">
        <f>IF(B15=1,Rice_Inputs!$O$13,W14*(1+Rice_Inputs!$N$23))*F15</f>
        <v>0</v>
      </c>
      <c r="X15" s="122">
        <f>IF(B15=1,Rice_Inputs!$O$14,X14*(1+Rice_Inputs!$N$23))*F15</f>
        <v>10814.106768751883</v>
      </c>
      <c r="Y15" s="122">
        <f>IF(B15=1,Rice_Inputs!$O$15,Y14*(1+Rice_Inputs!$N$23))*F15</f>
        <v>10814.106768751883</v>
      </c>
      <c r="Z15" s="122">
        <f>IF(B15=1,Rice_Inputs!$O$16,Z14*(1+Rice_Inputs!$N$23))*F15</f>
        <v>6654.0341603400002</v>
      </c>
      <c r="AA15" s="122">
        <f>IF(B15=1,Rice_Inputs!$O$17,AA14*(1+Rice_Inputs!$N$23))*F15</f>
        <v>15957.685255813954</v>
      </c>
      <c r="AB15" s="181">
        <f>IF(B15=1,Rice_Inputs!$O$18,AB14*(1+Rice_Inputs!$N$23))*F15</f>
        <v>0</v>
      </c>
      <c r="AC15" s="482">
        <f>IF(B15=1,Rice_Inputs!$O$19,AC14*(1+Rice_Inputs!$N$23))*F15</f>
        <v>0</v>
      </c>
      <c r="AD15" s="122">
        <f>IF(B15=1,Rice_Inputs!$O$20,AD14*(1+Rice_Inputs!$N$23))*F15</f>
        <v>0</v>
      </c>
      <c r="AE15" s="122">
        <f>IF(B15=1,Rice_Inputs!$O$21,AE14*(1+Rice_Inputs!$N$23))*F15</f>
        <v>0</v>
      </c>
      <c r="AF15" s="132">
        <f>IF(B15=1,Rice_Inputs!$O$22,AF14*(1+Rice_Inputs!$N$23))*F15</f>
        <v>0</v>
      </c>
      <c r="AG15" s="200">
        <f t="shared" si="31"/>
        <v>1960920.2853849183</v>
      </c>
      <c r="AH15" s="86">
        <f t="shared" si="13"/>
        <v>198656.83633483318</v>
      </c>
      <c r="AI15" s="225">
        <f t="shared" si="14"/>
        <v>9.1988766845536571E-2</v>
      </c>
      <c r="AJ15" s="220">
        <f>Deprec!L14</f>
        <v>21152.386150083687</v>
      </c>
      <c r="AK15" s="122">
        <f t="shared" si="32"/>
        <v>177504.4501847495</v>
      </c>
      <c r="AL15" s="221">
        <f t="shared" si="33"/>
        <v>74886.225023284016</v>
      </c>
      <c r="AM15" s="122">
        <f t="shared" si="34"/>
        <v>102618.22516146548</v>
      </c>
      <c r="AN15" s="438">
        <f>IF(AM15&lt;0,0,(AM15*Rice_Inputs!$J$14))</f>
        <v>30785.467548439643</v>
      </c>
      <c r="AO15" s="86">
        <f t="shared" si="35"/>
        <v>71832.757613025839</v>
      </c>
      <c r="AP15" s="226">
        <f t="shared" si="16"/>
        <v>3.3262418318185716E-2</v>
      </c>
      <c r="AS15" s="196">
        <f t="shared" si="17"/>
        <v>2159577.1217197515</v>
      </c>
      <c r="AT15" s="86">
        <f t="shared" si="18"/>
        <v>1960920.2853849183</v>
      </c>
      <c r="AU15" s="197">
        <f t="shared" si="36"/>
        <v>198656.83633483318</v>
      </c>
      <c r="AV15" s="218">
        <f>IF(B15=0,Rice_Inputs!$C$29,0)</f>
        <v>0</v>
      </c>
      <c r="AW15" s="198">
        <f t="shared" si="5"/>
        <v>0</v>
      </c>
      <c r="AX15" s="197">
        <f t="shared" si="6"/>
        <v>198656.83633483318</v>
      </c>
      <c r="AY15" s="184">
        <f>IF(B15=0,Rice_Inputs!$G$15+Rice_Inputs!$G$16,0)</f>
        <v>0</v>
      </c>
      <c r="AZ15" s="185">
        <f>IF(B15=0,Rice_Inputs!$G$14,0)</f>
        <v>0</v>
      </c>
      <c r="BA15" s="132">
        <f t="shared" si="37"/>
        <v>0</v>
      </c>
      <c r="BB15" s="218">
        <f t="shared" si="38"/>
        <v>198656.83633483318</v>
      </c>
      <c r="BC15" s="218">
        <f>Rice_Inputs!$G$20*AVERAGE(BR15,BS15)</f>
        <v>0</v>
      </c>
      <c r="BD15" s="200">
        <f t="shared" si="9"/>
        <v>30785.467548439643</v>
      </c>
      <c r="BE15" s="200">
        <f t="shared" si="19"/>
        <v>198656.83633483318</v>
      </c>
      <c r="BF15" s="86">
        <f t="shared" si="20"/>
        <v>167871.36878639355</v>
      </c>
      <c r="BG15" s="197">
        <f t="shared" si="21"/>
        <v>167871.36878639355</v>
      </c>
      <c r="BH15" s="86">
        <f t="shared" si="39"/>
        <v>324323.19195878744</v>
      </c>
      <c r="BI15" s="86">
        <f t="shared" si="40"/>
        <v>301499.95631308726</v>
      </c>
      <c r="BJ15" s="122">
        <f>-Debt_Calc!AQ13</f>
        <v>74886.225023284016</v>
      </c>
      <c r="BK15" s="122">
        <f>Debt_Calc!AR13</f>
        <v>22823.235645700173</v>
      </c>
      <c r="BL15" s="86">
        <f t="shared" si="22"/>
        <v>97709.460668984189</v>
      </c>
      <c r="BM15" s="423">
        <f t="shared" si="41"/>
        <v>1.7180666809235676</v>
      </c>
      <c r="BN15" s="86">
        <f t="shared" si="42"/>
        <v>70161.908117409359</v>
      </c>
      <c r="BO15" s="86">
        <f t="shared" si="23"/>
        <v>100947.375665849</v>
      </c>
      <c r="BP15" s="86">
        <f t="shared" si="43"/>
        <v>70161.908117409359</v>
      </c>
      <c r="BQ15" s="86">
        <f t="shared" si="24"/>
        <v>0</v>
      </c>
      <c r="BR15" s="86">
        <f t="shared" si="25"/>
        <v>0</v>
      </c>
      <c r="BS15" s="86">
        <f t="shared" si="10"/>
        <v>0</v>
      </c>
      <c r="BT15" s="86">
        <f t="shared" si="26"/>
        <v>125023.80426650758</v>
      </c>
      <c r="BU15" s="86">
        <f t="shared" si="44"/>
        <v>2</v>
      </c>
      <c r="BV15" s="214">
        <f t="shared" si="11"/>
        <v>15691.052990483973</v>
      </c>
    </row>
    <row r="16" spans="2:121" s="86" customFormat="1" x14ac:dyDescent="0.3">
      <c r="B16" s="192">
        <f t="shared" si="27"/>
        <v>5</v>
      </c>
      <c r="C16" s="350">
        <f t="shared" si="12"/>
        <v>2026</v>
      </c>
      <c r="D16" s="351">
        <f t="shared" si="28"/>
        <v>46023</v>
      </c>
      <c r="E16" s="441">
        <f t="shared" si="28"/>
        <v>46387</v>
      </c>
      <c r="F16" s="445">
        <f>IF(AND(B16&gt;0,B16&lt;=Rice_Inputs!$J$17),1,0)</f>
        <v>1</v>
      </c>
      <c r="G16" s="447">
        <f>IF(F16=1,Rice_Inputs!$G$29,0)</f>
        <v>1548837.2093023255</v>
      </c>
      <c r="H16" s="348">
        <f>IF(AND(F15=0,F16=1),100%,IF(AND(F15=0,F16=0),100%,H15-Rice_Inputs!$G$42))*F16</f>
        <v>0.99800000000000022</v>
      </c>
      <c r="I16" s="216">
        <f t="shared" si="29"/>
        <v>1545739.5348837213</v>
      </c>
      <c r="J16" s="219">
        <f>Rice_Inputs!$J$11</f>
        <v>0.01</v>
      </c>
      <c r="K16" s="444">
        <f>IF(B16=1,Rice_Inputs!$R$15,K15*(1+Rice_CashFlows!J16))*F16</f>
        <v>1.4103803512519348</v>
      </c>
      <c r="L16" s="338">
        <f>IF(B16=1,Rice_Inputs!$R$16,L15*(1+Rice_CashFlows!J16))*F16</f>
        <v>0</v>
      </c>
      <c r="M16" s="122">
        <f>K16*I16*Rice_Inputs!$J$9</f>
        <v>2180080.6681533051</v>
      </c>
      <c r="N16" s="222">
        <f>L16*I16*Rice_Inputs!$J$10</f>
        <v>0</v>
      </c>
      <c r="O16" s="423">
        <f t="shared" si="30"/>
        <v>0</v>
      </c>
      <c r="P16" s="122">
        <f>SUM(M16:O16)+IF(B16=Rice_Inputs!$J$17,Rice_Inputs!$J$19,0)</f>
        <v>2180080.6681533051</v>
      </c>
      <c r="Q16" s="218">
        <f>IF(B16=1,Rice_Inputs!$O$7,Q15*(1+Rice_Inputs!$N$23))*F16</f>
        <v>1777079.2425774378</v>
      </c>
      <c r="R16" s="122">
        <f>IF(B16=1,Rice_Inputs!$O$8,R15*(1+Rice_Inputs!$N$23))*F16</f>
        <v>58410.056018888128</v>
      </c>
      <c r="S16" s="122">
        <f>IF(B16=1,Rice_Inputs!$O$9,S15*(1+Rice_Inputs!$N$23))*F16</f>
        <v>55028.144622113869</v>
      </c>
      <c r="T16" s="122">
        <f>IF(B16=1,Rice_Inputs!$O$10,T15*(1+Rice_Inputs!$N$23))*F16</f>
        <v>26046.904326920732</v>
      </c>
      <c r="U16" s="122">
        <f>IF(B16=1,Rice_Inputs!$O$11,U15*(1+Rice_Inputs!$N$23))*F16</f>
        <v>19186.814298431324</v>
      </c>
      <c r="V16" s="122">
        <f>IF(B16=1,Rice_Inputs!$O$12,V15*(1+Rice_Inputs!$N$23))*F16</f>
        <v>95.994111781142394</v>
      </c>
      <c r="W16" s="122">
        <f>IF(B16=1,Rice_Inputs!$O$13,W15*(1+Rice_Inputs!$N$23))*F16</f>
        <v>0</v>
      </c>
      <c r="X16" s="122">
        <f>IF(B16=1,Rice_Inputs!$O$14,X15*(1+Rice_Inputs!$N$23))*F16</f>
        <v>10922.247836439401</v>
      </c>
      <c r="Y16" s="122">
        <f>IF(B16=1,Rice_Inputs!$O$15,Y15*(1+Rice_Inputs!$N$23))*F16</f>
        <v>10922.247836439401</v>
      </c>
      <c r="Z16" s="122">
        <f>IF(B16=1,Rice_Inputs!$O$16,Z15*(1+Rice_Inputs!$N$23))*F16</f>
        <v>6720.5745019433998</v>
      </c>
      <c r="AA16" s="122">
        <f>IF(B16=1,Rice_Inputs!$O$17,AA15*(1+Rice_Inputs!$N$23))*F16</f>
        <v>16117.262108372093</v>
      </c>
      <c r="AB16" s="181">
        <f>IF(B16=1,Rice_Inputs!$O$18,AB15*(1+Rice_Inputs!$N$23))*F16</f>
        <v>0</v>
      </c>
      <c r="AC16" s="482">
        <f>IF(B16=1,Rice_Inputs!$O$19,AC15*(1+Rice_Inputs!$N$23))*F16</f>
        <v>0</v>
      </c>
      <c r="AD16" s="122">
        <f>IF(B16=1,Rice_Inputs!$O$20,AD15*(1+Rice_Inputs!$N$23))*F16</f>
        <v>0</v>
      </c>
      <c r="AE16" s="122">
        <f>IF(B16=1,Rice_Inputs!$O$21,AE15*(1+Rice_Inputs!$N$23))*F16</f>
        <v>0</v>
      </c>
      <c r="AF16" s="132">
        <f>IF(B16=1,Rice_Inputs!$O$22,AF15*(1+Rice_Inputs!$N$23))*F16</f>
        <v>0</v>
      </c>
      <c r="AG16" s="200">
        <f t="shared" si="31"/>
        <v>1980529.488238767</v>
      </c>
      <c r="AH16" s="86">
        <f t="shared" si="13"/>
        <v>199551.17991453805</v>
      </c>
      <c r="AI16" s="225">
        <f t="shared" si="14"/>
        <v>9.1533851398064622E-2</v>
      </c>
      <c r="AJ16" s="220">
        <f>Deprec!L15</f>
        <v>21152.386150083687</v>
      </c>
      <c r="AK16" s="122">
        <f t="shared" si="32"/>
        <v>178398.79376445437</v>
      </c>
      <c r="AL16" s="221">
        <f t="shared" si="33"/>
        <v>69616.339912691852</v>
      </c>
      <c r="AM16" s="122">
        <f t="shared" si="34"/>
        <v>108782.45385176252</v>
      </c>
      <c r="AN16" s="438">
        <f>IF(AM16&lt;0,0,(AM16*Rice_Inputs!$J$14))</f>
        <v>32634.736155528753</v>
      </c>
      <c r="AO16" s="86">
        <f t="shared" si="35"/>
        <v>76147.717696233769</v>
      </c>
      <c r="AP16" s="226">
        <f t="shared" si="16"/>
        <v>3.4928853234012069E-2</v>
      </c>
      <c r="AS16" s="196">
        <f t="shared" si="17"/>
        <v>2180080.6681533051</v>
      </c>
      <c r="AT16" s="86">
        <f t="shared" si="18"/>
        <v>1980529.488238767</v>
      </c>
      <c r="AU16" s="197">
        <f t="shared" si="36"/>
        <v>199551.17991453805</v>
      </c>
      <c r="AV16" s="218">
        <f>IF(B16=0,Rice_Inputs!$C$29,0)</f>
        <v>0</v>
      </c>
      <c r="AW16" s="198">
        <f t="shared" si="5"/>
        <v>0</v>
      </c>
      <c r="AX16" s="197">
        <f t="shared" si="6"/>
        <v>199551.17991453805</v>
      </c>
      <c r="AY16" s="184">
        <f>IF(B16=0,Rice_Inputs!$G$15+Rice_Inputs!$G$16,0)</f>
        <v>0</v>
      </c>
      <c r="AZ16" s="185">
        <f>IF(B16=0,Rice_Inputs!$G$14,0)</f>
        <v>0</v>
      </c>
      <c r="BA16" s="132">
        <f t="shared" si="37"/>
        <v>0</v>
      </c>
      <c r="BB16" s="218">
        <f t="shared" si="38"/>
        <v>199551.17991453805</v>
      </c>
      <c r="BC16" s="218">
        <f>Rice_Inputs!$G$20*AVERAGE(BR16,BS16)</f>
        <v>0</v>
      </c>
      <c r="BD16" s="200">
        <f t="shared" si="9"/>
        <v>32634.736155528753</v>
      </c>
      <c r="BE16" s="200">
        <f t="shared" si="19"/>
        <v>199551.17991453805</v>
      </c>
      <c r="BF16" s="86">
        <f t="shared" si="20"/>
        <v>166916.4437590093</v>
      </c>
      <c r="BG16" s="197">
        <f t="shared" si="21"/>
        <v>166916.4437590093</v>
      </c>
      <c r="BH16" s="86">
        <f t="shared" si="39"/>
        <v>301499.95631308726</v>
      </c>
      <c r="BI16" s="86">
        <f t="shared" si="40"/>
        <v>273406.83555679489</v>
      </c>
      <c r="BJ16" s="122">
        <f>-Debt_Calc!AQ14</f>
        <v>69616.339912691852</v>
      </c>
      <c r="BK16" s="122">
        <f>Debt_Calc!AR14</f>
        <v>28093.120756292352</v>
      </c>
      <c r="BL16" s="86">
        <f t="shared" si="22"/>
        <v>97709.460668984204</v>
      </c>
      <c r="BM16" s="423">
        <f t="shared" si="41"/>
        <v>1.7082935737868972</v>
      </c>
      <c r="BN16" s="86">
        <f t="shared" si="42"/>
        <v>69206.983090025096</v>
      </c>
      <c r="BO16" s="86">
        <f t="shared" si="23"/>
        <v>101841.71924555385</v>
      </c>
      <c r="BP16" s="86">
        <f t="shared" si="43"/>
        <v>69206.983090025096</v>
      </c>
      <c r="BQ16" s="86">
        <f t="shared" si="24"/>
        <v>0</v>
      </c>
      <c r="BR16" s="86">
        <f t="shared" si="25"/>
        <v>0</v>
      </c>
      <c r="BS16" s="86">
        <f t="shared" si="10"/>
        <v>0</v>
      </c>
      <c r="BT16" s="86">
        <f t="shared" si="26"/>
        <v>194230.78735653267</v>
      </c>
      <c r="BU16" s="86">
        <f t="shared" si="44"/>
        <v>2</v>
      </c>
      <c r="BV16" s="214">
        <f t="shared" si="11"/>
        <v>10643.593742834841</v>
      </c>
    </row>
    <row r="17" spans="2:74" s="86" customFormat="1" x14ac:dyDescent="0.3">
      <c r="B17" s="192">
        <f t="shared" si="27"/>
        <v>6</v>
      </c>
      <c r="C17" s="350">
        <f t="shared" si="12"/>
        <v>2027</v>
      </c>
      <c r="D17" s="351">
        <f t="shared" si="28"/>
        <v>46388</v>
      </c>
      <c r="E17" s="441">
        <f t="shared" si="28"/>
        <v>46752</v>
      </c>
      <c r="F17" s="445">
        <f>IF(AND(B17&gt;0,B17&lt;=Rice_Inputs!$J$17),1,0)</f>
        <v>1</v>
      </c>
      <c r="G17" s="447">
        <f>IF(F17=1,Rice_Inputs!$G$29,0)</f>
        <v>1548837.2093023255</v>
      </c>
      <c r="H17" s="348">
        <f>IF(AND(F16=0,F17=1),100%,IF(AND(F16=0,F17=0),100%,H16-Rice_Inputs!$G$42))*F17</f>
        <v>0.99750000000000028</v>
      </c>
      <c r="I17" s="216">
        <f t="shared" si="29"/>
        <v>1544965.11627907</v>
      </c>
      <c r="J17" s="219">
        <f>Rice_Inputs!$J$11</f>
        <v>0.01</v>
      </c>
      <c r="K17" s="444">
        <f>IF(B17=1,Rice_Inputs!$R$15,K16*(1+Rice_CashFlows!J17))*F17</f>
        <v>1.4244841547644542</v>
      </c>
      <c r="L17" s="338">
        <f>IF(B17=1,Rice_Inputs!$R$16,L16*(1+Rice_CashFlows!J17))*F17</f>
        <v>0</v>
      </c>
      <c r="M17" s="122">
        <f>K17*I17*Rice_Inputs!$J$9</f>
        <v>2200778.327803358</v>
      </c>
      <c r="N17" s="222">
        <f>L17*I17*Rice_Inputs!$J$10</f>
        <v>0</v>
      </c>
      <c r="O17" s="423">
        <f t="shared" si="30"/>
        <v>0</v>
      </c>
      <c r="P17" s="122">
        <f>SUM(M17:O17)+IF(B17=Rice_Inputs!$J$17,Rice_Inputs!$J$19,0)</f>
        <v>2200778.327803358</v>
      </c>
      <c r="Q17" s="218">
        <f>IF(B17=1,Rice_Inputs!$O$7,Q16*(1+Rice_Inputs!$N$23))*F17</f>
        <v>1794850.0350032123</v>
      </c>
      <c r="R17" s="122">
        <f>IF(B17=1,Rice_Inputs!$O$8,R16*(1+Rice_Inputs!$N$23))*F17</f>
        <v>58994.156579077011</v>
      </c>
      <c r="S17" s="122">
        <f>IF(B17=1,Rice_Inputs!$O$9,S16*(1+Rice_Inputs!$N$23))*F17</f>
        <v>55578.426068335008</v>
      </c>
      <c r="T17" s="122">
        <f>IF(B17=1,Rice_Inputs!$O$10,T16*(1+Rice_Inputs!$N$23))*F17</f>
        <v>26307.37337018994</v>
      </c>
      <c r="U17" s="122">
        <f>IF(B17=1,Rice_Inputs!$O$11,U16*(1+Rice_Inputs!$N$23))*F17</f>
        <v>19378.682441415636</v>
      </c>
      <c r="V17" s="122">
        <f>IF(B17=1,Rice_Inputs!$O$12,V16*(1+Rice_Inputs!$N$23))*F17</f>
        <v>96.954052898953819</v>
      </c>
      <c r="W17" s="122">
        <f>IF(B17=1,Rice_Inputs!$O$13,W16*(1+Rice_Inputs!$N$23))*F17</f>
        <v>0</v>
      </c>
      <c r="X17" s="122">
        <f>IF(B17=1,Rice_Inputs!$O$14,X16*(1+Rice_Inputs!$N$23))*F17</f>
        <v>11031.470314803795</v>
      </c>
      <c r="Y17" s="122">
        <f>IF(B17=1,Rice_Inputs!$O$15,Y16*(1+Rice_Inputs!$N$23))*F17</f>
        <v>11031.470314803795</v>
      </c>
      <c r="Z17" s="122">
        <f>IF(B17=1,Rice_Inputs!$O$16,Z16*(1+Rice_Inputs!$N$23))*F17</f>
        <v>6787.7802469628341</v>
      </c>
      <c r="AA17" s="122">
        <f>IF(B17=1,Rice_Inputs!$O$17,AA16*(1+Rice_Inputs!$N$23))*F17</f>
        <v>16278.434729455814</v>
      </c>
      <c r="AB17" s="181">
        <f>IF(B17=1,Rice_Inputs!$O$18,AB16*(1+Rice_Inputs!$N$23))*F17</f>
        <v>0</v>
      </c>
      <c r="AC17" s="482">
        <f>IF(B17=1,Rice_Inputs!$O$19,AC16*(1+Rice_Inputs!$N$23))*F17</f>
        <v>0</v>
      </c>
      <c r="AD17" s="122">
        <f>IF(B17=1,Rice_Inputs!$O$20,AD16*(1+Rice_Inputs!$N$23))*F17</f>
        <v>0</v>
      </c>
      <c r="AE17" s="122">
        <f>IF(B17=1,Rice_Inputs!$O$21,AE16*(1+Rice_Inputs!$N$23))*F17</f>
        <v>0</v>
      </c>
      <c r="AF17" s="132">
        <f>IF(B17=1,Rice_Inputs!$O$22,AF16*(1+Rice_Inputs!$N$23))*F17</f>
        <v>0</v>
      </c>
      <c r="AG17" s="200">
        <f t="shared" si="31"/>
        <v>2000334.7831211551</v>
      </c>
      <c r="AH17" s="86">
        <f t="shared" si="13"/>
        <v>200443.54468220286</v>
      </c>
      <c r="AI17" s="225">
        <f t="shared" si="14"/>
        <v>9.1078479895005907E-2</v>
      </c>
      <c r="AJ17" s="220">
        <f>Deprec!L16</f>
        <v>21152.386150083687</v>
      </c>
      <c r="AK17" s="122">
        <f t="shared" si="32"/>
        <v>179291.15853211918</v>
      </c>
      <c r="AL17" s="221">
        <f t="shared" si="33"/>
        <v>63129.638330063935</v>
      </c>
      <c r="AM17" s="122">
        <f t="shared" si="34"/>
        <v>116161.52020205525</v>
      </c>
      <c r="AN17" s="438">
        <f>IF(AM17&lt;0,0,(AM17*Rice_Inputs!$J$14))</f>
        <v>34848.456060616576</v>
      </c>
      <c r="AO17" s="86">
        <f t="shared" si="35"/>
        <v>81313.064141438677</v>
      </c>
      <c r="AP17" s="226">
        <f t="shared" si="16"/>
        <v>3.6947412246920351E-2</v>
      </c>
      <c r="AS17" s="196">
        <f t="shared" si="17"/>
        <v>2200778.327803358</v>
      </c>
      <c r="AT17" s="86">
        <f t="shared" si="18"/>
        <v>2000334.7831211551</v>
      </c>
      <c r="AU17" s="197">
        <f t="shared" si="36"/>
        <v>200443.54468220286</v>
      </c>
      <c r="AV17" s="218">
        <f>IF(B17=0,Rice_Inputs!$C$29,0)</f>
        <v>0</v>
      </c>
      <c r="AW17" s="198">
        <f t="shared" si="5"/>
        <v>0</v>
      </c>
      <c r="AX17" s="197">
        <f t="shared" si="6"/>
        <v>200443.54468220286</v>
      </c>
      <c r="AY17" s="184">
        <f>IF(B17=0,Rice_Inputs!$G$15+Rice_Inputs!$G$16,0)</f>
        <v>0</v>
      </c>
      <c r="AZ17" s="185">
        <f>IF(B17=0,Rice_Inputs!$G$14,0)</f>
        <v>0</v>
      </c>
      <c r="BA17" s="132">
        <f t="shared" si="37"/>
        <v>0</v>
      </c>
      <c r="BB17" s="218">
        <f t="shared" si="38"/>
        <v>200443.54468220286</v>
      </c>
      <c r="BC17" s="218">
        <f>Rice_Inputs!$G$20*AVERAGE(BR17,BS17)</f>
        <v>0</v>
      </c>
      <c r="BD17" s="200">
        <f t="shared" si="9"/>
        <v>34848.456060616576</v>
      </c>
      <c r="BE17" s="200">
        <f t="shared" si="19"/>
        <v>200443.54468220286</v>
      </c>
      <c r="BF17" s="86">
        <f t="shared" si="20"/>
        <v>165595.08862158627</v>
      </c>
      <c r="BG17" s="197">
        <f t="shared" si="21"/>
        <v>165595.08862158627</v>
      </c>
      <c r="BH17" s="86">
        <f t="shared" si="39"/>
        <v>273406.83555679489</v>
      </c>
      <c r="BI17" s="86">
        <f t="shared" si="40"/>
        <v>238827.01321787463</v>
      </c>
      <c r="BJ17" s="122">
        <f>-Debt_Calc!AQ15</f>
        <v>63129.638330063935</v>
      </c>
      <c r="BK17" s="122">
        <f>Debt_Calc!AR15</f>
        <v>34579.822338920254</v>
      </c>
      <c r="BL17" s="86">
        <f t="shared" si="22"/>
        <v>97709.460668984189</v>
      </c>
      <c r="BM17" s="423">
        <f t="shared" si="41"/>
        <v>1.6947702657226</v>
      </c>
      <c r="BN17" s="86">
        <f t="shared" si="42"/>
        <v>67885.627952602081</v>
      </c>
      <c r="BO17" s="86">
        <f t="shared" si="23"/>
        <v>102734.08401321866</v>
      </c>
      <c r="BP17" s="86">
        <f t="shared" si="43"/>
        <v>67885.627952602081</v>
      </c>
      <c r="BQ17" s="86">
        <f t="shared" si="24"/>
        <v>0</v>
      </c>
      <c r="BR17" s="86">
        <f t="shared" si="25"/>
        <v>0</v>
      </c>
      <c r="BS17" s="86">
        <f t="shared" si="10"/>
        <v>0</v>
      </c>
      <c r="BT17" s="86">
        <f t="shared" si="26"/>
        <v>262116.41530913475</v>
      </c>
      <c r="BU17" s="86">
        <f t="shared" si="44"/>
        <v>2</v>
      </c>
      <c r="BV17" s="214">
        <f t="shared" si="11"/>
        <v>7179.660126304816</v>
      </c>
    </row>
    <row r="18" spans="2:74" s="86" customFormat="1" x14ac:dyDescent="0.3">
      <c r="B18" s="192">
        <f t="shared" si="27"/>
        <v>7</v>
      </c>
      <c r="C18" s="350">
        <f t="shared" si="12"/>
        <v>2028</v>
      </c>
      <c r="D18" s="351">
        <f t="shared" si="28"/>
        <v>46753</v>
      </c>
      <c r="E18" s="441">
        <f t="shared" si="28"/>
        <v>47118</v>
      </c>
      <c r="F18" s="445">
        <f>IF(AND(B18&gt;0,B18&lt;=Rice_Inputs!$J$17),1,0)</f>
        <v>1</v>
      </c>
      <c r="G18" s="447">
        <f>IF(F18=1,Rice_Inputs!$G$29,0)</f>
        <v>1548837.2093023255</v>
      </c>
      <c r="H18" s="348">
        <f>IF(AND(F17=0,F18=1),100%,IF(AND(F17=0,F18=0),100%,H17-Rice_Inputs!$G$42))*F18</f>
        <v>0.99700000000000033</v>
      </c>
      <c r="I18" s="216">
        <f t="shared" si="29"/>
        <v>1544190.697674419</v>
      </c>
      <c r="J18" s="219">
        <f>Rice_Inputs!$J$11</f>
        <v>0.01</v>
      </c>
      <c r="K18" s="444">
        <f>IF(B18=1,Rice_Inputs!$R$15,K17*(1+Rice_CashFlows!J18))*F18</f>
        <v>1.4387289963120988</v>
      </c>
      <c r="L18" s="338">
        <f>IF(B18=1,Rice_Inputs!$R$16,L17*(1+Rice_CashFlows!J18))*F18</f>
        <v>0</v>
      </c>
      <c r="M18" s="122">
        <f>K18*I18*Rice_Inputs!$J$9</f>
        <v>2221671.9325795965</v>
      </c>
      <c r="N18" s="222">
        <f>L18*I18*Rice_Inputs!$J$10</f>
        <v>0</v>
      </c>
      <c r="O18" s="423">
        <f t="shared" si="30"/>
        <v>0</v>
      </c>
      <c r="P18" s="122">
        <f>SUM(M18:O18)+IF(B18=Rice_Inputs!$J$17,Rice_Inputs!$J$19,0)</f>
        <v>2221671.9325795965</v>
      </c>
      <c r="Q18" s="218">
        <f>IF(B18=1,Rice_Inputs!$O$7,Q17*(1+Rice_Inputs!$N$23))*F18</f>
        <v>1812798.5353532445</v>
      </c>
      <c r="R18" s="122">
        <f>IF(B18=1,Rice_Inputs!$O$8,R17*(1+Rice_Inputs!$N$23))*F18</f>
        <v>59584.098144867785</v>
      </c>
      <c r="S18" s="122">
        <f>IF(B18=1,Rice_Inputs!$O$9,S17*(1+Rice_Inputs!$N$23))*F18</f>
        <v>56134.210329018359</v>
      </c>
      <c r="T18" s="122">
        <f>IF(B18=1,Rice_Inputs!$O$10,T17*(1+Rice_Inputs!$N$23))*F18</f>
        <v>26570.447103891838</v>
      </c>
      <c r="U18" s="122">
        <f>IF(B18=1,Rice_Inputs!$O$11,U17*(1+Rice_Inputs!$N$23))*F18</f>
        <v>19572.469265829794</v>
      </c>
      <c r="V18" s="122">
        <f>IF(B18=1,Rice_Inputs!$O$12,V17*(1+Rice_Inputs!$N$23))*F18</f>
        <v>97.923593427943359</v>
      </c>
      <c r="W18" s="122">
        <f>IF(B18=1,Rice_Inputs!$O$13,W17*(1+Rice_Inputs!$N$23))*F18</f>
        <v>0</v>
      </c>
      <c r="X18" s="122">
        <f>IF(B18=1,Rice_Inputs!$O$14,X17*(1+Rice_Inputs!$N$23))*F18</f>
        <v>11141.785017951834</v>
      </c>
      <c r="Y18" s="122">
        <f>IF(B18=1,Rice_Inputs!$O$15,Y17*(1+Rice_Inputs!$N$23))*F18</f>
        <v>11141.785017951834</v>
      </c>
      <c r="Z18" s="122">
        <f>IF(B18=1,Rice_Inputs!$O$16,Z17*(1+Rice_Inputs!$N$23))*F18</f>
        <v>6855.6580494324626</v>
      </c>
      <c r="AA18" s="122">
        <f>IF(B18=1,Rice_Inputs!$O$17,AA17*(1+Rice_Inputs!$N$23))*F18</f>
        <v>16441.219076750371</v>
      </c>
      <c r="AB18" s="181">
        <f>IF(B18=1,Rice_Inputs!$O$18,AB17*(1+Rice_Inputs!$N$23))*F18</f>
        <v>0</v>
      </c>
      <c r="AC18" s="482">
        <f>IF(B18=1,Rice_Inputs!$O$19,AC17*(1+Rice_Inputs!$N$23))*F18</f>
        <v>0</v>
      </c>
      <c r="AD18" s="122">
        <f>IF(B18=1,Rice_Inputs!$O$20,AD17*(1+Rice_Inputs!$N$23))*F18</f>
        <v>0</v>
      </c>
      <c r="AE18" s="122">
        <f>IF(B18=1,Rice_Inputs!$O$21,AE17*(1+Rice_Inputs!$N$23))*F18</f>
        <v>0</v>
      </c>
      <c r="AF18" s="132">
        <f>IF(B18=1,Rice_Inputs!$O$22,AF17*(1+Rice_Inputs!$N$23))*F18</f>
        <v>0</v>
      </c>
      <c r="AG18" s="200">
        <f t="shared" si="31"/>
        <v>2020338.1309523666</v>
      </c>
      <c r="AH18" s="86">
        <f t="shared" si="13"/>
        <v>201333.8016272299</v>
      </c>
      <c r="AI18" s="225">
        <f t="shared" si="14"/>
        <v>9.0622651650219127E-2</v>
      </c>
      <c r="AJ18" s="220">
        <f>Deprec!L17</f>
        <v>21152.386150083687</v>
      </c>
      <c r="AK18" s="122">
        <f t="shared" si="32"/>
        <v>180181.41547714622</v>
      </c>
      <c r="AL18" s="221">
        <f t="shared" si="33"/>
        <v>55145.157352007249</v>
      </c>
      <c r="AM18" s="122">
        <f t="shared" si="34"/>
        <v>125036.25812513896</v>
      </c>
      <c r="AN18" s="438">
        <f>IF(AM18&lt;0,0,(AM18*Rice_Inputs!$J$14))</f>
        <v>37510.877437541691</v>
      </c>
      <c r="AO18" s="86">
        <f t="shared" si="35"/>
        <v>87525.380687597266</v>
      </c>
      <c r="AP18" s="226">
        <f t="shared" si="16"/>
        <v>3.939617699809126E-2</v>
      </c>
      <c r="AS18" s="196">
        <f t="shared" si="17"/>
        <v>2221671.9325795965</v>
      </c>
      <c r="AT18" s="86">
        <f t="shared" si="18"/>
        <v>2020338.1309523666</v>
      </c>
      <c r="AU18" s="197">
        <f t="shared" si="36"/>
        <v>201333.8016272299</v>
      </c>
      <c r="AV18" s="218">
        <f>IF(B18=0,Rice_Inputs!$C$29,0)</f>
        <v>0</v>
      </c>
      <c r="AW18" s="198">
        <f t="shared" si="5"/>
        <v>0</v>
      </c>
      <c r="AX18" s="197">
        <f t="shared" si="6"/>
        <v>201333.8016272299</v>
      </c>
      <c r="AY18" s="184">
        <f>IF(B18=0,Rice_Inputs!$G$15+Rice_Inputs!$G$16,0)</f>
        <v>0</v>
      </c>
      <c r="AZ18" s="185">
        <f>IF(B18=0,Rice_Inputs!$G$14,0)</f>
        <v>0</v>
      </c>
      <c r="BA18" s="132">
        <f t="shared" si="37"/>
        <v>0</v>
      </c>
      <c r="BB18" s="218">
        <f t="shared" si="38"/>
        <v>201333.8016272299</v>
      </c>
      <c r="BC18" s="218">
        <f>Rice_Inputs!$G$20*AVERAGE(BR18,BS18)</f>
        <v>0</v>
      </c>
      <c r="BD18" s="200">
        <f t="shared" si="9"/>
        <v>37510.877437541691</v>
      </c>
      <c r="BE18" s="200">
        <f t="shared" si="19"/>
        <v>201333.8016272299</v>
      </c>
      <c r="BF18" s="86">
        <f t="shared" si="20"/>
        <v>163822.9241896882</v>
      </c>
      <c r="BG18" s="197">
        <f t="shared" si="21"/>
        <v>163822.9241896882</v>
      </c>
      <c r="BH18" s="86">
        <f t="shared" si="39"/>
        <v>238827.01321787463</v>
      </c>
      <c r="BI18" s="86">
        <f t="shared" si="40"/>
        <v>196262.70990089769</v>
      </c>
      <c r="BJ18" s="122">
        <f>-Debt_Calc!AQ16</f>
        <v>55145.157352007249</v>
      </c>
      <c r="BK18" s="122">
        <f>Debt_Calc!AR16</f>
        <v>42564.303316976941</v>
      </c>
      <c r="BL18" s="86">
        <f t="shared" si="22"/>
        <v>97709.460668984189</v>
      </c>
      <c r="BM18" s="423">
        <f t="shared" si="41"/>
        <v>1.6766331844229525</v>
      </c>
      <c r="BN18" s="86">
        <f t="shared" si="42"/>
        <v>66113.463520704012</v>
      </c>
      <c r="BO18" s="86">
        <f t="shared" si="23"/>
        <v>103624.34095824571</v>
      </c>
      <c r="BP18" s="86">
        <f t="shared" si="43"/>
        <v>66113.463520704012</v>
      </c>
      <c r="BQ18" s="86">
        <f t="shared" si="24"/>
        <v>0</v>
      </c>
      <c r="BR18" s="86">
        <f t="shared" si="25"/>
        <v>0</v>
      </c>
      <c r="BS18" s="86">
        <f t="shared" si="10"/>
        <v>0</v>
      </c>
      <c r="BT18" s="86">
        <f t="shared" si="26"/>
        <v>328229.87882983877</v>
      </c>
      <c r="BU18" s="86">
        <f t="shared" si="44"/>
        <v>2</v>
      </c>
      <c r="BV18" s="214">
        <f t="shared" si="11"/>
        <v>4808.4336752730133</v>
      </c>
    </row>
    <row r="19" spans="2:74" s="86" customFormat="1" x14ac:dyDescent="0.3">
      <c r="B19" s="192">
        <f t="shared" si="27"/>
        <v>8</v>
      </c>
      <c r="C19" s="350">
        <f t="shared" si="12"/>
        <v>2029</v>
      </c>
      <c r="D19" s="351">
        <f t="shared" si="28"/>
        <v>47119</v>
      </c>
      <c r="E19" s="441">
        <f t="shared" si="28"/>
        <v>47483</v>
      </c>
      <c r="F19" s="445">
        <f>IF(AND(B19&gt;0,B19&lt;=Rice_Inputs!$J$17),1,0)</f>
        <v>1</v>
      </c>
      <c r="G19" s="447">
        <f>IF(F19=1,Rice_Inputs!$G$29,0)</f>
        <v>1548837.2093023255</v>
      </c>
      <c r="H19" s="348">
        <f>IF(AND(F18=0,F19=1),100%,IF(AND(F18=0,F19=0),100%,H18-Rice_Inputs!$G$42))*F19</f>
        <v>0.99650000000000039</v>
      </c>
      <c r="I19" s="216">
        <f t="shared" si="29"/>
        <v>1543416.279069768</v>
      </c>
      <c r="J19" s="219">
        <f>Rice_Inputs!$J$11</f>
        <v>0.01</v>
      </c>
      <c r="K19" s="444">
        <f>IF(B19=1,Rice_Inputs!$R$15,K18*(1+Rice_CashFlows!J19))*F19</f>
        <v>1.4531162862752198</v>
      </c>
      <c r="L19" s="338">
        <f>IF(B19=1,Rice_Inputs!$R$16,L18*(1+Rice_CashFlows!J19))*F19</f>
        <v>0</v>
      </c>
      <c r="M19" s="122">
        <f>K19*I19*Rice_Inputs!$J$9</f>
        <v>2242763.3316185796</v>
      </c>
      <c r="N19" s="222">
        <f>L19*I19*Rice_Inputs!$J$10</f>
        <v>0</v>
      </c>
      <c r="O19" s="423">
        <f t="shared" si="30"/>
        <v>0</v>
      </c>
      <c r="P19" s="122">
        <f>SUM(M19:O19)+IF(B19=Rice_Inputs!$J$17,Rice_Inputs!$J$19,0)</f>
        <v>2242763.3316185796</v>
      </c>
      <c r="Q19" s="218">
        <f>IF(B19=1,Rice_Inputs!$O$7,Q18*(1+Rice_Inputs!$N$23))*F19</f>
        <v>1830926.520706777</v>
      </c>
      <c r="R19" s="122">
        <f>IF(B19=1,Rice_Inputs!$O$8,R18*(1+Rice_Inputs!$N$23))*F19</f>
        <v>60179.939126316465</v>
      </c>
      <c r="S19" s="122">
        <f>IF(B19=1,Rice_Inputs!$O$9,S18*(1+Rice_Inputs!$N$23))*F19</f>
        <v>56695.552432308541</v>
      </c>
      <c r="T19" s="122">
        <f>IF(B19=1,Rice_Inputs!$O$10,T18*(1+Rice_Inputs!$N$23))*F19</f>
        <v>26836.151574930758</v>
      </c>
      <c r="U19" s="122">
        <f>IF(B19=1,Rice_Inputs!$O$11,U18*(1+Rice_Inputs!$N$23))*F19</f>
        <v>19768.193958488093</v>
      </c>
      <c r="V19" s="122">
        <f>IF(B19=1,Rice_Inputs!$O$12,V18*(1+Rice_Inputs!$N$23))*F19</f>
        <v>98.902829362222789</v>
      </c>
      <c r="W19" s="122">
        <f>IF(B19=1,Rice_Inputs!$O$13,W18*(1+Rice_Inputs!$N$23))*F19</f>
        <v>0</v>
      </c>
      <c r="X19" s="122">
        <f>IF(B19=1,Rice_Inputs!$O$14,X18*(1+Rice_Inputs!$N$23))*F19</f>
        <v>11253.202868131351</v>
      </c>
      <c r="Y19" s="122">
        <f>IF(B19=1,Rice_Inputs!$O$15,Y18*(1+Rice_Inputs!$N$23))*F19</f>
        <v>11253.202868131351</v>
      </c>
      <c r="Z19" s="122">
        <f>IF(B19=1,Rice_Inputs!$O$16,Z18*(1+Rice_Inputs!$N$23))*F19</f>
        <v>6924.214629926787</v>
      </c>
      <c r="AA19" s="122">
        <f>IF(B19=1,Rice_Inputs!$O$17,AA18*(1+Rice_Inputs!$N$23))*F19</f>
        <v>16605.631267517874</v>
      </c>
      <c r="AB19" s="181">
        <f>IF(B19=1,Rice_Inputs!$O$18,AB18*(1+Rice_Inputs!$N$23))*F19</f>
        <v>0</v>
      </c>
      <c r="AC19" s="482">
        <f>IF(B19=1,Rice_Inputs!$O$19,AC18*(1+Rice_Inputs!$N$23))*F19</f>
        <v>0</v>
      </c>
      <c r="AD19" s="122">
        <f>IF(B19=1,Rice_Inputs!$O$20,AD18*(1+Rice_Inputs!$N$23))*F19</f>
        <v>0</v>
      </c>
      <c r="AE19" s="122">
        <f>IF(B19=1,Rice_Inputs!$O$21,AE18*(1+Rice_Inputs!$N$23))*F19</f>
        <v>0</v>
      </c>
      <c r="AF19" s="132">
        <f>IF(B19=1,Rice_Inputs!$O$22,AF18*(1+Rice_Inputs!$N$23))*F19</f>
        <v>0</v>
      </c>
      <c r="AG19" s="200">
        <f t="shared" si="31"/>
        <v>2040541.5122618903</v>
      </c>
      <c r="AH19" s="86">
        <f t="shared" si="13"/>
        <v>202221.81935668923</v>
      </c>
      <c r="AI19" s="225">
        <f t="shared" si="14"/>
        <v>9.0166365976185187E-2</v>
      </c>
      <c r="AJ19" s="220">
        <f>Deprec!L18</f>
        <v>21152.386150083687</v>
      </c>
      <c r="AK19" s="122">
        <f t="shared" si="32"/>
        <v>181069.43320660555</v>
      </c>
      <c r="AL19" s="221">
        <f t="shared" si="33"/>
        <v>45317.059716117277</v>
      </c>
      <c r="AM19" s="122">
        <f t="shared" si="34"/>
        <v>135752.37349048827</v>
      </c>
      <c r="AN19" s="438">
        <f>IF(AM19&lt;0,0,(AM19*Rice_Inputs!$J$14))</f>
        <v>40725.71204714648</v>
      </c>
      <c r="AO19" s="86">
        <f t="shared" si="35"/>
        <v>95026.661443341785</v>
      </c>
      <c r="AP19" s="226">
        <f t="shared" si="16"/>
        <v>4.2370347376226275E-2</v>
      </c>
      <c r="AS19" s="196">
        <f t="shared" si="17"/>
        <v>2242763.3316185796</v>
      </c>
      <c r="AT19" s="86">
        <f t="shared" si="18"/>
        <v>2040541.5122618903</v>
      </c>
      <c r="AU19" s="197">
        <f t="shared" si="36"/>
        <v>202221.81935668923</v>
      </c>
      <c r="AV19" s="218">
        <f>IF(B19=0,Rice_Inputs!$C$29,0)</f>
        <v>0</v>
      </c>
      <c r="AW19" s="198">
        <f t="shared" si="5"/>
        <v>0</v>
      </c>
      <c r="AX19" s="197">
        <f t="shared" si="6"/>
        <v>202221.81935668923</v>
      </c>
      <c r="AY19" s="184">
        <f>IF(B19=0,Rice_Inputs!$G$15+Rice_Inputs!$G$16,0)</f>
        <v>0</v>
      </c>
      <c r="AZ19" s="185">
        <f>IF(B19=0,Rice_Inputs!$G$14,0)</f>
        <v>0</v>
      </c>
      <c r="BA19" s="132">
        <f t="shared" si="37"/>
        <v>0</v>
      </c>
      <c r="BB19" s="218">
        <f t="shared" si="38"/>
        <v>202221.81935668923</v>
      </c>
      <c r="BC19" s="218">
        <f>Rice_Inputs!$G$20*AVERAGE(BR19,BS19)</f>
        <v>0</v>
      </c>
      <c r="BD19" s="200">
        <f t="shared" si="9"/>
        <v>40725.71204714648</v>
      </c>
      <c r="BE19" s="200">
        <f t="shared" si="19"/>
        <v>202221.81935668923</v>
      </c>
      <c r="BF19" s="86">
        <f t="shared" si="20"/>
        <v>161496.10730954274</v>
      </c>
      <c r="BG19" s="197">
        <f t="shared" si="21"/>
        <v>161496.10730954274</v>
      </c>
      <c r="BH19" s="86">
        <f t="shared" si="39"/>
        <v>196262.70990089769</v>
      </c>
      <c r="BI19" s="86">
        <f t="shared" si="40"/>
        <v>143870.30894803075</v>
      </c>
      <c r="BJ19" s="122">
        <f>-Debt_Calc!AQ17</f>
        <v>45317.059716117277</v>
      </c>
      <c r="BK19" s="122">
        <f>Debt_Calc!AR17</f>
        <v>52392.400952866927</v>
      </c>
      <c r="BL19" s="86">
        <f t="shared" si="22"/>
        <v>97709.460668984204</v>
      </c>
      <c r="BM19" s="423">
        <f t="shared" si="41"/>
        <v>1.6528195550751439</v>
      </c>
      <c r="BN19" s="86">
        <f t="shared" si="42"/>
        <v>63786.646640558538</v>
      </c>
      <c r="BO19" s="86">
        <f t="shared" si="23"/>
        <v>104512.35868770501</v>
      </c>
      <c r="BP19" s="86">
        <f t="shared" si="43"/>
        <v>63786.646640558538</v>
      </c>
      <c r="BQ19" s="86">
        <f t="shared" si="24"/>
        <v>0</v>
      </c>
      <c r="BR19" s="86">
        <f t="shared" si="25"/>
        <v>0</v>
      </c>
      <c r="BS19" s="86">
        <f t="shared" si="10"/>
        <v>0</v>
      </c>
      <c r="BT19" s="86">
        <f t="shared" si="26"/>
        <v>392016.52547039732</v>
      </c>
      <c r="BU19" s="86">
        <f t="shared" si="44"/>
        <v>2</v>
      </c>
      <c r="BV19" s="214">
        <f t="shared" si="11"/>
        <v>3190.2973730159952</v>
      </c>
    </row>
    <row r="20" spans="2:74" s="86" customFormat="1" x14ac:dyDescent="0.3">
      <c r="B20" s="192">
        <f t="shared" si="27"/>
        <v>9</v>
      </c>
      <c r="C20" s="350">
        <f t="shared" si="12"/>
        <v>2030</v>
      </c>
      <c r="D20" s="351">
        <f t="shared" si="28"/>
        <v>47484</v>
      </c>
      <c r="E20" s="441">
        <f t="shared" si="28"/>
        <v>47848</v>
      </c>
      <c r="F20" s="445">
        <f>IF(AND(B20&gt;0,B20&lt;=Rice_Inputs!$J$17),1,0)</f>
        <v>1</v>
      </c>
      <c r="G20" s="447">
        <f>IF(F20=1,Rice_Inputs!$G$29,0)</f>
        <v>1548837.2093023255</v>
      </c>
      <c r="H20" s="348">
        <f>IF(AND(F19=0,F20=1),100%,IF(AND(F19=0,F20=0),100%,H19-Rice_Inputs!$G$42))*F20</f>
        <v>0.99600000000000044</v>
      </c>
      <c r="I20" s="216">
        <f t="shared" si="29"/>
        <v>1542641.8604651168</v>
      </c>
      <c r="J20" s="219">
        <f>Rice_Inputs!$J$11</f>
        <v>0.01</v>
      </c>
      <c r="K20" s="444">
        <f>IF(B20=1,Rice_Inputs!$R$15,K19*(1+Rice_CashFlows!J20))*F20</f>
        <v>1.4676474491379721</v>
      </c>
      <c r="L20" s="338">
        <f>IF(B20=1,Rice_Inputs!$R$16,L19*(1+Rice_CashFlows!J20))*F20</f>
        <v>0</v>
      </c>
      <c r="M20" s="122">
        <f>K20*I20*Rice_Inputs!$J$9</f>
        <v>2264054.391445084</v>
      </c>
      <c r="N20" s="222">
        <f>L20*I20*Rice_Inputs!$J$10</f>
        <v>0</v>
      </c>
      <c r="O20" s="423">
        <f t="shared" si="30"/>
        <v>0</v>
      </c>
      <c r="P20" s="122">
        <f>SUM(M20:O20)+IF(B20=Rice_Inputs!$J$17,Rice_Inputs!$J$19,0)</f>
        <v>2264054.391445084</v>
      </c>
      <c r="Q20" s="218">
        <f>IF(B20=1,Rice_Inputs!$O$7,Q19*(1+Rice_Inputs!$N$23))*F20</f>
        <v>1849235.7859138448</v>
      </c>
      <c r="R20" s="122">
        <f>IF(B20=1,Rice_Inputs!$O$8,R19*(1+Rice_Inputs!$N$23))*F20</f>
        <v>60781.73851757963</v>
      </c>
      <c r="S20" s="122">
        <f>IF(B20=1,Rice_Inputs!$O$9,S19*(1+Rice_Inputs!$N$23))*F20</f>
        <v>57262.507956631627</v>
      </c>
      <c r="T20" s="122">
        <f>IF(B20=1,Rice_Inputs!$O$10,T19*(1+Rice_Inputs!$N$23))*F20</f>
        <v>27104.513090680066</v>
      </c>
      <c r="U20" s="122">
        <f>IF(B20=1,Rice_Inputs!$O$11,U19*(1+Rice_Inputs!$N$23))*F20</f>
        <v>19965.875898072973</v>
      </c>
      <c r="V20" s="122">
        <f>IF(B20=1,Rice_Inputs!$O$12,V19*(1+Rice_Inputs!$N$23))*F20</f>
        <v>99.891857655845016</v>
      </c>
      <c r="W20" s="122">
        <f>IF(B20=1,Rice_Inputs!$O$13,W19*(1+Rice_Inputs!$N$23))*F20</f>
        <v>0</v>
      </c>
      <c r="X20" s="122">
        <f>IF(B20=1,Rice_Inputs!$O$14,X19*(1+Rice_Inputs!$N$23))*F20</f>
        <v>11365.734896812664</v>
      </c>
      <c r="Y20" s="122">
        <f>IF(B20=1,Rice_Inputs!$O$15,Y19*(1+Rice_Inputs!$N$23))*F20</f>
        <v>11365.734896812664</v>
      </c>
      <c r="Z20" s="122">
        <f>IF(B20=1,Rice_Inputs!$O$16,Z19*(1+Rice_Inputs!$N$23))*F20</f>
        <v>6993.4567762260549</v>
      </c>
      <c r="AA20" s="122">
        <f>IF(B20=1,Rice_Inputs!$O$17,AA19*(1+Rice_Inputs!$N$23))*F20</f>
        <v>16771.687580193055</v>
      </c>
      <c r="AB20" s="181">
        <f>IF(B20=1,Rice_Inputs!$O$18,AB19*(1+Rice_Inputs!$N$23))*F20</f>
        <v>0</v>
      </c>
      <c r="AC20" s="482">
        <f>IF(B20=1,Rice_Inputs!$O$19,AC19*(1+Rice_Inputs!$N$23))*F20</f>
        <v>0</v>
      </c>
      <c r="AD20" s="122">
        <f>IF(B20=1,Rice_Inputs!$O$20,AD19*(1+Rice_Inputs!$N$23))*F20</f>
        <v>0</v>
      </c>
      <c r="AE20" s="122">
        <f>IF(B20=1,Rice_Inputs!$O$21,AE19*(1+Rice_Inputs!$N$23))*F20</f>
        <v>0</v>
      </c>
      <c r="AF20" s="132">
        <f>IF(B20=1,Rice_Inputs!$O$22,AF19*(1+Rice_Inputs!$N$23))*F20</f>
        <v>0</v>
      </c>
      <c r="AG20" s="200">
        <f t="shared" si="31"/>
        <v>2060946.9273845095</v>
      </c>
      <c r="AH20" s="86">
        <f t="shared" si="13"/>
        <v>203107.46406057454</v>
      </c>
      <c r="AI20" s="225">
        <f t="shared" si="14"/>
        <v>8.9709622184004426E-2</v>
      </c>
      <c r="AJ20" s="220">
        <f>Deprec!L19</f>
        <v>21152.386150083687</v>
      </c>
      <c r="AK20" s="122">
        <f t="shared" si="32"/>
        <v>181955.07791049086</v>
      </c>
      <c r="AL20" s="221">
        <f t="shared" si="33"/>
        <v>33219.654336100299</v>
      </c>
      <c r="AM20" s="122">
        <f t="shared" si="34"/>
        <v>148735.42357439056</v>
      </c>
      <c r="AN20" s="438">
        <f>IF(AM20&lt;0,0,(AM20*Rice_Inputs!$J$14))</f>
        <v>44620.627072317169</v>
      </c>
      <c r="AO20" s="86">
        <f t="shared" si="35"/>
        <v>104114.79650207338</v>
      </c>
      <c r="AP20" s="226">
        <f t="shared" si="16"/>
        <v>4.5985996138378879E-2</v>
      </c>
      <c r="AS20" s="196">
        <f t="shared" si="17"/>
        <v>2264054.391445084</v>
      </c>
      <c r="AT20" s="86">
        <f t="shared" si="18"/>
        <v>2060946.9273845095</v>
      </c>
      <c r="AU20" s="197">
        <f t="shared" si="36"/>
        <v>203107.46406057454</v>
      </c>
      <c r="AV20" s="218">
        <f>IF(B20=0,Rice_Inputs!$C$29,0)</f>
        <v>0</v>
      </c>
      <c r="AW20" s="198">
        <f t="shared" si="5"/>
        <v>0</v>
      </c>
      <c r="AX20" s="197">
        <f t="shared" si="6"/>
        <v>203107.46406057454</v>
      </c>
      <c r="AY20" s="184">
        <f>IF(B20=0,Rice_Inputs!$G$15+Rice_Inputs!$G$16,0)</f>
        <v>0</v>
      </c>
      <c r="AZ20" s="185">
        <f>IF(B20=0,Rice_Inputs!$G$14,0)</f>
        <v>0</v>
      </c>
      <c r="BA20" s="132">
        <f t="shared" si="37"/>
        <v>0</v>
      </c>
      <c r="BB20" s="218">
        <f t="shared" si="38"/>
        <v>203107.46406057454</v>
      </c>
      <c r="BC20" s="218">
        <f>Rice_Inputs!$G$20*AVERAGE(BR20,BS20)</f>
        <v>0</v>
      </c>
      <c r="BD20" s="200">
        <f t="shared" si="9"/>
        <v>44620.627072317169</v>
      </c>
      <c r="BE20" s="200">
        <f t="shared" si="19"/>
        <v>203107.46406057454</v>
      </c>
      <c r="BF20" s="86">
        <f t="shared" si="20"/>
        <v>158486.83698825736</v>
      </c>
      <c r="BG20" s="197">
        <f t="shared" si="21"/>
        <v>158486.83698825736</v>
      </c>
      <c r="BH20" s="86">
        <f t="shared" si="39"/>
        <v>143870.30894803075</v>
      </c>
      <c r="BI20" s="86">
        <f t="shared" si="40"/>
        <v>79380.502615146848</v>
      </c>
      <c r="BJ20" s="122">
        <f>-Debt_Calc!AQ18</f>
        <v>33219.654336100299</v>
      </c>
      <c r="BK20" s="122">
        <f>Debt_Calc!AR18</f>
        <v>64489.806332883905</v>
      </c>
      <c r="BL20" s="86">
        <f t="shared" si="22"/>
        <v>97709.460668984204</v>
      </c>
      <c r="BM20" s="423">
        <f t="shared" si="41"/>
        <v>1.622021408194771</v>
      </c>
      <c r="BN20" s="86">
        <f t="shared" si="42"/>
        <v>60777.376319273157</v>
      </c>
      <c r="BO20" s="86">
        <f t="shared" si="23"/>
        <v>105398.00339159032</v>
      </c>
      <c r="BP20" s="86">
        <f t="shared" si="43"/>
        <v>60777.376319273157</v>
      </c>
      <c r="BQ20" s="86">
        <f t="shared" si="24"/>
        <v>0</v>
      </c>
      <c r="BR20" s="86">
        <f t="shared" si="25"/>
        <v>0</v>
      </c>
      <c r="BS20" s="86">
        <f t="shared" si="10"/>
        <v>0</v>
      </c>
      <c r="BT20" s="86">
        <f t="shared" si="26"/>
        <v>452793.90178967046</v>
      </c>
      <c r="BU20" s="86">
        <f t="shared" si="44"/>
        <v>2</v>
      </c>
      <c r="BV20" s="214">
        <f t="shared" si="11"/>
        <v>2090.4078019512353</v>
      </c>
    </row>
    <row r="21" spans="2:74" s="86" customFormat="1" x14ac:dyDescent="0.3">
      <c r="B21" s="192">
        <f t="shared" si="27"/>
        <v>10</v>
      </c>
      <c r="C21" s="350">
        <f t="shared" si="12"/>
        <v>2031</v>
      </c>
      <c r="D21" s="351">
        <f t="shared" si="28"/>
        <v>47849</v>
      </c>
      <c r="E21" s="441">
        <f t="shared" si="28"/>
        <v>48213</v>
      </c>
      <c r="F21" s="445">
        <f>IF(AND(B21&gt;0,B21&lt;=Rice_Inputs!$J$17),1,0)</f>
        <v>1</v>
      </c>
      <c r="G21" s="447">
        <f>IF(F21=1,Rice_Inputs!$G$29,0)</f>
        <v>1548837.2093023255</v>
      </c>
      <c r="H21" s="348">
        <f>IF(AND(F20=0,F21=1),100%,IF(AND(F20=0,F21=0),100%,H20-Rice_Inputs!$G$42))*F21</f>
        <v>0.9955000000000005</v>
      </c>
      <c r="I21" s="216">
        <f t="shared" si="29"/>
        <v>1541867.4418604658</v>
      </c>
      <c r="J21" s="219">
        <f>Rice_Inputs!$J$11</f>
        <v>0.01</v>
      </c>
      <c r="K21" s="444">
        <f>IF(B21=1,Rice_Inputs!$R$15,K20*(1+Rice_CashFlows!J21))*F21</f>
        <v>1.4823239236293517</v>
      </c>
      <c r="L21" s="338">
        <f>IF(B21=1,Rice_Inputs!$R$16,L20*(1+Rice_CashFlows!J21))*F21</f>
        <v>0</v>
      </c>
      <c r="M21" s="122">
        <f>K21*I21*Rice_Inputs!$J$9</f>
        <v>2285546.9961349568</v>
      </c>
      <c r="N21" s="222">
        <f>L21*I21*Rice_Inputs!$J$10</f>
        <v>0</v>
      </c>
      <c r="O21" s="423">
        <f t="shared" si="30"/>
        <v>0</v>
      </c>
      <c r="P21" s="122">
        <f>SUM(M21:O21)+IF(B21=Rice_Inputs!$J$17,Rice_Inputs!$J$19,0)</f>
        <v>2285546.9961349568</v>
      </c>
      <c r="Q21" s="218">
        <f>IF(B21=1,Rice_Inputs!$O$7,Q20*(1+Rice_Inputs!$N$23))*F21</f>
        <v>1867728.1437729832</v>
      </c>
      <c r="R21" s="122">
        <f>IF(B21=1,Rice_Inputs!$O$8,R20*(1+Rice_Inputs!$N$23))*F21</f>
        <v>61389.555902755426</v>
      </c>
      <c r="S21" s="122">
        <f>IF(B21=1,Rice_Inputs!$O$9,S20*(1+Rice_Inputs!$N$23))*F21</f>
        <v>57835.133036197942</v>
      </c>
      <c r="T21" s="122">
        <f>IF(B21=1,Rice_Inputs!$O$10,T20*(1+Rice_Inputs!$N$23))*F21</f>
        <v>27375.558221586867</v>
      </c>
      <c r="U21" s="122">
        <f>IF(B21=1,Rice_Inputs!$O$11,U20*(1+Rice_Inputs!$N$23))*F21</f>
        <v>20165.534657053704</v>
      </c>
      <c r="V21" s="122">
        <f>IF(B21=1,Rice_Inputs!$O$12,V20*(1+Rice_Inputs!$N$23))*F21</f>
        <v>100.89077623240347</v>
      </c>
      <c r="W21" s="122">
        <f>IF(B21=1,Rice_Inputs!$O$13,W20*(1+Rice_Inputs!$N$23))*F21</f>
        <v>0</v>
      </c>
      <c r="X21" s="122">
        <f>IF(B21=1,Rice_Inputs!$O$14,X20*(1+Rice_Inputs!$N$23))*F21</f>
        <v>11479.392245780791</v>
      </c>
      <c r="Y21" s="122">
        <f>IF(B21=1,Rice_Inputs!$O$15,Y20*(1+Rice_Inputs!$N$23))*F21</f>
        <v>11479.392245780791</v>
      </c>
      <c r="Z21" s="122">
        <f>IF(B21=1,Rice_Inputs!$O$16,Z20*(1+Rice_Inputs!$N$23))*F21</f>
        <v>7063.3913439883154</v>
      </c>
      <c r="AA21" s="122">
        <f>IF(B21=1,Rice_Inputs!$O$17,AA20*(1+Rice_Inputs!$N$23))*F21</f>
        <v>16939.404455994987</v>
      </c>
      <c r="AB21" s="181">
        <f>IF(B21=1,Rice_Inputs!$O$18,AB20*(1+Rice_Inputs!$N$23))*F21</f>
        <v>0</v>
      </c>
      <c r="AC21" s="482">
        <f>IF(B21=1,Rice_Inputs!$O$19,AC20*(1+Rice_Inputs!$N$23))*F21</f>
        <v>0</v>
      </c>
      <c r="AD21" s="122">
        <f>IF(B21=1,Rice_Inputs!$O$20,AD20*(1+Rice_Inputs!$N$23))*F21</f>
        <v>0</v>
      </c>
      <c r="AE21" s="122">
        <f>IF(B21=1,Rice_Inputs!$O$21,AE20*(1+Rice_Inputs!$N$23))*F21</f>
        <v>0</v>
      </c>
      <c r="AF21" s="132">
        <f>IF(B21=1,Rice_Inputs!$O$22,AF20*(1+Rice_Inputs!$N$23))*F21</f>
        <v>0</v>
      </c>
      <c r="AG21" s="200">
        <f t="shared" si="31"/>
        <v>2081556.396658354</v>
      </c>
      <c r="AH21" s="86">
        <f t="shared" si="13"/>
        <v>203990.59947660286</v>
      </c>
      <c r="AI21" s="225">
        <f t="shared" si="14"/>
        <v>8.9252419583393958E-2</v>
      </c>
      <c r="AJ21" s="220">
        <f>Deprec!L20</f>
        <v>21152.386150083687</v>
      </c>
      <c r="AK21" s="122">
        <f t="shared" si="32"/>
        <v>182838.21332651918</v>
      </c>
      <c r="AL21" s="221">
        <f t="shared" si="33"/>
        <v>18328.958053837407</v>
      </c>
      <c r="AM21" s="122">
        <f t="shared" si="34"/>
        <v>164509.25527268177</v>
      </c>
      <c r="AN21" s="438">
        <f>IF(AM21&lt;0,0,(AM21*Rice_Inputs!$J$14))</f>
        <v>49352.77658180453</v>
      </c>
      <c r="AO21" s="86">
        <f t="shared" si="35"/>
        <v>115156.47869087724</v>
      </c>
      <c r="AP21" s="226">
        <f t="shared" si="16"/>
        <v>5.0384647038812187E-2</v>
      </c>
      <c r="AS21" s="196">
        <f t="shared" si="17"/>
        <v>2285546.9961349568</v>
      </c>
      <c r="AT21" s="86">
        <f t="shared" si="18"/>
        <v>2081556.396658354</v>
      </c>
      <c r="AU21" s="197">
        <f t="shared" si="36"/>
        <v>203990.59947660286</v>
      </c>
      <c r="AV21" s="218">
        <f>IF(B21=0,Rice_Inputs!$C$29,0)</f>
        <v>0</v>
      </c>
      <c r="AW21" s="198">
        <f t="shared" si="5"/>
        <v>0</v>
      </c>
      <c r="AX21" s="197">
        <f t="shared" si="6"/>
        <v>203990.59947660286</v>
      </c>
      <c r="AY21" s="184">
        <f>IF(B21=0,Rice_Inputs!$G$15+Rice_Inputs!$G$16,0)</f>
        <v>0</v>
      </c>
      <c r="AZ21" s="185">
        <f>IF(B21=0,Rice_Inputs!$G$14,0)</f>
        <v>0</v>
      </c>
      <c r="BA21" s="132">
        <f t="shared" si="37"/>
        <v>0</v>
      </c>
      <c r="BB21" s="218">
        <f t="shared" si="38"/>
        <v>203990.59947660286</v>
      </c>
      <c r="BC21" s="218">
        <f>Rice_Inputs!$G$20*AVERAGE(BR21,BS21)</f>
        <v>0</v>
      </c>
      <c r="BD21" s="200">
        <f t="shared" si="9"/>
        <v>49352.77658180453</v>
      </c>
      <c r="BE21" s="200">
        <f t="shared" si="19"/>
        <v>203990.59947660286</v>
      </c>
      <c r="BF21" s="86">
        <f t="shared" si="20"/>
        <v>154637.82289479833</v>
      </c>
      <c r="BG21" s="197">
        <f t="shared" si="21"/>
        <v>154637.82289479833</v>
      </c>
      <c r="BH21" s="86">
        <f t="shared" si="39"/>
        <v>79380.502615146848</v>
      </c>
      <c r="BI21" s="86">
        <f t="shared" si="40"/>
        <v>0</v>
      </c>
      <c r="BJ21" s="122">
        <f>-Debt_Calc!AQ19</f>
        <v>18328.958053837407</v>
      </c>
      <c r="BK21" s="122">
        <f>Debt_Calc!AR19</f>
        <v>79380.502615146834</v>
      </c>
      <c r="BL21" s="86">
        <f t="shared" si="22"/>
        <v>97709.460668984248</v>
      </c>
      <c r="BM21" s="423">
        <f t="shared" si="41"/>
        <v>1.582628967922292</v>
      </c>
      <c r="BN21" s="86">
        <f t="shared" si="42"/>
        <v>56928.362225814082</v>
      </c>
      <c r="BO21" s="86">
        <f t="shared" si="23"/>
        <v>106281.13880761861</v>
      </c>
      <c r="BP21" s="86">
        <f t="shared" si="43"/>
        <v>56928.362225814082</v>
      </c>
      <c r="BQ21" s="86">
        <f t="shared" si="24"/>
        <v>0</v>
      </c>
      <c r="BR21" s="86">
        <f t="shared" si="25"/>
        <v>0</v>
      </c>
      <c r="BS21" s="86">
        <f t="shared" si="10"/>
        <v>0</v>
      </c>
      <c r="BT21" s="86">
        <f t="shared" si="26"/>
        <v>509722.26401548454</v>
      </c>
      <c r="BU21" s="86">
        <f t="shared" si="44"/>
        <v>2</v>
      </c>
      <c r="BV21" s="214">
        <f t="shared" si="11"/>
        <v>1346.4971345658835</v>
      </c>
    </row>
    <row r="22" spans="2:74" s="86" customFormat="1" x14ac:dyDescent="0.3">
      <c r="B22" s="192">
        <f t="shared" si="27"/>
        <v>11</v>
      </c>
      <c r="C22" s="350">
        <f t="shared" si="12"/>
        <v>2032</v>
      </c>
      <c r="D22" s="351">
        <f t="shared" si="28"/>
        <v>48214</v>
      </c>
      <c r="E22" s="441">
        <f t="shared" si="28"/>
        <v>48579</v>
      </c>
      <c r="F22" s="445">
        <f>IF(AND(B22&gt;0,B22&lt;=Rice_Inputs!$J$17),1,0)</f>
        <v>1</v>
      </c>
      <c r="G22" s="447">
        <f>IF(F22=1,Rice_Inputs!$G$29,0)</f>
        <v>1548837.2093023255</v>
      </c>
      <c r="H22" s="348">
        <f>IF(AND(F21=0,F22=1),100%,IF(AND(F21=0,F22=0),100%,H21-Rice_Inputs!$G$42))*F22</f>
        <v>0.99500000000000055</v>
      </c>
      <c r="I22" s="216">
        <f t="shared" si="29"/>
        <v>1541093.0232558148</v>
      </c>
      <c r="J22" s="219">
        <f>Rice_Inputs!$J$11</f>
        <v>0.01</v>
      </c>
      <c r="K22" s="444">
        <f>IF(B22=1,Rice_Inputs!$R$15,K21*(1+Rice_CashFlows!J22))*F22</f>
        <v>1.4971471628656452</v>
      </c>
      <c r="L22" s="338">
        <f>IF(B22=1,Rice_Inputs!$R$16,L21*(1+Rice_CashFlows!J22))*F22</f>
        <v>0</v>
      </c>
      <c r="M22" s="122">
        <f>K22*I22*Rice_Inputs!$J$9</f>
        <v>2307243.0474794828</v>
      </c>
      <c r="N22" s="222">
        <f>L22*I22*Rice_Inputs!$J$10</f>
        <v>0</v>
      </c>
      <c r="O22" s="423">
        <f t="shared" si="30"/>
        <v>0</v>
      </c>
      <c r="P22" s="122">
        <f>SUM(M22:O22)+IF(B22=Rice_Inputs!$J$17,Rice_Inputs!$J$19,0)</f>
        <v>2307243.0474794828</v>
      </c>
      <c r="Q22" s="218">
        <f>IF(B22=1,Rice_Inputs!$O$7,Q21*(1+Rice_Inputs!$N$23))*F22</f>
        <v>1886405.4252107132</v>
      </c>
      <c r="R22" s="122">
        <f>IF(B22=1,Rice_Inputs!$O$8,R21*(1+Rice_Inputs!$N$23))*F22</f>
        <v>62003.451461782985</v>
      </c>
      <c r="S22" s="122">
        <f>IF(B22=1,Rice_Inputs!$O$9,S21*(1+Rice_Inputs!$N$23))*F22</f>
        <v>58413.484366559918</v>
      </c>
      <c r="T22" s="122">
        <f>IF(B22=1,Rice_Inputs!$O$10,T21*(1+Rice_Inputs!$N$23))*F22</f>
        <v>27649.313803802735</v>
      </c>
      <c r="U22" s="122">
        <f>IF(B22=1,Rice_Inputs!$O$11,U21*(1+Rice_Inputs!$N$23))*F22</f>
        <v>20367.19000362424</v>
      </c>
      <c r="V22" s="122">
        <f>IF(B22=1,Rice_Inputs!$O$12,V21*(1+Rice_Inputs!$N$23))*F22</f>
        <v>101.8996839947275</v>
      </c>
      <c r="W22" s="122">
        <f>IF(B22=1,Rice_Inputs!$O$13,W21*(1+Rice_Inputs!$N$23))*F22</f>
        <v>0</v>
      </c>
      <c r="X22" s="122">
        <f>IF(B22=1,Rice_Inputs!$O$14,X21*(1+Rice_Inputs!$N$23))*F22</f>
        <v>11594.186168238599</v>
      </c>
      <c r="Y22" s="122">
        <f>IF(B22=1,Rice_Inputs!$O$15,Y21*(1+Rice_Inputs!$N$23))*F22</f>
        <v>11594.186168238599</v>
      </c>
      <c r="Z22" s="122">
        <f>IF(B22=1,Rice_Inputs!$O$16,Z21*(1+Rice_Inputs!$N$23))*F22</f>
        <v>7134.0252574281985</v>
      </c>
      <c r="AA22" s="122">
        <f>IF(B22=1,Rice_Inputs!$O$17,AA21*(1+Rice_Inputs!$N$23))*F22</f>
        <v>17108.798500554938</v>
      </c>
      <c r="AB22" s="181">
        <f>IF(B22=1,Rice_Inputs!$O$18,AB21*(1+Rice_Inputs!$N$23))*F22</f>
        <v>0</v>
      </c>
      <c r="AC22" s="482">
        <f>IF(B22=1,Rice_Inputs!$O$19,AC21*(1+Rice_Inputs!$N$23))*F22</f>
        <v>0</v>
      </c>
      <c r="AD22" s="122">
        <f>IF(B22=1,Rice_Inputs!$O$20,AD21*(1+Rice_Inputs!$N$23))*F22</f>
        <v>0</v>
      </c>
      <c r="AE22" s="122">
        <f>IF(B22=1,Rice_Inputs!$O$21,AE21*(1+Rice_Inputs!$N$23))*F22</f>
        <v>0</v>
      </c>
      <c r="AF22" s="132">
        <f>IF(B22=1,Rice_Inputs!$O$22,AF21*(1+Rice_Inputs!$N$23))*F22</f>
        <v>0</v>
      </c>
      <c r="AG22" s="200">
        <f t="shared" si="31"/>
        <v>2102371.9606249379</v>
      </c>
      <c r="AH22" s="86">
        <f t="shared" si="13"/>
        <v>204871.08685454493</v>
      </c>
      <c r="AI22" s="225">
        <f t="shared" si="14"/>
        <v>8.8794757482682049E-2</v>
      </c>
      <c r="AJ22" s="220">
        <f>Deprec!L21</f>
        <v>21152.386150083687</v>
      </c>
      <c r="AK22" s="122">
        <f t="shared" si="32"/>
        <v>183718.70070446125</v>
      </c>
      <c r="AL22" s="221">
        <f t="shared" si="33"/>
        <v>0</v>
      </c>
      <c r="AM22" s="122">
        <f t="shared" si="34"/>
        <v>183718.70070446125</v>
      </c>
      <c r="AN22" s="438">
        <f>IF(AM22&lt;0,0,(AM22*Rice_Inputs!$J$14))</f>
        <v>55115.610211338375</v>
      </c>
      <c r="AO22" s="86">
        <f t="shared" si="35"/>
        <v>128603.09049312287</v>
      </c>
      <c r="AP22" s="226">
        <f t="shared" si="16"/>
        <v>5.5738857089032569E-2</v>
      </c>
      <c r="AS22" s="196">
        <f t="shared" si="17"/>
        <v>2307243.0474794828</v>
      </c>
      <c r="AT22" s="86">
        <f t="shared" si="18"/>
        <v>2102371.9606249379</v>
      </c>
      <c r="AU22" s="197">
        <f t="shared" si="36"/>
        <v>204871.08685454493</v>
      </c>
      <c r="AV22" s="218">
        <f>IF(B22=0,Rice_Inputs!$C$29,0)</f>
        <v>0</v>
      </c>
      <c r="AW22" s="198">
        <f t="shared" si="5"/>
        <v>0</v>
      </c>
      <c r="AX22" s="197">
        <f t="shared" si="6"/>
        <v>204871.08685454493</v>
      </c>
      <c r="AY22" s="184">
        <f>IF(B22=0,Rice_Inputs!$G$15+Rice_Inputs!$G$16,0)</f>
        <v>0</v>
      </c>
      <c r="AZ22" s="185">
        <f>IF(B22=0,Rice_Inputs!$G$14,0)</f>
        <v>0</v>
      </c>
      <c r="BA22" s="132">
        <f t="shared" si="37"/>
        <v>0</v>
      </c>
      <c r="BB22" s="218">
        <f t="shared" si="38"/>
        <v>204871.08685454493</v>
      </c>
      <c r="BC22" s="218">
        <f>Rice_Inputs!$G$20*AVERAGE(BR22,BS22)</f>
        <v>0</v>
      </c>
      <c r="BD22" s="200">
        <f t="shared" si="9"/>
        <v>55115.610211338375</v>
      </c>
      <c r="BE22" s="200">
        <f t="shared" si="19"/>
        <v>204871.08685454493</v>
      </c>
      <c r="BF22" s="86">
        <f t="shared" si="20"/>
        <v>149755.47664320655</v>
      </c>
      <c r="BG22" s="197">
        <f t="shared" si="21"/>
        <v>149755.47664320655</v>
      </c>
      <c r="BH22" s="86">
        <f t="shared" si="39"/>
        <v>0</v>
      </c>
      <c r="BI22" s="86">
        <f t="shared" si="40"/>
        <v>0</v>
      </c>
      <c r="BJ22" s="122">
        <f>-Debt_Calc!AQ20</f>
        <v>0</v>
      </c>
      <c r="BK22" s="122">
        <f>Debt_Calc!AR20</f>
        <v>0</v>
      </c>
      <c r="BL22" s="86">
        <f t="shared" si="22"/>
        <v>0</v>
      </c>
      <c r="BM22" s="423">
        <f t="shared" si="41"/>
        <v>0</v>
      </c>
      <c r="BN22" s="86">
        <f t="shared" si="42"/>
        <v>149755.47664320655</v>
      </c>
      <c r="BO22" s="86">
        <f t="shared" si="23"/>
        <v>204871.08685454493</v>
      </c>
      <c r="BP22" s="86">
        <f t="shared" si="43"/>
        <v>149755.47664320655</v>
      </c>
      <c r="BQ22" s="86">
        <f t="shared" si="24"/>
        <v>0</v>
      </c>
      <c r="BR22" s="86">
        <f t="shared" si="25"/>
        <v>0</v>
      </c>
      <c r="BS22" s="86">
        <f t="shared" si="10"/>
        <v>0</v>
      </c>
      <c r="BT22" s="86">
        <f t="shared" si="26"/>
        <v>659477.74065869115</v>
      </c>
      <c r="BU22" s="86">
        <f t="shared" si="44"/>
        <v>2</v>
      </c>
      <c r="BV22" s="214">
        <f t="shared" si="11"/>
        <v>2435.830880092763</v>
      </c>
    </row>
    <row r="23" spans="2:74" s="86" customFormat="1" x14ac:dyDescent="0.3">
      <c r="B23" s="192">
        <f t="shared" si="27"/>
        <v>12</v>
      </c>
      <c r="C23" s="350">
        <f t="shared" si="12"/>
        <v>2033</v>
      </c>
      <c r="D23" s="351">
        <f t="shared" si="28"/>
        <v>48580</v>
      </c>
      <c r="E23" s="441">
        <f t="shared" si="28"/>
        <v>48944</v>
      </c>
      <c r="F23" s="445">
        <f>IF(AND(B23&gt;0,B23&lt;=Rice_Inputs!$J$17),1,0)</f>
        <v>1</v>
      </c>
      <c r="G23" s="447">
        <f>IF(F23=1,Rice_Inputs!$G$29,0)</f>
        <v>1548837.2093023255</v>
      </c>
      <c r="H23" s="348">
        <f>IF(AND(F22=0,F23=1),100%,IF(AND(F22=0,F23=0),100%,H22-Rice_Inputs!$G$42))*F23</f>
        <v>0.99450000000000061</v>
      </c>
      <c r="I23" s="216">
        <f t="shared" si="29"/>
        <v>1540318.6046511636</v>
      </c>
      <c r="J23" s="219">
        <f>Rice_Inputs!$J$11</f>
        <v>0.01</v>
      </c>
      <c r="K23" s="444">
        <f>IF(B23=1,Rice_Inputs!$R$15,K22*(1+Rice_CashFlows!J23))*F23</f>
        <v>1.5121186344943016</v>
      </c>
      <c r="L23" s="338">
        <f>IF(B23=1,Rice_Inputs!$R$16,L22*(1+Rice_CashFlows!J23))*F23</f>
        <v>0</v>
      </c>
      <c r="M23" s="122">
        <f>K23*I23*Rice_Inputs!$J$9</f>
        <v>2329144.4651512853</v>
      </c>
      <c r="N23" s="222">
        <f>L23*I23*Rice_Inputs!$J$10</f>
        <v>0</v>
      </c>
      <c r="O23" s="423">
        <f t="shared" si="30"/>
        <v>0</v>
      </c>
      <c r="P23" s="122">
        <f>SUM(M23:O23)+IF(B23=Rice_Inputs!$J$17,Rice_Inputs!$J$19,0)</f>
        <v>2329144.4651512853</v>
      </c>
      <c r="Q23" s="218">
        <f>IF(B23=1,Rice_Inputs!$O$7,Q22*(1+Rice_Inputs!$N$23))*F23</f>
        <v>1905269.4794628203</v>
      </c>
      <c r="R23" s="122">
        <f>IF(B23=1,Rice_Inputs!$O$8,R22*(1+Rice_Inputs!$N$23))*F23</f>
        <v>62623.485976400814</v>
      </c>
      <c r="S23" s="122">
        <f>IF(B23=1,Rice_Inputs!$O$9,S22*(1+Rice_Inputs!$N$23))*F23</f>
        <v>58997.619210225515</v>
      </c>
      <c r="T23" s="122">
        <f>IF(B23=1,Rice_Inputs!$O$10,T22*(1+Rice_Inputs!$N$23))*F23</f>
        <v>27925.806941840761</v>
      </c>
      <c r="U23" s="122">
        <f>IF(B23=1,Rice_Inputs!$O$11,U22*(1+Rice_Inputs!$N$23))*F23</f>
        <v>20570.861903660483</v>
      </c>
      <c r="V23" s="122">
        <f>IF(B23=1,Rice_Inputs!$O$12,V22*(1+Rice_Inputs!$N$23))*F23</f>
        <v>102.91868083467477</v>
      </c>
      <c r="W23" s="122">
        <f>IF(B23=1,Rice_Inputs!$O$13,W22*(1+Rice_Inputs!$N$23))*F23</f>
        <v>0</v>
      </c>
      <c r="X23" s="122">
        <f>IF(B23=1,Rice_Inputs!$O$14,X22*(1+Rice_Inputs!$N$23))*F23</f>
        <v>11710.128029920985</v>
      </c>
      <c r="Y23" s="122">
        <f>IF(B23=1,Rice_Inputs!$O$15,Y22*(1+Rice_Inputs!$N$23))*F23</f>
        <v>11710.128029920985</v>
      </c>
      <c r="Z23" s="122">
        <f>IF(B23=1,Rice_Inputs!$O$16,Z22*(1+Rice_Inputs!$N$23))*F23</f>
        <v>7205.3655100024807</v>
      </c>
      <c r="AA23" s="122">
        <f>IF(B23=1,Rice_Inputs!$O$17,AA22*(1+Rice_Inputs!$N$23))*F23</f>
        <v>17279.886485560488</v>
      </c>
      <c r="AB23" s="181">
        <f>IF(B23=1,Rice_Inputs!$O$18,AB22*(1+Rice_Inputs!$N$23))*F23</f>
        <v>0</v>
      </c>
      <c r="AC23" s="482">
        <f>IF(B23=1,Rice_Inputs!$O$19,AC22*(1+Rice_Inputs!$N$23))*F23</f>
        <v>0</v>
      </c>
      <c r="AD23" s="122">
        <f>IF(B23=1,Rice_Inputs!$O$20,AD22*(1+Rice_Inputs!$N$23))*F23</f>
        <v>0</v>
      </c>
      <c r="AE23" s="122">
        <f>IF(B23=1,Rice_Inputs!$O$21,AE22*(1+Rice_Inputs!$N$23))*F23</f>
        <v>0</v>
      </c>
      <c r="AF23" s="132">
        <f>IF(B23=1,Rice_Inputs!$O$22,AF22*(1+Rice_Inputs!$N$23))*F23</f>
        <v>0</v>
      </c>
      <c r="AG23" s="200">
        <f t="shared" si="31"/>
        <v>2123395.6802311875</v>
      </c>
      <c r="AH23" s="86">
        <f t="shared" si="13"/>
        <v>205748.78492009779</v>
      </c>
      <c r="AI23" s="225">
        <f t="shared" si="14"/>
        <v>8.833663518880687E-2</v>
      </c>
      <c r="AJ23" s="220">
        <f>Deprec!L22</f>
        <v>21152.386150083687</v>
      </c>
      <c r="AK23" s="122">
        <f t="shared" si="32"/>
        <v>184596.39877001412</v>
      </c>
      <c r="AL23" s="221">
        <f t="shared" si="33"/>
        <v>0</v>
      </c>
      <c r="AM23" s="122">
        <f t="shared" si="34"/>
        <v>184596.39877001412</v>
      </c>
      <c r="AN23" s="438">
        <f>IF(AM23&lt;0,0,(AM23*Rice_Inputs!$J$14))</f>
        <v>55378.919631004232</v>
      </c>
      <c r="AO23" s="86">
        <f t="shared" si="35"/>
        <v>129217.47913900988</v>
      </c>
      <c r="AP23" s="226">
        <f t="shared" si="16"/>
        <v>5.5478516284569235E-2</v>
      </c>
      <c r="AS23" s="196">
        <f t="shared" si="17"/>
        <v>2329144.4651512853</v>
      </c>
      <c r="AT23" s="86">
        <f t="shared" si="18"/>
        <v>2123395.6802311875</v>
      </c>
      <c r="AU23" s="197">
        <f t="shared" si="36"/>
        <v>205748.78492009779</v>
      </c>
      <c r="AV23" s="218">
        <f>IF(B23=0,Rice_Inputs!$C$29,0)</f>
        <v>0</v>
      </c>
      <c r="AW23" s="198">
        <f t="shared" si="5"/>
        <v>0</v>
      </c>
      <c r="AX23" s="197">
        <f t="shared" si="6"/>
        <v>205748.78492009779</v>
      </c>
      <c r="AY23" s="184">
        <f>IF(B23=0,Rice_Inputs!$G$15+Rice_Inputs!$G$16,0)</f>
        <v>0</v>
      </c>
      <c r="AZ23" s="185">
        <f>IF(B23=0,Rice_Inputs!$G$14,0)</f>
        <v>0</v>
      </c>
      <c r="BA23" s="132">
        <f t="shared" si="37"/>
        <v>0</v>
      </c>
      <c r="BB23" s="218">
        <f t="shared" si="38"/>
        <v>205748.78492009779</v>
      </c>
      <c r="BC23" s="218">
        <f>Rice_Inputs!$G$20*AVERAGE(BR23,BS23)</f>
        <v>0</v>
      </c>
      <c r="BD23" s="200">
        <f t="shared" si="9"/>
        <v>55378.919631004232</v>
      </c>
      <c r="BE23" s="200">
        <f t="shared" si="19"/>
        <v>205748.78492009779</v>
      </c>
      <c r="BF23" s="86">
        <f t="shared" si="20"/>
        <v>150369.86528909358</v>
      </c>
      <c r="BG23" s="197">
        <f t="shared" si="21"/>
        <v>150369.86528909358</v>
      </c>
      <c r="BH23" s="86">
        <f t="shared" si="39"/>
        <v>0</v>
      </c>
      <c r="BI23" s="86">
        <f t="shared" si="40"/>
        <v>0</v>
      </c>
      <c r="BJ23" s="122">
        <f>-Debt_Calc!AQ21</f>
        <v>0</v>
      </c>
      <c r="BK23" s="122">
        <f>Debt_Calc!AR21</f>
        <v>0</v>
      </c>
      <c r="BL23" s="86">
        <f t="shared" si="22"/>
        <v>0</v>
      </c>
      <c r="BM23" s="423">
        <f t="shared" si="41"/>
        <v>0</v>
      </c>
      <c r="BN23" s="86">
        <f t="shared" si="42"/>
        <v>150369.86528909358</v>
      </c>
      <c r="BO23" s="86">
        <f t="shared" si="23"/>
        <v>205748.78492009779</v>
      </c>
      <c r="BP23" s="86">
        <f t="shared" si="43"/>
        <v>150369.86528909358</v>
      </c>
      <c r="BQ23" s="86">
        <f t="shared" si="24"/>
        <v>0</v>
      </c>
      <c r="BR23" s="86">
        <f t="shared" si="25"/>
        <v>0</v>
      </c>
      <c r="BS23" s="86">
        <f t="shared" si="10"/>
        <v>0</v>
      </c>
      <c r="BT23" s="86">
        <f t="shared" si="26"/>
        <v>809847.60594778473</v>
      </c>
      <c r="BU23" s="86">
        <f t="shared" si="44"/>
        <v>2</v>
      </c>
      <c r="BV23" s="214">
        <f t="shared" si="11"/>
        <v>1681.9493105997171</v>
      </c>
    </row>
    <row r="24" spans="2:74" s="86" customFormat="1" x14ac:dyDescent="0.3">
      <c r="B24" s="192">
        <f t="shared" si="27"/>
        <v>13</v>
      </c>
      <c r="C24" s="350">
        <f t="shared" si="12"/>
        <v>2034</v>
      </c>
      <c r="D24" s="351">
        <f t="shared" si="28"/>
        <v>48945</v>
      </c>
      <c r="E24" s="441">
        <f t="shared" si="28"/>
        <v>49309</v>
      </c>
      <c r="F24" s="445">
        <f>IF(AND(B24&gt;0,B24&lt;=Rice_Inputs!$J$17),1,0)</f>
        <v>1</v>
      </c>
      <c r="G24" s="447">
        <f>IF(F24=1,Rice_Inputs!$G$29,0)</f>
        <v>1548837.2093023255</v>
      </c>
      <c r="H24" s="348">
        <f>IF(AND(F23=0,F24=1),100%,IF(AND(F23=0,F24=0),100%,H23-Rice_Inputs!$G$42))*F24</f>
        <v>0.99400000000000066</v>
      </c>
      <c r="I24" s="216">
        <f t="shared" si="29"/>
        <v>1539544.1860465126</v>
      </c>
      <c r="J24" s="219">
        <f>Rice_Inputs!$J$11</f>
        <v>0.01</v>
      </c>
      <c r="K24" s="444">
        <f>IF(B24=1,Rice_Inputs!$R$15,K23*(1+Rice_CashFlows!J24))*F24</f>
        <v>1.5272398208392446</v>
      </c>
      <c r="L24" s="338">
        <f>IF(B24=1,Rice_Inputs!$R$16,L23*(1+Rice_CashFlows!J24))*F24</f>
        <v>0</v>
      </c>
      <c r="M24" s="122">
        <f>K24*I24*Rice_Inputs!$J$9</f>
        <v>2351253.1868717764</v>
      </c>
      <c r="N24" s="222">
        <f>L24*I24*Rice_Inputs!$J$10</f>
        <v>0</v>
      </c>
      <c r="O24" s="423">
        <f t="shared" si="30"/>
        <v>0</v>
      </c>
      <c r="P24" s="122">
        <f>SUM(M24:O24)+IF(B24=Rice_Inputs!$J$17,Rice_Inputs!$J$19,0)</f>
        <v>2351253.1868717764</v>
      </c>
      <c r="Q24" s="218">
        <f>IF(B24=1,Rice_Inputs!$O$7,Q23*(1+Rice_Inputs!$N$23))*F24</f>
        <v>1924322.1742574486</v>
      </c>
      <c r="R24" s="122">
        <f>IF(B24=1,Rice_Inputs!$O$8,R23*(1+Rice_Inputs!$N$23))*F24</f>
        <v>63249.720836164823</v>
      </c>
      <c r="S24" s="122">
        <f>IF(B24=1,Rice_Inputs!$O$9,S23*(1+Rice_Inputs!$N$23))*F24</f>
        <v>59587.595402327774</v>
      </c>
      <c r="T24" s="122">
        <f>IF(B24=1,Rice_Inputs!$O$10,T23*(1+Rice_Inputs!$N$23))*F24</f>
        <v>28205.065011259168</v>
      </c>
      <c r="U24" s="122">
        <f>IF(B24=1,Rice_Inputs!$O$11,U23*(1+Rice_Inputs!$N$23))*F24</f>
        <v>20776.570522697089</v>
      </c>
      <c r="V24" s="122">
        <f>IF(B24=1,Rice_Inputs!$O$12,V23*(1+Rice_Inputs!$N$23))*F24</f>
        <v>103.94786764302152</v>
      </c>
      <c r="W24" s="122">
        <f>IF(B24=1,Rice_Inputs!$O$13,W23*(1+Rice_Inputs!$N$23))*F24</f>
        <v>0</v>
      </c>
      <c r="X24" s="122">
        <f>IF(B24=1,Rice_Inputs!$O$14,X23*(1+Rice_Inputs!$N$23))*F24</f>
        <v>11827.229310220195</v>
      </c>
      <c r="Y24" s="122">
        <f>IF(B24=1,Rice_Inputs!$O$15,Y23*(1+Rice_Inputs!$N$23))*F24</f>
        <v>11827.229310220195</v>
      </c>
      <c r="Z24" s="122">
        <f>IF(B24=1,Rice_Inputs!$O$16,Z23*(1+Rice_Inputs!$N$23))*F24</f>
        <v>7277.4191651025058</v>
      </c>
      <c r="AA24" s="122">
        <f>IF(B24=1,Rice_Inputs!$O$17,AA23*(1+Rice_Inputs!$N$23))*F24</f>
        <v>17452.685350416094</v>
      </c>
      <c r="AB24" s="181">
        <f>IF(B24=1,Rice_Inputs!$O$18,AB23*(1+Rice_Inputs!$N$23))*F24</f>
        <v>0</v>
      </c>
      <c r="AC24" s="482">
        <f>IF(B24=1,Rice_Inputs!$O$19,AC23*(1+Rice_Inputs!$N$23))*F24</f>
        <v>0</v>
      </c>
      <c r="AD24" s="122">
        <f>IF(B24=1,Rice_Inputs!$O$20,AD23*(1+Rice_Inputs!$N$23))*F24</f>
        <v>0</v>
      </c>
      <c r="AE24" s="122">
        <f>IF(B24=1,Rice_Inputs!$O$21,AE23*(1+Rice_Inputs!$N$23))*F24</f>
        <v>0</v>
      </c>
      <c r="AF24" s="132">
        <f>IF(B24=1,Rice_Inputs!$O$22,AF23*(1+Rice_Inputs!$N$23))*F24</f>
        <v>0</v>
      </c>
      <c r="AG24" s="200">
        <f t="shared" si="31"/>
        <v>2144629.6370334998</v>
      </c>
      <c r="AH24" s="86">
        <f t="shared" si="13"/>
        <v>206623.54983827658</v>
      </c>
      <c r="AI24" s="225">
        <f t="shared" si="14"/>
        <v>8.7878052007312232E-2</v>
      </c>
      <c r="AJ24" s="220">
        <f>Deprec!L23</f>
        <v>21152.386150083687</v>
      </c>
      <c r="AK24" s="122">
        <f t="shared" si="32"/>
        <v>185471.1636881929</v>
      </c>
      <c r="AL24" s="221">
        <f t="shared" si="33"/>
        <v>0</v>
      </c>
      <c r="AM24" s="122">
        <f t="shared" si="34"/>
        <v>185471.1636881929</v>
      </c>
      <c r="AN24" s="438">
        <f>IF(AM24&lt;0,0,(AM24*Rice_Inputs!$J$14))</f>
        <v>55641.34910645787</v>
      </c>
      <c r="AO24" s="86">
        <f t="shared" si="35"/>
        <v>129829.81458173503</v>
      </c>
      <c r="AP24" s="226">
        <f t="shared" si="16"/>
        <v>5.5217283832570595E-2</v>
      </c>
      <c r="AS24" s="196">
        <f t="shared" si="17"/>
        <v>2351253.1868717764</v>
      </c>
      <c r="AT24" s="86">
        <f t="shared" si="18"/>
        <v>2144629.6370334998</v>
      </c>
      <c r="AU24" s="197">
        <f t="shared" si="36"/>
        <v>206623.54983827658</v>
      </c>
      <c r="AV24" s="218">
        <f>IF(B24=0,Rice_Inputs!$C$29,0)</f>
        <v>0</v>
      </c>
      <c r="AW24" s="198">
        <f t="shared" si="5"/>
        <v>0</v>
      </c>
      <c r="AX24" s="197">
        <f t="shared" si="6"/>
        <v>206623.54983827658</v>
      </c>
      <c r="AY24" s="184">
        <f>IF(B24=0,Rice_Inputs!$G$15+Rice_Inputs!$G$16,0)</f>
        <v>0</v>
      </c>
      <c r="AZ24" s="185">
        <f>IF(B24=0,Rice_Inputs!$G$14,0)</f>
        <v>0</v>
      </c>
      <c r="BA24" s="132">
        <f t="shared" si="37"/>
        <v>0</v>
      </c>
      <c r="BB24" s="218">
        <f t="shared" si="38"/>
        <v>206623.54983827658</v>
      </c>
      <c r="BC24" s="218">
        <f>Rice_Inputs!$G$20*AVERAGE(BR24,BS24)</f>
        <v>0</v>
      </c>
      <c r="BD24" s="200">
        <f t="shared" si="9"/>
        <v>55641.34910645787</v>
      </c>
      <c r="BE24" s="200">
        <f t="shared" si="19"/>
        <v>206623.54983827658</v>
      </c>
      <c r="BF24" s="86">
        <f t="shared" si="20"/>
        <v>150982.20073181871</v>
      </c>
      <c r="BG24" s="197">
        <f t="shared" si="21"/>
        <v>150982.20073181871</v>
      </c>
      <c r="BH24" s="86">
        <f t="shared" si="39"/>
        <v>0</v>
      </c>
      <c r="BI24" s="86">
        <f t="shared" si="40"/>
        <v>0</v>
      </c>
      <c r="BJ24" s="122">
        <f>-Debt_Calc!AQ22</f>
        <v>0</v>
      </c>
      <c r="BK24" s="122">
        <f>Debt_Calc!AR22</f>
        <v>0</v>
      </c>
      <c r="BL24" s="86">
        <f t="shared" si="22"/>
        <v>0</v>
      </c>
      <c r="BM24" s="423">
        <f t="shared" si="41"/>
        <v>0</v>
      </c>
      <c r="BN24" s="86">
        <f t="shared" si="42"/>
        <v>150982.20073181871</v>
      </c>
      <c r="BO24" s="86">
        <f t="shared" si="23"/>
        <v>206623.54983827658</v>
      </c>
      <c r="BP24" s="86">
        <f t="shared" si="43"/>
        <v>150982.20073181871</v>
      </c>
      <c r="BQ24" s="86">
        <f t="shared" si="24"/>
        <v>0</v>
      </c>
      <c r="BR24" s="86">
        <f t="shared" si="25"/>
        <v>0</v>
      </c>
      <c r="BS24" s="86">
        <f t="shared" si="10"/>
        <v>0</v>
      </c>
      <c r="BT24" s="86">
        <f t="shared" si="26"/>
        <v>960829.80667960341</v>
      </c>
      <c r="BU24" s="86">
        <f t="shared" si="44"/>
        <v>2</v>
      </c>
      <c r="BV24" s="214">
        <f t="shared" si="11"/>
        <v>1161.3564019668383</v>
      </c>
    </row>
    <row r="25" spans="2:74" s="86" customFormat="1" x14ac:dyDescent="0.3">
      <c r="B25" s="192">
        <f t="shared" si="27"/>
        <v>14</v>
      </c>
      <c r="C25" s="350">
        <f t="shared" si="12"/>
        <v>2035</v>
      </c>
      <c r="D25" s="351">
        <f t="shared" si="28"/>
        <v>49310</v>
      </c>
      <c r="E25" s="441">
        <f t="shared" si="28"/>
        <v>49674</v>
      </c>
      <c r="F25" s="445">
        <f>IF(AND(B25&gt;0,B25&lt;=Rice_Inputs!$J$17),1,0)</f>
        <v>1</v>
      </c>
      <c r="G25" s="447">
        <f>IF(F25=1,Rice_Inputs!$G$29,0)</f>
        <v>1548837.2093023255</v>
      </c>
      <c r="H25" s="348">
        <f>IF(AND(F24=0,F25=1),100%,IF(AND(F24=0,F25=0),100%,H24-Rice_Inputs!$G$42))*F25</f>
        <v>0.99350000000000072</v>
      </c>
      <c r="I25" s="216">
        <f t="shared" si="29"/>
        <v>1538769.7674418616</v>
      </c>
      <c r="J25" s="219">
        <f>Rice_Inputs!$J$11</f>
        <v>0.01</v>
      </c>
      <c r="K25" s="444">
        <f>IF(B25=1,Rice_Inputs!$R$15,K24*(1+Rice_CashFlows!J25))*F25</f>
        <v>1.542512219047637</v>
      </c>
      <c r="L25" s="338">
        <f>IF(B25=1,Rice_Inputs!$R$16,L24*(1+Rice_CashFlows!J25))*F25</f>
        <v>0</v>
      </c>
      <c r="M25" s="122">
        <f>K25*I25*Rice_Inputs!$J$9</f>
        <v>2373571.1685801623</v>
      </c>
      <c r="N25" s="222">
        <f>L25*I25*Rice_Inputs!$J$10</f>
        <v>0</v>
      </c>
      <c r="O25" s="423">
        <f t="shared" si="30"/>
        <v>0</v>
      </c>
      <c r="P25" s="122">
        <f>SUM(M25:O25)+IF(B25=Rice_Inputs!$J$17,Rice_Inputs!$J$19,0)</f>
        <v>2373571.1685801623</v>
      </c>
      <c r="Q25" s="218">
        <f>IF(B25=1,Rice_Inputs!$O$7,Q24*(1+Rice_Inputs!$N$23))*F25</f>
        <v>1943565.3960000232</v>
      </c>
      <c r="R25" s="122">
        <f>IF(B25=1,Rice_Inputs!$O$8,R24*(1+Rice_Inputs!$N$23))*F25</f>
        <v>63882.218044526475</v>
      </c>
      <c r="S25" s="122">
        <f>IF(B25=1,Rice_Inputs!$O$9,S24*(1+Rice_Inputs!$N$23))*F25</f>
        <v>60183.471356351052</v>
      </c>
      <c r="T25" s="122">
        <f>IF(B25=1,Rice_Inputs!$O$10,T24*(1+Rice_Inputs!$N$23))*F25</f>
        <v>28487.115661371761</v>
      </c>
      <c r="U25" s="122">
        <f>IF(B25=1,Rice_Inputs!$O$11,U24*(1+Rice_Inputs!$N$23))*F25</f>
        <v>20984.336227924061</v>
      </c>
      <c r="V25" s="122">
        <f>IF(B25=1,Rice_Inputs!$O$12,V24*(1+Rice_Inputs!$N$23))*F25</f>
        <v>104.98734631945175</v>
      </c>
      <c r="W25" s="122">
        <f>IF(B25=1,Rice_Inputs!$O$13,W24*(1+Rice_Inputs!$N$23))*F25</f>
        <v>0</v>
      </c>
      <c r="X25" s="122">
        <f>IF(B25=1,Rice_Inputs!$O$14,X24*(1+Rice_Inputs!$N$23))*F25</f>
        <v>11945.501603322396</v>
      </c>
      <c r="Y25" s="122">
        <f>IF(B25=1,Rice_Inputs!$O$15,Y24*(1+Rice_Inputs!$N$23))*F25</f>
        <v>11945.501603322396</v>
      </c>
      <c r="Z25" s="122">
        <f>IF(B25=1,Rice_Inputs!$O$16,Z24*(1+Rice_Inputs!$N$23))*F25</f>
        <v>7350.1933567535307</v>
      </c>
      <c r="AA25" s="122">
        <f>IF(B25=1,Rice_Inputs!$O$17,AA24*(1+Rice_Inputs!$N$23))*F25</f>
        <v>17627.212203920255</v>
      </c>
      <c r="AB25" s="181">
        <f>IF(B25=1,Rice_Inputs!$O$18,AB24*(1+Rice_Inputs!$N$23))*F25</f>
        <v>0</v>
      </c>
      <c r="AC25" s="482">
        <f>IF(B25=1,Rice_Inputs!$O$19,AC24*(1+Rice_Inputs!$N$23))*F25</f>
        <v>0</v>
      </c>
      <c r="AD25" s="122">
        <f>IF(B25=1,Rice_Inputs!$O$20,AD24*(1+Rice_Inputs!$N$23))*F25</f>
        <v>0</v>
      </c>
      <c r="AE25" s="122">
        <f>IF(B25=1,Rice_Inputs!$O$21,AE24*(1+Rice_Inputs!$N$23))*F25</f>
        <v>0</v>
      </c>
      <c r="AF25" s="132">
        <f>IF(B25=1,Rice_Inputs!$O$22,AF24*(1+Rice_Inputs!$N$23))*F25</f>
        <v>0</v>
      </c>
      <c r="AG25" s="200">
        <f t="shared" si="31"/>
        <v>2166075.9334038347</v>
      </c>
      <c r="AH25" s="86">
        <f t="shared" si="13"/>
        <v>207495.23517632764</v>
      </c>
      <c r="AI25" s="225">
        <f t="shared" si="14"/>
        <v>8.7419007242343791E-2</v>
      </c>
      <c r="AJ25" s="220">
        <f>Deprec!L24</f>
        <v>21152.386150083687</v>
      </c>
      <c r="AK25" s="122">
        <f t="shared" si="32"/>
        <v>186342.84902624396</v>
      </c>
      <c r="AL25" s="221">
        <f t="shared" si="33"/>
        <v>0</v>
      </c>
      <c r="AM25" s="122">
        <f t="shared" si="34"/>
        <v>186342.84902624396</v>
      </c>
      <c r="AN25" s="438">
        <f>IF(AM25&lt;0,0,(AM25*Rice_Inputs!$J$14))</f>
        <v>55902.854707873186</v>
      </c>
      <c r="AO25" s="86">
        <f t="shared" si="35"/>
        <v>130439.99431837077</v>
      </c>
      <c r="AP25" s="226">
        <f t="shared" si="16"/>
        <v>5.4955164624955477E-2</v>
      </c>
      <c r="AS25" s="196">
        <f t="shared" si="17"/>
        <v>2373571.1685801623</v>
      </c>
      <c r="AT25" s="86">
        <f t="shared" si="18"/>
        <v>2166075.9334038347</v>
      </c>
      <c r="AU25" s="197">
        <f t="shared" si="36"/>
        <v>207495.23517632764</v>
      </c>
      <c r="AV25" s="218">
        <f>IF(B25=0,Rice_Inputs!$C$29,0)</f>
        <v>0</v>
      </c>
      <c r="AW25" s="198">
        <f t="shared" si="5"/>
        <v>0</v>
      </c>
      <c r="AX25" s="197">
        <f t="shared" si="6"/>
        <v>207495.23517632764</v>
      </c>
      <c r="AY25" s="184">
        <f>IF(B25=0,Rice_Inputs!$G$15+Rice_Inputs!$G$16,0)</f>
        <v>0</v>
      </c>
      <c r="AZ25" s="185">
        <f>IF(B25=0,Rice_Inputs!$G$14,0)</f>
        <v>0</v>
      </c>
      <c r="BA25" s="132">
        <f t="shared" si="37"/>
        <v>0</v>
      </c>
      <c r="BB25" s="218">
        <f t="shared" si="38"/>
        <v>207495.23517632764</v>
      </c>
      <c r="BC25" s="218">
        <f>Rice_Inputs!$G$20*AVERAGE(BR25,BS25)</f>
        <v>0</v>
      </c>
      <c r="BD25" s="200">
        <f t="shared" si="9"/>
        <v>55902.854707873186</v>
      </c>
      <c r="BE25" s="200">
        <f t="shared" si="19"/>
        <v>207495.23517632764</v>
      </c>
      <c r="BF25" s="86">
        <f t="shared" si="20"/>
        <v>151592.38046845444</v>
      </c>
      <c r="BG25" s="197">
        <f t="shared" si="21"/>
        <v>151592.38046845444</v>
      </c>
      <c r="BH25" s="86">
        <f t="shared" si="39"/>
        <v>0</v>
      </c>
      <c r="BI25" s="86">
        <f t="shared" si="40"/>
        <v>0</v>
      </c>
      <c r="BJ25" s="122">
        <f>-Debt_Calc!AQ23</f>
        <v>0</v>
      </c>
      <c r="BK25" s="122">
        <f>Debt_Calc!AR23</f>
        <v>0</v>
      </c>
      <c r="BL25" s="86">
        <f t="shared" si="22"/>
        <v>0</v>
      </c>
      <c r="BM25" s="423">
        <f t="shared" si="41"/>
        <v>0</v>
      </c>
      <c r="BN25" s="86">
        <f t="shared" si="42"/>
        <v>151592.38046845444</v>
      </c>
      <c r="BO25" s="86">
        <f t="shared" si="23"/>
        <v>207495.23517632764</v>
      </c>
      <c r="BP25" s="86">
        <f t="shared" si="43"/>
        <v>151592.38046845444</v>
      </c>
      <c r="BQ25" s="86">
        <f t="shared" si="24"/>
        <v>0</v>
      </c>
      <c r="BR25" s="86">
        <f t="shared" si="25"/>
        <v>0</v>
      </c>
      <c r="BS25" s="86">
        <f t="shared" si="10"/>
        <v>0</v>
      </c>
      <c r="BT25" s="86">
        <f t="shared" si="26"/>
        <v>1112422.1871480579</v>
      </c>
      <c r="BU25" s="86">
        <f t="shared" si="44"/>
        <v>2</v>
      </c>
      <c r="BV25" s="214">
        <f t="shared" si="11"/>
        <v>801.87156638574902</v>
      </c>
    </row>
    <row r="26" spans="2:74" s="86" customFormat="1" x14ac:dyDescent="0.3">
      <c r="B26" s="192">
        <f t="shared" si="27"/>
        <v>15</v>
      </c>
      <c r="C26" s="350">
        <f t="shared" si="12"/>
        <v>2036</v>
      </c>
      <c r="D26" s="351">
        <f t="shared" si="28"/>
        <v>49675</v>
      </c>
      <c r="E26" s="441">
        <f t="shared" si="28"/>
        <v>50040</v>
      </c>
      <c r="F26" s="445">
        <f>IF(AND(B26&gt;0,B26&lt;=Rice_Inputs!$J$17),1,0)</f>
        <v>1</v>
      </c>
      <c r="G26" s="447">
        <f>IF(F26=1,Rice_Inputs!$G$29,0)</f>
        <v>1548837.2093023255</v>
      </c>
      <c r="H26" s="348">
        <f>IF(AND(F25=0,F26=1),100%,IF(AND(F25=0,F26=0),100%,H25-Rice_Inputs!$G$42))*F26</f>
        <v>0.99300000000000077</v>
      </c>
      <c r="I26" s="216">
        <f t="shared" si="29"/>
        <v>1537995.3488372103</v>
      </c>
      <c r="J26" s="219">
        <f>Rice_Inputs!$J$11</f>
        <v>0.01</v>
      </c>
      <c r="K26" s="444">
        <f>IF(B26=1,Rice_Inputs!$R$15,K25*(1+Rice_CashFlows!J26))*F26</f>
        <v>1.5579373412381134</v>
      </c>
      <c r="L26" s="338">
        <f>IF(B26=1,Rice_Inputs!$R$16,L25*(1+Rice_CashFlows!J26))*F26</f>
        <v>0</v>
      </c>
      <c r="M26" s="122">
        <f>K26*I26*Rice_Inputs!$J$9</f>
        <v>2396100.3846040284</v>
      </c>
      <c r="N26" s="222">
        <f>L26*I26*Rice_Inputs!$J$10</f>
        <v>0</v>
      </c>
      <c r="O26" s="423">
        <f t="shared" si="30"/>
        <v>0</v>
      </c>
      <c r="P26" s="122">
        <f>SUM(M26:O26)+IF(B26=Rice_Inputs!$J$17,Rice_Inputs!$J$19,0)</f>
        <v>2396100.3846040284</v>
      </c>
      <c r="Q26" s="218">
        <f>IF(B26=1,Rice_Inputs!$O$7,Q25*(1+Rice_Inputs!$N$23))*F26</f>
        <v>1963001.0499600235</v>
      </c>
      <c r="R26" s="122">
        <f>IF(B26=1,Rice_Inputs!$O$8,R25*(1+Rice_Inputs!$N$23))*F26</f>
        <v>64521.040224971737</v>
      </c>
      <c r="S26" s="122">
        <f>IF(B26=1,Rice_Inputs!$O$9,S25*(1+Rice_Inputs!$N$23))*F26</f>
        <v>60785.306069914564</v>
      </c>
      <c r="T26" s="122">
        <f>IF(B26=1,Rice_Inputs!$O$10,T25*(1+Rice_Inputs!$N$23))*F26</f>
        <v>28771.986817985478</v>
      </c>
      <c r="U26" s="122">
        <f>IF(B26=1,Rice_Inputs!$O$11,U25*(1+Rice_Inputs!$N$23))*F26</f>
        <v>21194.179590203301</v>
      </c>
      <c r="V26" s="122">
        <f>IF(B26=1,Rice_Inputs!$O$12,V25*(1+Rice_Inputs!$N$23))*F26</f>
        <v>106.03721978264626</v>
      </c>
      <c r="W26" s="122">
        <f>IF(B26=1,Rice_Inputs!$O$13,W25*(1+Rice_Inputs!$N$23))*F26</f>
        <v>0</v>
      </c>
      <c r="X26" s="122">
        <f>IF(B26=1,Rice_Inputs!$O$14,X25*(1+Rice_Inputs!$N$23))*F26</f>
        <v>12064.95661935562</v>
      </c>
      <c r="Y26" s="122">
        <f>IF(B26=1,Rice_Inputs!$O$15,Y25*(1+Rice_Inputs!$N$23))*F26</f>
        <v>12064.95661935562</v>
      </c>
      <c r="Z26" s="122">
        <f>IF(B26=1,Rice_Inputs!$O$16,Z25*(1+Rice_Inputs!$N$23))*F26</f>
        <v>7423.6952903210658</v>
      </c>
      <c r="AA26" s="122">
        <f>IF(B26=1,Rice_Inputs!$O$17,AA25*(1+Rice_Inputs!$N$23))*F26</f>
        <v>17803.484325959456</v>
      </c>
      <c r="AB26" s="181">
        <f>IF(B26=1,Rice_Inputs!$O$18,AB25*(1+Rice_Inputs!$N$23))*F26</f>
        <v>0</v>
      </c>
      <c r="AC26" s="482">
        <f>IF(B26=1,Rice_Inputs!$O$19,AC25*(1+Rice_Inputs!$N$23))*F26</f>
        <v>0</v>
      </c>
      <c r="AD26" s="122">
        <f>IF(B26=1,Rice_Inputs!$O$20,AD25*(1+Rice_Inputs!$N$23))*F26</f>
        <v>0</v>
      </c>
      <c r="AE26" s="122">
        <f>IF(B26=1,Rice_Inputs!$O$21,AE25*(1+Rice_Inputs!$N$23))*F26</f>
        <v>0</v>
      </c>
      <c r="AF26" s="132">
        <f>IF(B26=1,Rice_Inputs!$O$22,AF25*(1+Rice_Inputs!$N$23))*F26</f>
        <v>0</v>
      </c>
      <c r="AG26" s="200">
        <f t="shared" si="31"/>
        <v>2187736.6927378732</v>
      </c>
      <c r="AH26" s="86">
        <f t="shared" si="13"/>
        <v>208363.69186615525</v>
      </c>
      <c r="AI26" s="225">
        <f t="shared" si="14"/>
        <v>8.6959500196645029E-2</v>
      </c>
      <c r="AJ26" s="220">
        <f>Deprec!L25</f>
        <v>21152.386150083687</v>
      </c>
      <c r="AK26" s="122">
        <f t="shared" si="32"/>
        <v>187211.30571607157</v>
      </c>
      <c r="AL26" s="221">
        <f t="shared" si="33"/>
        <v>0</v>
      </c>
      <c r="AM26" s="122">
        <f t="shared" si="34"/>
        <v>187211.30571607157</v>
      </c>
      <c r="AN26" s="438">
        <f>IF(AM26&lt;0,0,(AM26*Rice_Inputs!$J$14))</f>
        <v>56163.391714821468</v>
      </c>
      <c r="AO26" s="86">
        <f t="shared" si="35"/>
        <v>131047.9140012501</v>
      </c>
      <c r="AP26" s="226">
        <f t="shared" si="16"/>
        <v>5.4692163501700135E-2</v>
      </c>
      <c r="AS26" s="196">
        <f t="shared" si="17"/>
        <v>2396100.3846040284</v>
      </c>
      <c r="AT26" s="86">
        <f t="shared" si="18"/>
        <v>2187736.6927378732</v>
      </c>
      <c r="AU26" s="197">
        <f t="shared" si="36"/>
        <v>208363.69186615525</v>
      </c>
      <c r="AV26" s="218">
        <f>IF(B26=0,Rice_Inputs!$C$29,0)</f>
        <v>0</v>
      </c>
      <c r="AW26" s="198">
        <f t="shared" si="5"/>
        <v>0</v>
      </c>
      <c r="AX26" s="197">
        <f t="shared" si="6"/>
        <v>208363.69186615525</v>
      </c>
      <c r="AY26" s="184">
        <f>IF(B26=0,Rice_Inputs!$G$15+Rice_Inputs!$G$16,0)</f>
        <v>0</v>
      </c>
      <c r="AZ26" s="185">
        <f>IF(B26=0,Rice_Inputs!$G$14,0)</f>
        <v>0</v>
      </c>
      <c r="BA26" s="132">
        <f t="shared" si="37"/>
        <v>0</v>
      </c>
      <c r="BB26" s="218">
        <f t="shared" si="38"/>
        <v>208363.69186615525</v>
      </c>
      <c r="BC26" s="218">
        <f>Rice_Inputs!$G$20*AVERAGE(BR26,BS26)</f>
        <v>0</v>
      </c>
      <c r="BD26" s="200">
        <f t="shared" si="9"/>
        <v>56163.391714821468</v>
      </c>
      <c r="BE26" s="200">
        <f t="shared" si="19"/>
        <v>208363.69186615525</v>
      </c>
      <c r="BF26" s="86">
        <f t="shared" si="20"/>
        <v>152200.30015133379</v>
      </c>
      <c r="BG26" s="197">
        <f t="shared" si="21"/>
        <v>152200.30015133379</v>
      </c>
      <c r="BH26" s="86">
        <f t="shared" si="39"/>
        <v>0</v>
      </c>
      <c r="BI26" s="86">
        <f t="shared" si="40"/>
        <v>0</v>
      </c>
      <c r="BJ26" s="122">
        <f>-Debt_Calc!AQ24</f>
        <v>0</v>
      </c>
      <c r="BK26" s="122">
        <f>Debt_Calc!AR24</f>
        <v>0</v>
      </c>
      <c r="BL26" s="86">
        <f t="shared" si="22"/>
        <v>0</v>
      </c>
      <c r="BM26" s="423">
        <f t="shared" si="41"/>
        <v>0</v>
      </c>
      <c r="BN26" s="86">
        <f t="shared" si="42"/>
        <v>152200.30015133379</v>
      </c>
      <c r="BO26" s="86">
        <f t="shared" si="23"/>
        <v>208363.69186615525</v>
      </c>
      <c r="BP26" s="86">
        <f t="shared" si="43"/>
        <v>152200.30015133379</v>
      </c>
      <c r="BQ26" s="86">
        <f t="shared" si="24"/>
        <v>0</v>
      </c>
      <c r="BR26" s="86">
        <f t="shared" si="25"/>
        <v>0</v>
      </c>
      <c r="BS26" s="86">
        <f t="shared" si="10"/>
        <v>0</v>
      </c>
      <c r="BT26" s="86">
        <f t="shared" si="26"/>
        <v>1264622.4872993915</v>
      </c>
      <c r="BU26" s="86">
        <f t="shared" si="44"/>
        <v>2</v>
      </c>
      <c r="BV26" s="214">
        <f t="shared" si="11"/>
        <v>553.64403425907506</v>
      </c>
    </row>
    <row r="27" spans="2:74" s="86" customFormat="1" x14ac:dyDescent="0.3">
      <c r="B27" s="192">
        <f t="shared" si="27"/>
        <v>16</v>
      </c>
      <c r="C27" s="350">
        <f t="shared" si="12"/>
        <v>2037</v>
      </c>
      <c r="D27" s="351">
        <f t="shared" si="28"/>
        <v>50041</v>
      </c>
      <c r="E27" s="441">
        <f t="shared" si="28"/>
        <v>50405</v>
      </c>
      <c r="F27" s="445">
        <f>IF(AND(B27&gt;0,B27&lt;=Rice_Inputs!$J$17),1,0)</f>
        <v>1</v>
      </c>
      <c r="G27" s="447">
        <f>IF(F27=1,Rice_Inputs!$G$29,0)</f>
        <v>1548837.2093023255</v>
      </c>
      <c r="H27" s="348">
        <f>IF(AND(F26=0,F27=1),100%,IF(AND(F26=0,F27=0),100%,H26-Rice_Inputs!$G$42))*F27</f>
        <v>0.99250000000000083</v>
      </c>
      <c r="I27" s="216">
        <f t="shared" si="29"/>
        <v>1537220.9302325593</v>
      </c>
      <c r="J27" s="219">
        <f>Rice_Inputs!$J$11</f>
        <v>0.01</v>
      </c>
      <c r="K27" s="444">
        <f>IF(B27=1,Rice_Inputs!$R$15,K26*(1+Rice_CashFlows!J27))*F27</f>
        <v>1.5735167146504947</v>
      </c>
      <c r="L27" s="338">
        <f>IF(B27=1,Rice_Inputs!$R$16,L26*(1+Rice_CashFlows!J27))*F27</f>
        <v>0</v>
      </c>
      <c r="M27" s="122">
        <f>K27*I27*Rice_Inputs!$J$9</f>
        <v>2418842.8278315142</v>
      </c>
      <c r="N27" s="222">
        <f>L27*I27*Rice_Inputs!$J$10</f>
        <v>0</v>
      </c>
      <c r="O27" s="423">
        <f t="shared" si="30"/>
        <v>0</v>
      </c>
      <c r="P27" s="122">
        <f>SUM(M27:O27)+IF(B27=Rice_Inputs!$J$17,Rice_Inputs!$J$19,0)</f>
        <v>2418842.8278315142</v>
      </c>
      <c r="Q27" s="218">
        <f>IF(B27=1,Rice_Inputs!$O$7,Q26*(1+Rice_Inputs!$N$23))*F27</f>
        <v>1982631.0604596238</v>
      </c>
      <c r="R27" s="122">
        <f>IF(B27=1,Rice_Inputs!$O$8,R26*(1+Rice_Inputs!$N$23))*F27</f>
        <v>65166.250627221452</v>
      </c>
      <c r="S27" s="122">
        <f>IF(B27=1,Rice_Inputs!$O$9,S26*(1+Rice_Inputs!$N$23))*F27</f>
        <v>61393.159130613712</v>
      </c>
      <c r="T27" s="122">
        <f>IF(B27=1,Rice_Inputs!$O$10,T26*(1+Rice_Inputs!$N$23))*F27</f>
        <v>29059.706686165333</v>
      </c>
      <c r="U27" s="122">
        <f>IF(B27=1,Rice_Inputs!$O$11,U26*(1+Rice_Inputs!$N$23))*F27</f>
        <v>21406.121386105333</v>
      </c>
      <c r="V27" s="122">
        <f>IF(B27=1,Rice_Inputs!$O$12,V26*(1+Rice_Inputs!$N$23))*F27</f>
        <v>107.09759198047273</v>
      </c>
      <c r="W27" s="122">
        <f>IF(B27=1,Rice_Inputs!$O$13,W26*(1+Rice_Inputs!$N$23))*F27</f>
        <v>0</v>
      </c>
      <c r="X27" s="122">
        <f>IF(B27=1,Rice_Inputs!$O$14,X26*(1+Rice_Inputs!$N$23))*F27</f>
        <v>12185.606185549177</v>
      </c>
      <c r="Y27" s="122">
        <f>IF(B27=1,Rice_Inputs!$O$15,Y26*(1+Rice_Inputs!$N$23))*F27</f>
        <v>12185.606185549177</v>
      </c>
      <c r="Z27" s="122">
        <f>IF(B27=1,Rice_Inputs!$O$16,Z26*(1+Rice_Inputs!$N$23))*F27</f>
        <v>7497.9322432242761</v>
      </c>
      <c r="AA27" s="122">
        <f>IF(B27=1,Rice_Inputs!$O$17,AA26*(1+Rice_Inputs!$N$23))*F27</f>
        <v>17981.519169219053</v>
      </c>
      <c r="AB27" s="181">
        <f>IF(B27=1,Rice_Inputs!$O$18,AB26*(1+Rice_Inputs!$N$23))*F27</f>
        <v>0</v>
      </c>
      <c r="AC27" s="482">
        <f>IF(B27=1,Rice_Inputs!$O$19,AC26*(1+Rice_Inputs!$N$23))*F27</f>
        <v>0</v>
      </c>
      <c r="AD27" s="122">
        <f>IF(B27=1,Rice_Inputs!$O$20,AD26*(1+Rice_Inputs!$N$23))*F27</f>
        <v>0</v>
      </c>
      <c r="AE27" s="122">
        <f>IF(B27=1,Rice_Inputs!$O$21,AE26*(1+Rice_Inputs!$N$23))*F27</f>
        <v>0</v>
      </c>
      <c r="AF27" s="132">
        <f>IF(B27=1,Rice_Inputs!$O$22,AF26*(1+Rice_Inputs!$N$23))*F27</f>
        <v>0</v>
      </c>
      <c r="AG27" s="200">
        <f t="shared" si="31"/>
        <v>2209614.0596652515</v>
      </c>
      <c r="AH27" s="86">
        <f t="shared" si="13"/>
        <v>209228.76816626266</v>
      </c>
      <c r="AI27" s="225">
        <f t="shared" si="14"/>
        <v>8.6499530171555483E-2</v>
      </c>
      <c r="AJ27" s="220">
        <f>Deprec!L26</f>
        <v>21152.386150083687</v>
      </c>
      <c r="AK27" s="122">
        <f t="shared" si="32"/>
        <v>188076.38201617898</v>
      </c>
      <c r="AL27" s="221">
        <f t="shared" si="33"/>
        <v>0</v>
      </c>
      <c r="AM27" s="122">
        <f t="shared" si="34"/>
        <v>188076.38201617898</v>
      </c>
      <c r="AN27" s="438">
        <f>IF(AM27&lt;0,0,(AM27*Rice_Inputs!$J$14))</f>
        <v>56422.914604853693</v>
      </c>
      <c r="AO27" s="86">
        <f t="shared" si="35"/>
        <v>131653.46741132528</v>
      </c>
      <c r="AP27" s="226">
        <f t="shared" si="16"/>
        <v>5.4428285251320874E-2</v>
      </c>
      <c r="AS27" s="196">
        <f t="shared" si="17"/>
        <v>2418842.8278315142</v>
      </c>
      <c r="AT27" s="86">
        <f t="shared" si="18"/>
        <v>2209614.0596652515</v>
      </c>
      <c r="AU27" s="197">
        <f t="shared" si="36"/>
        <v>209228.76816626266</v>
      </c>
      <c r="AV27" s="218">
        <f>IF(B27=0,Rice_Inputs!$C$29,0)</f>
        <v>0</v>
      </c>
      <c r="AW27" s="198">
        <f t="shared" si="5"/>
        <v>0</v>
      </c>
      <c r="AX27" s="197">
        <f t="shared" si="6"/>
        <v>209228.76816626266</v>
      </c>
      <c r="AY27" s="184">
        <f>IF(B27=0,Rice_Inputs!$G$15+Rice_Inputs!$G$16,0)</f>
        <v>0</v>
      </c>
      <c r="AZ27" s="185">
        <f>IF(B27=0,Rice_Inputs!$G$14,0)</f>
        <v>0</v>
      </c>
      <c r="BA27" s="132">
        <f t="shared" si="37"/>
        <v>0</v>
      </c>
      <c r="BB27" s="218">
        <f t="shared" si="38"/>
        <v>209228.76816626266</v>
      </c>
      <c r="BC27" s="218">
        <f>Rice_Inputs!$G$20*AVERAGE(BR27,BS27)</f>
        <v>0</v>
      </c>
      <c r="BD27" s="200">
        <f t="shared" si="9"/>
        <v>56422.914604853693</v>
      </c>
      <c r="BE27" s="200">
        <f t="shared" si="19"/>
        <v>209228.76816626266</v>
      </c>
      <c r="BF27" s="86">
        <f t="shared" si="20"/>
        <v>152805.85356140896</v>
      </c>
      <c r="BG27" s="197">
        <f t="shared" si="21"/>
        <v>152805.85356140896</v>
      </c>
      <c r="BH27" s="86">
        <f t="shared" si="39"/>
        <v>0</v>
      </c>
      <c r="BI27" s="86">
        <f t="shared" si="40"/>
        <v>0</v>
      </c>
      <c r="BJ27" s="122">
        <f>-Debt_Calc!AQ25</f>
        <v>0</v>
      </c>
      <c r="BK27" s="122">
        <f>Debt_Calc!AR25</f>
        <v>0</v>
      </c>
      <c r="BL27" s="86">
        <f t="shared" si="22"/>
        <v>0</v>
      </c>
      <c r="BM27" s="423">
        <f t="shared" si="41"/>
        <v>0</v>
      </c>
      <c r="BN27" s="86">
        <f t="shared" si="42"/>
        <v>152805.85356140896</v>
      </c>
      <c r="BO27" s="86">
        <f t="shared" si="23"/>
        <v>209228.76816626266</v>
      </c>
      <c r="BP27" s="86">
        <f t="shared" si="43"/>
        <v>152805.85356140896</v>
      </c>
      <c r="BQ27" s="86">
        <f t="shared" si="24"/>
        <v>0</v>
      </c>
      <c r="BR27" s="86">
        <f t="shared" si="25"/>
        <v>0</v>
      </c>
      <c r="BS27" s="86">
        <f t="shared" si="10"/>
        <v>0</v>
      </c>
      <c r="BT27" s="86">
        <f t="shared" si="26"/>
        <v>1417428.3408608006</v>
      </c>
      <c r="BU27" s="86">
        <f t="shared" si="44"/>
        <v>2</v>
      </c>
      <c r="BV27" s="214">
        <f t="shared" si="11"/>
        <v>382.24585192450729</v>
      </c>
    </row>
    <row r="28" spans="2:74" s="86" customFormat="1" x14ac:dyDescent="0.3">
      <c r="B28" s="192">
        <f t="shared" si="27"/>
        <v>17</v>
      </c>
      <c r="C28" s="350">
        <f t="shared" si="12"/>
        <v>2038</v>
      </c>
      <c r="D28" s="351">
        <f t="shared" si="28"/>
        <v>50406</v>
      </c>
      <c r="E28" s="441">
        <f t="shared" si="28"/>
        <v>50770</v>
      </c>
      <c r="F28" s="445">
        <f>IF(AND(B28&gt;0,B28&lt;=Rice_Inputs!$J$17),1,0)</f>
        <v>1</v>
      </c>
      <c r="G28" s="447">
        <f>IF(F28=1,Rice_Inputs!$G$29,0)</f>
        <v>1548837.2093023255</v>
      </c>
      <c r="H28" s="348">
        <f>IF(AND(F27=0,F28=1),100%,IF(AND(F27=0,F28=0),100%,H27-Rice_Inputs!$G$42))*F28</f>
        <v>0.99200000000000088</v>
      </c>
      <c r="I28" s="216">
        <f t="shared" si="29"/>
        <v>1536446.5116279083</v>
      </c>
      <c r="J28" s="219">
        <f>Rice_Inputs!$J$11</f>
        <v>0.01</v>
      </c>
      <c r="K28" s="444">
        <f>IF(B28=1,Rice_Inputs!$R$15,K27*(1+Rice_CashFlows!J28))*F28</f>
        <v>1.5892518817969996</v>
      </c>
      <c r="L28" s="338">
        <f>IF(B28=1,Rice_Inputs!$R$16,L27*(1+Rice_CashFlows!J28))*F28</f>
        <v>0</v>
      </c>
      <c r="M28" s="122">
        <f>K28*I28*Rice_Inputs!$J$9</f>
        <v>2441800.509885089</v>
      </c>
      <c r="N28" s="222">
        <f>L28*I28*Rice_Inputs!$J$10</f>
        <v>0</v>
      </c>
      <c r="O28" s="423">
        <f t="shared" si="30"/>
        <v>0</v>
      </c>
      <c r="P28" s="122">
        <f>SUM(M28:O28)+IF(B28=Rice_Inputs!$J$17,Rice_Inputs!$J$19,0)</f>
        <v>2441800.509885089</v>
      </c>
      <c r="Q28" s="218">
        <f>IF(B28=1,Rice_Inputs!$O$7,Q27*(1+Rice_Inputs!$N$23))*F28</f>
        <v>2002457.3710642201</v>
      </c>
      <c r="R28" s="122">
        <f>IF(B28=1,Rice_Inputs!$O$8,R27*(1+Rice_Inputs!$N$23))*F28</f>
        <v>65817.913133493668</v>
      </c>
      <c r="S28" s="122">
        <f>IF(B28=1,Rice_Inputs!$O$9,S27*(1+Rice_Inputs!$N$23))*F28</f>
        <v>62007.090721919849</v>
      </c>
      <c r="T28" s="122">
        <f>IF(B28=1,Rice_Inputs!$O$10,T27*(1+Rice_Inputs!$N$23))*F28</f>
        <v>29350.303753026987</v>
      </c>
      <c r="U28" s="122">
        <f>IF(B28=1,Rice_Inputs!$O$11,U27*(1+Rice_Inputs!$N$23))*F28</f>
        <v>21620.182599966385</v>
      </c>
      <c r="V28" s="122">
        <f>IF(B28=1,Rice_Inputs!$O$12,V27*(1+Rice_Inputs!$N$23))*F28</f>
        <v>108.16856790027745</v>
      </c>
      <c r="W28" s="122">
        <f>IF(B28=1,Rice_Inputs!$O$13,W27*(1+Rice_Inputs!$N$23))*F28</f>
        <v>0</v>
      </c>
      <c r="X28" s="122">
        <f>IF(B28=1,Rice_Inputs!$O$14,X27*(1+Rice_Inputs!$N$23))*F28</f>
        <v>12307.462247404668</v>
      </c>
      <c r="Y28" s="122">
        <f>IF(B28=1,Rice_Inputs!$O$15,Y27*(1+Rice_Inputs!$N$23))*F28</f>
        <v>12307.462247404668</v>
      </c>
      <c r="Z28" s="122">
        <f>IF(B28=1,Rice_Inputs!$O$16,Z27*(1+Rice_Inputs!$N$23))*F28</f>
        <v>7572.9115656565191</v>
      </c>
      <c r="AA28" s="122">
        <f>IF(B28=1,Rice_Inputs!$O$17,AA27*(1+Rice_Inputs!$N$23))*F28</f>
        <v>18161.334360911245</v>
      </c>
      <c r="AB28" s="181">
        <f>IF(B28=1,Rice_Inputs!$O$18,AB27*(1+Rice_Inputs!$N$23))*F28</f>
        <v>0</v>
      </c>
      <c r="AC28" s="482">
        <f>IF(B28=1,Rice_Inputs!$O$19,AC27*(1+Rice_Inputs!$N$23))*F28</f>
        <v>0</v>
      </c>
      <c r="AD28" s="122">
        <f>IF(B28=1,Rice_Inputs!$O$20,AD27*(1+Rice_Inputs!$N$23))*F28</f>
        <v>0</v>
      </c>
      <c r="AE28" s="122">
        <f>IF(B28=1,Rice_Inputs!$O$21,AE27*(1+Rice_Inputs!$N$23))*F28</f>
        <v>0</v>
      </c>
      <c r="AF28" s="132">
        <f>IF(B28=1,Rice_Inputs!$O$22,AF27*(1+Rice_Inputs!$N$23))*F28</f>
        <v>0</v>
      </c>
      <c r="AG28" s="200">
        <f t="shared" si="31"/>
        <v>2231710.2002619035</v>
      </c>
      <c r="AH28" s="86">
        <f t="shared" si="13"/>
        <v>210090.30962318555</v>
      </c>
      <c r="AI28" s="225">
        <f t="shared" si="14"/>
        <v>8.6039096467005152E-2</v>
      </c>
      <c r="AJ28" s="220">
        <f>Deprec!L27</f>
        <v>21152.386150083687</v>
      </c>
      <c r="AK28" s="122">
        <f t="shared" si="32"/>
        <v>188937.92347310187</v>
      </c>
      <c r="AL28" s="221">
        <f t="shared" si="33"/>
        <v>0</v>
      </c>
      <c r="AM28" s="122">
        <f t="shared" si="34"/>
        <v>188937.92347310187</v>
      </c>
      <c r="AN28" s="438">
        <f>IF(AM28&lt;0,0,(AM28*Rice_Inputs!$J$14))</f>
        <v>56681.377041930558</v>
      </c>
      <c r="AO28" s="86">
        <f t="shared" si="35"/>
        <v>132256.5464311713</v>
      </c>
      <c r="AP28" s="226">
        <f t="shared" si="16"/>
        <v>5.4163534611349262E-2</v>
      </c>
      <c r="AS28" s="196">
        <f t="shared" si="17"/>
        <v>2441800.509885089</v>
      </c>
      <c r="AT28" s="86">
        <f t="shared" si="18"/>
        <v>2231710.2002619035</v>
      </c>
      <c r="AU28" s="197">
        <f t="shared" si="36"/>
        <v>210090.30962318555</v>
      </c>
      <c r="AV28" s="218">
        <f>IF(B28=0,Rice_Inputs!$C$29,0)</f>
        <v>0</v>
      </c>
      <c r="AW28" s="198">
        <f t="shared" si="5"/>
        <v>0</v>
      </c>
      <c r="AX28" s="197">
        <f t="shared" si="6"/>
        <v>210090.30962318555</v>
      </c>
      <c r="AY28" s="184">
        <f>IF(B28=0,Rice_Inputs!$G$15+Rice_Inputs!$G$16,0)</f>
        <v>0</v>
      </c>
      <c r="AZ28" s="185">
        <f>IF(B28=0,Rice_Inputs!$G$14,0)</f>
        <v>0</v>
      </c>
      <c r="BA28" s="132">
        <f t="shared" si="37"/>
        <v>0</v>
      </c>
      <c r="BB28" s="218">
        <f t="shared" si="38"/>
        <v>210090.30962318555</v>
      </c>
      <c r="BC28" s="218">
        <f>Rice_Inputs!$G$20*AVERAGE(BR28,BS28)</f>
        <v>0</v>
      </c>
      <c r="BD28" s="200">
        <f t="shared" si="9"/>
        <v>56681.377041930558</v>
      </c>
      <c r="BE28" s="200">
        <f t="shared" si="19"/>
        <v>210090.30962318555</v>
      </c>
      <c r="BF28" s="86">
        <f t="shared" si="20"/>
        <v>153408.93258125498</v>
      </c>
      <c r="BG28" s="197">
        <f t="shared" si="21"/>
        <v>153408.93258125498</v>
      </c>
      <c r="BH28" s="86">
        <f t="shared" si="39"/>
        <v>0</v>
      </c>
      <c r="BI28" s="86">
        <f t="shared" si="40"/>
        <v>0</v>
      </c>
      <c r="BJ28" s="122">
        <f>-Debt_Calc!AQ26</f>
        <v>0</v>
      </c>
      <c r="BK28" s="122">
        <f>Debt_Calc!AR26</f>
        <v>0</v>
      </c>
      <c r="BL28" s="86">
        <f t="shared" si="22"/>
        <v>0</v>
      </c>
      <c r="BM28" s="423">
        <f t="shared" si="41"/>
        <v>0</v>
      </c>
      <c r="BN28" s="86">
        <f t="shared" si="42"/>
        <v>153408.93258125498</v>
      </c>
      <c r="BO28" s="86">
        <f t="shared" si="23"/>
        <v>210090.30962318555</v>
      </c>
      <c r="BP28" s="86">
        <f t="shared" si="43"/>
        <v>153408.93258125498</v>
      </c>
      <c r="BQ28" s="86">
        <f t="shared" si="24"/>
        <v>0</v>
      </c>
      <c r="BR28" s="86">
        <f t="shared" si="25"/>
        <v>0</v>
      </c>
      <c r="BS28" s="86">
        <f t="shared" si="10"/>
        <v>0</v>
      </c>
      <c r="BT28" s="86">
        <f t="shared" si="26"/>
        <v>1570837.2734420556</v>
      </c>
      <c r="BU28" s="86">
        <f t="shared" si="44"/>
        <v>2</v>
      </c>
      <c r="BV28" s="214">
        <f t="shared" si="11"/>
        <v>263.90104658500331</v>
      </c>
    </row>
    <row r="29" spans="2:74" s="86" customFormat="1" x14ac:dyDescent="0.3">
      <c r="B29" s="192">
        <f t="shared" si="27"/>
        <v>18</v>
      </c>
      <c r="C29" s="350">
        <f t="shared" si="12"/>
        <v>2039</v>
      </c>
      <c r="D29" s="351">
        <f t="shared" ref="D29:E44" si="45">EDATE(D28,12)</f>
        <v>50771</v>
      </c>
      <c r="E29" s="441">
        <f t="shared" si="45"/>
        <v>51135</v>
      </c>
      <c r="F29" s="445">
        <f>IF(AND(B29&gt;0,B29&lt;=Rice_Inputs!$J$17),1,0)</f>
        <v>1</v>
      </c>
      <c r="G29" s="447">
        <f>IF(F29=1,Rice_Inputs!$G$29,0)</f>
        <v>1548837.2093023255</v>
      </c>
      <c r="H29" s="348">
        <f>IF(AND(F28=0,F29=1),100%,IF(AND(F28=0,F29=0),100%,H28-Rice_Inputs!$G$42))*F29</f>
        <v>0.99150000000000094</v>
      </c>
      <c r="I29" s="216">
        <f t="shared" si="29"/>
        <v>1535672.0930232571</v>
      </c>
      <c r="J29" s="219">
        <f>Rice_Inputs!$J$11</f>
        <v>0.01</v>
      </c>
      <c r="K29" s="444">
        <f>IF(B29=1,Rice_Inputs!$R$15,K28*(1+Rice_CashFlows!J29))*F29</f>
        <v>1.6051444006149695</v>
      </c>
      <c r="L29" s="338">
        <f>IF(B29=1,Rice_Inputs!$R$16,L28*(1+Rice_CashFlows!J29))*F29</f>
        <v>0</v>
      </c>
      <c r="M29" s="122">
        <f>K29*I29*Rice_Inputs!$J$9</f>
        <v>2464975.4612969519</v>
      </c>
      <c r="N29" s="222">
        <f>L29*I29*Rice_Inputs!$J$10</f>
        <v>0</v>
      </c>
      <c r="O29" s="423">
        <f t="shared" si="30"/>
        <v>0</v>
      </c>
      <c r="P29" s="122">
        <f>SUM(M29:O29)+IF(B29=Rice_Inputs!$J$17,Rice_Inputs!$J$19,0)</f>
        <v>2464975.4612969519</v>
      </c>
      <c r="Q29" s="218">
        <f>IF(B29=1,Rice_Inputs!$O$7,Q28*(1+Rice_Inputs!$N$23))*F29</f>
        <v>2022481.9447748624</v>
      </c>
      <c r="R29" s="122">
        <f>IF(B29=1,Rice_Inputs!$O$8,R28*(1+Rice_Inputs!$N$23))*F29</f>
        <v>66476.092264828607</v>
      </c>
      <c r="S29" s="122">
        <f>IF(B29=1,Rice_Inputs!$O$9,S28*(1+Rice_Inputs!$N$23))*F29</f>
        <v>62627.161629139046</v>
      </c>
      <c r="T29" s="122">
        <f>IF(B29=1,Rice_Inputs!$O$10,T28*(1+Rice_Inputs!$N$23))*F29</f>
        <v>29643.806790557257</v>
      </c>
      <c r="U29" s="122">
        <f>IF(B29=1,Rice_Inputs!$O$11,U28*(1+Rice_Inputs!$N$23))*F29</f>
        <v>21836.384425966051</v>
      </c>
      <c r="V29" s="122">
        <f>IF(B29=1,Rice_Inputs!$O$12,V28*(1+Rice_Inputs!$N$23))*F29</f>
        <v>109.25025357928023</v>
      </c>
      <c r="W29" s="122">
        <f>IF(B29=1,Rice_Inputs!$O$13,W28*(1+Rice_Inputs!$N$23))*F29</f>
        <v>0</v>
      </c>
      <c r="X29" s="122">
        <f>IF(B29=1,Rice_Inputs!$O$14,X28*(1+Rice_Inputs!$N$23))*F29</f>
        <v>12430.536869878715</v>
      </c>
      <c r="Y29" s="122">
        <f>IF(B29=1,Rice_Inputs!$O$15,Y28*(1+Rice_Inputs!$N$23))*F29</f>
        <v>12430.536869878715</v>
      </c>
      <c r="Z29" s="122">
        <f>IF(B29=1,Rice_Inputs!$O$16,Z28*(1+Rice_Inputs!$N$23))*F29</f>
        <v>7648.6406813130843</v>
      </c>
      <c r="AA29" s="122">
        <f>IF(B29=1,Rice_Inputs!$O$17,AA28*(1+Rice_Inputs!$N$23))*F29</f>
        <v>18342.947704520357</v>
      </c>
      <c r="AB29" s="181">
        <f>IF(B29=1,Rice_Inputs!$O$18,AB28*(1+Rice_Inputs!$N$23))*F29</f>
        <v>0</v>
      </c>
      <c r="AC29" s="482">
        <f>IF(B29=1,Rice_Inputs!$O$19,AC28*(1+Rice_Inputs!$N$23))*F29</f>
        <v>0</v>
      </c>
      <c r="AD29" s="122">
        <f>IF(B29=1,Rice_Inputs!$O$20,AD28*(1+Rice_Inputs!$N$23))*F29</f>
        <v>0</v>
      </c>
      <c r="AE29" s="122">
        <f>IF(B29=1,Rice_Inputs!$O$21,AE28*(1+Rice_Inputs!$N$23))*F29</f>
        <v>0</v>
      </c>
      <c r="AF29" s="132">
        <f>IF(B29=1,Rice_Inputs!$O$22,AF28*(1+Rice_Inputs!$N$23))*F29</f>
        <v>0</v>
      </c>
      <c r="AG29" s="200">
        <f t="shared" si="31"/>
        <v>2254027.3022645237</v>
      </c>
      <c r="AH29" s="86">
        <f t="shared" si="13"/>
        <v>210948.15903242817</v>
      </c>
      <c r="AI29" s="225">
        <f t="shared" si="14"/>
        <v>8.5578198381511414E-2</v>
      </c>
      <c r="AJ29" s="220">
        <f>Deprec!L28</f>
        <v>21152.386150083687</v>
      </c>
      <c r="AK29" s="122">
        <f t="shared" si="32"/>
        <v>189795.77288234449</v>
      </c>
      <c r="AL29" s="221">
        <f t="shared" si="33"/>
        <v>0</v>
      </c>
      <c r="AM29" s="122">
        <f t="shared" si="34"/>
        <v>189795.77288234449</v>
      </c>
      <c r="AN29" s="438">
        <f>IF(AM29&lt;0,0,(AM29*Rice_Inputs!$J$14))</f>
        <v>56938.731864703346</v>
      </c>
      <c r="AO29" s="86">
        <f t="shared" si="35"/>
        <v>132857.04101764114</v>
      </c>
      <c r="AP29" s="226">
        <f t="shared" si="16"/>
        <v>5.3897916268804615E-2</v>
      </c>
      <c r="AS29" s="196">
        <f t="shared" si="17"/>
        <v>2464975.4612969519</v>
      </c>
      <c r="AT29" s="86">
        <f t="shared" si="18"/>
        <v>2254027.3022645237</v>
      </c>
      <c r="AU29" s="197">
        <f t="shared" si="36"/>
        <v>210948.15903242817</v>
      </c>
      <c r="AV29" s="218">
        <f>IF(B29=0,Rice_Inputs!$C$29,0)</f>
        <v>0</v>
      </c>
      <c r="AW29" s="198">
        <f t="shared" si="5"/>
        <v>0</v>
      </c>
      <c r="AX29" s="197">
        <f t="shared" si="6"/>
        <v>210948.15903242817</v>
      </c>
      <c r="AY29" s="184">
        <f>IF(B29=0,Rice_Inputs!$G$15+Rice_Inputs!$G$16,0)</f>
        <v>0</v>
      </c>
      <c r="AZ29" s="185">
        <f>IF(B29=0,Rice_Inputs!$G$14,0)</f>
        <v>0</v>
      </c>
      <c r="BA29" s="132">
        <f t="shared" si="37"/>
        <v>0</v>
      </c>
      <c r="BB29" s="218">
        <f t="shared" si="38"/>
        <v>210948.15903242817</v>
      </c>
      <c r="BC29" s="218">
        <f>Rice_Inputs!$G$20*AVERAGE(BR29,BS29)</f>
        <v>0</v>
      </c>
      <c r="BD29" s="200">
        <f t="shared" si="9"/>
        <v>56938.731864703346</v>
      </c>
      <c r="BE29" s="200">
        <f t="shared" si="19"/>
        <v>210948.15903242817</v>
      </c>
      <c r="BF29" s="86">
        <f t="shared" si="20"/>
        <v>154009.42716772482</v>
      </c>
      <c r="BG29" s="197">
        <f t="shared" si="21"/>
        <v>154009.42716772482</v>
      </c>
      <c r="BH29" s="86">
        <f t="shared" si="39"/>
        <v>0</v>
      </c>
      <c r="BI29" s="86">
        <f t="shared" si="40"/>
        <v>0</v>
      </c>
      <c r="BJ29" s="122">
        <f>-Debt_Calc!AQ27</f>
        <v>0</v>
      </c>
      <c r="BK29" s="122">
        <f>Debt_Calc!AR27</f>
        <v>0</v>
      </c>
      <c r="BL29" s="86">
        <f t="shared" si="22"/>
        <v>0</v>
      </c>
      <c r="BM29" s="423">
        <f t="shared" si="41"/>
        <v>0</v>
      </c>
      <c r="BN29" s="86">
        <f t="shared" si="42"/>
        <v>154009.42716772482</v>
      </c>
      <c r="BO29" s="86">
        <f t="shared" si="23"/>
        <v>210948.15903242817</v>
      </c>
      <c r="BP29" s="86">
        <f t="shared" si="43"/>
        <v>154009.42716772482</v>
      </c>
      <c r="BQ29" s="86">
        <f t="shared" si="24"/>
        <v>0</v>
      </c>
      <c r="BR29" s="86">
        <f t="shared" si="25"/>
        <v>0</v>
      </c>
      <c r="BS29" s="86">
        <f t="shared" si="10"/>
        <v>0</v>
      </c>
      <c r="BT29" s="86">
        <f t="shared" si="26"/>
        <v>1724846.7006097804</v>
      </c>
      <c r="BU29" s="86">
        <f t="shared" si="44"/>
        <v>2</v>
      </c>
      <c r="BV29" s="214">
        <f t="shared" si="11"/>
        <v>182.19038111999552</v>
      </c>
    </row>
    <row r="30" spans="2:74" s="86" customFormat="1" x14ac:dyDescent="0.3">
      <c r="B30" s="192">
        <f t="shared" si="27"/>
        <v>19</v>
      </c>
      <c r="C30" s="350">
        <f t="shared" si="12"/>
        <v>2040</v>
      </c>
      <c r="D30" s="351">
        <f t="shared" si="45"/>
        <v>51136</v>
      </c>
      <c r="E30" s="441">
        <f t="shared" si="45"/>
        <v>51501</v>
      </c>
      <c r="F30" s="445">
        <f>IF(AND(B30&gt;0,B30&lt;=Rice_Inputs!$J$17),1,0)</f>
        <v>1</v>
      </c>
      <c r="G30" s="447">
        <f>IF(F30=1,Rice_Inputs!$G$29,0)</f>
        <v>1548837.2093023255</v>
      </c>
      <c r="H30" s="348">
        <f>IF(AND(F29=0,F30=1),100%,IF(AND(F29=0,F30=0),100%,H29-Rice_Inputs!$G$42))*F30</f>
        <v>0.99100000000000099</v>
      </c>
      <c r="I30" s="216">
        <f t="shared" si="29"/>
        <v>1534897.6744186061</v>
      </c>
      <c r="J30" s="219">
        <f>Rice_Inputs!$J$11</f>
        <v>0.01</v>
      </c>
      <c r="K30" s="444">
        <f>IF(B30=1,Rice_Inputs!$R$15,K29*(1+Rice_CashFlows!J30))*F30</f>
        <v>1.6211958446211192</v>
      </c>
      <c r="L30" s="338">
        <f>IF(B30=1,Rice_Inputs!$R$16,L29*(1+Rice_CashFlows!J30))*F30</f>
        <v>0</v>
      </c>
      <c r="M30" s="122">
        <f>K30*I30*Rice_Inputs!$J$9</f>
        <v>2488369.7316860636</v>
      </c>
      <c r="N30" s="222">
        <f>L30*I30*Rice_Inputs!$J$10</f>
        <v>0</v>
      </c>
      <c r="O30" s="423">
        <f t="shared" si="30"/>
        <v>0</v>
      </c>
      <c r="P30" s="122">
        <f>SUM(M30:O30)+IF(B30=Rice_Inputs!$J$17,Rice_Inputs!$J$19,0)</f>
        <v>2488369.7316860636</v>
      </c>
      <c r="Q30" s="218">
        <f>IF(B30=1,Rice_Inputs!$O$7,Q29*(1+Rice_Inputs!$N$23))*F30</f>
        <v>2042706.764222611</v>
      </c>
      <c r="R30" s="122">
        <f>IF(B30=1,Rice_Inputs!$O$8,R29*(1+Rice_Inputs!$N$23))*F30</f>
        <v>67140.853187476896</v>
      </c>
      <c r="S30" s="122">
        <f>IF(B30=1,Rice_Inputs!$O$9,S29*(1+Rice_Inputs!$N$23))*F30</f>
        <v>63253.433245430439</v>
      </c>
      <c r="T30" s="122">
        <f>IF(B30=1,Rice_Inputs!$O$10,T29*(1+Rice_Inputs!$N$23))*F30</f>
        <v>29940.244858462829</v>
      </c>
      <c r="U30" s="122">
        <f>IF(B30=1,Rice_Inputs!$O$11,U29*(1+Rice_Inputs!$N$23))*F30</f>
        <v>22054.748270225711</v>
      </c>
      <c r="V30" s="122">
        <f>IF(B30=1,Rice_Inputs!$O$12,V29*(1+Rice_Inputs!$N$23))*F30</f>
        <v>110.34275611507303</v>
      </c>
      <c r="W30" s="122">
        <f>IF(B30=1,Rice_Inputs!$O$13,W29*(1+Rice_Inputs!$N$23))*F30</f>
        <v>0</v>
      </c>
      <c r="X30" s="122">
        <f>IF(B30=1,Rice_Inputs!$O$14,X29*(1+Rice_Inputs!$N$23))*F30</f>
        <v>12554.842238577503</v>
      </c>
      <c r="Y30" s="122">
        <f>IF(B30=1,Rice_Inputs!$O$15,Y29*(1+Rice_Inputs!$N$23))*F30</f>
        <v>12554.842238577503</v>
      </c>
      <c r="Z30" s="122">
        <f>IF(B30=1,Rice_Inputs!$O$16,Z29*(1+Rice_Inputs!$N$23))*F30</f>
        <v>7725.1270881262153</v>
      </c>
      <c r="AA30" s="122">
        <f>IF(B30=1,Rice_Inputs!$O$17,AA29*(1+Rice_Inputs!$N$23))*F30</f>
        <v>18526.37718156556</v>
      </c>
      <c r="AB30" s="181">
        <f>IF(B30=1,Rice_Inputs!$O$18,AB29*(1+Rice_Inputs!$N$23))*F30</f>
        <v>0</v>
      </c>
      <c r="AC30" s="482">
        <f>IF(B30=1,Rice_Inputs!$O$19,AC29*(1+Rice_Inputs!$N$23))*F30</f>
        <v>0</v>
      </c>
      <c r="AD30" s="122">
        <f>IF(B30=1,Rice_Inputs!$O$20,AD29*(1+Rice_Inputs!$N$23))*F30</f>
        <v>0</v>
      </c>
      <c r="AE30" s="122">
        <f>IF(B30=1,Rice_Inputs!$O$21,AE29*(1+Rice_Inputs!$N$23))*F30</f>
        <v>0</v>
      </c>
      <c r="AF30" s="132">
        <f>IF(B30=1,Rice_Inputs!$O$22,AF29*(1+Rice_Inputs!$N$23))*F30</f>
        <v>0</v>
      </c>
      <c r="AG30" s="200">
        <f t="shared" si="31"/>
        <v>2276567.5752871684</v>
      </c>
      <c r="AH30" s="86">
        <f t="shared" si="13"/>
        <v>211802.1563988952</v>
      </c>
      <c r="AI30" s="225">
        <f t="shared" si="14"/>
        <v>8.5116835212178374E-2</v>
      </c>
      <c r="AJ30" s="220">
        <f>Deprec!L29</f>
        <v>21152.386150083687</v>
      </c>
      <c r="AK30" s="122">
        <f t="shared" si="32"/>
        <v>190649.77024881152</v>
      </c>
      <c r="AL30" s="221">
        <f t="shared" si="33"/>
        <v>0</v>
      </c>
      <c r="AM30" s="122">
        <f t="shared" si="34"/>
        <v>190649.77024881152</v>
      </c>
      <c r="AN30" s="438">
        <f>IF(AM30&lt;0,0,(AM30*Rice_Inputs!$J$14))</f>
        <v>57194.931074643457</v>
      </c>
      <c r="AO30" s="86">
        <f t="shared" si="35"/>
        <v>133454.83917416807</v>
      </c>
      <c r="AP30" s="226">
        <f t="shared" si="16"/>
        <v>5.3631434860663595E-2</v>
      </c>
      <c r="AS30" s="196">
        <f t="shared" si="17"/>
        <v>2488369.7316860636</v>
      </c>
      <c r="AT30" s="86">
        <f t="shared" si="18"/>
        <v>2276567.5752871684</v>
      </c>
      <c r="AU30" s="197">
        <f t="shared" si="36"/>
        <v>211802.1563988952</v>
      </c>
      <c r="AV30" s="218">
        <f>IF(B30=0,Rice_Inputs!$C$29,0)</f>
        <v>0</v>
      </c>
      <c r="AW30" s="198">
        <f t="shared" si="5"/>
        <v>0</v>
      </c>
      <c r="AX30" s="197">
        <f t="shared" si="6"/>
        <v>211802.1563988952</v>
      </c>
      <c r="AY30" s="184">
        <f>IF(B30=0,Rice_Inputs!$G$15+Rice_Inputs!$G$16,0)</f>
        <v>0</v>
      </c>
      <c r="AZ30" s="185">
        <f>IF(B30=0,Rice_Inputs!$G$14,0)</f>
        <v>0</v>
      </c>
      <c r="BA30" s="132">
        <f t="shared" si="37"/>
        <v>0</v>
      </c>
      <c r="BB30" s="218">
        <f t="shared" si="38"/>
        <v>211802.1563988952</v>
      </c>
      <c r="BC30" s="218">
        <f>Rice_Inputs!$G$20*AVERAGE(BR30,BS30)</f>
        <v>0</v>
      </c>
      <c r="BD30" s="200">
        <f t="shared" si="9"/>
        <v>57194.931074643457</v>
      </c>
      <c r="BE30" s="200">
        <f t="shared" si="19"/>
        <v>211802.1563988952</v>
      </c>
      <c r="BF30" s="86">
        <f t="shared" si="20"/>
        <v>154607.22532425175</v>
      </c>
      <c r="BG30" s="197">
        <f t="shared" si="21"/>
        <v>154607.22532425175</v>
      </c>
      <c r="BH30" s="86">
        <f t="shared" si="39"/>
        <v>0</v>
      </c>
      <c r="BI30" s="86">
        <f t="shared" si="40"/>
        <v>0</v>
      </c>
      <c r="BJ30" s="122">
        <f>-Debt_Calc!AQ28</f>
        <v>0</v>
      </c>
      <c r="BK30" s="122">
        <f>Debt_Calc!AR28</f>
        <v>0</v>
      </c>
      <c r="BL30" s="86">
        <f t="shared" si="22"/>
        <v>0</v>
      </c>
      <c r="BM30" s="423">
        <f t="shared" si="41"/>
        <v>0</v>
      </c>
      <c r="BN30" s="86">
        <f t="shared" si="42"/>
        <v>154607.22532425175</v>
      </c>
      <c r="BO30" s="86">
        <f t="shared" si="23"/>
        <v>211802.1563988952</v>
      </c>
      <c r="BP30" s="86">
        <f t="shared" si="43"/>
        <v>154607.22532425175</v>
      </c>
      <c r="BQ30" s="86">
        <f t="shared" si="24"/>
        <v>0</v>
      </c>
      <c r="BR30" s="86">
        <f t="shared" si="25"/>
        <v>0</v>
      </c>
      <c r="BS30" s="86">
        <f t="shared" si="10"/>
        <v>0</v>
      </c>
      <c r="BT30" s="86">
        <f t="shared" si="26"/>
        <v>1879453.9259340321</v>
      </c>
      <c r="BU30" s="86">
        <f t="shared" si="44"/>
        <v>2</v>
      </c>
      <c r="BV30" s="214">
        <f t="shared" si="11"/>
        <v>125.77536876231821</v>
      </c>
    </row>
    <row r="31" spans="2:74" s="86" customFormat="1" x14ac:dyDescent="0.3">
      <c r="B31" s="192">
        <f t="shared" si="27"/>
        <v>20</v>
      </c>
      <c r="C31" s="350">
        <f t="shared" si="12"/>
        <v>2041</v>
      </c>
      <c r="D31" s="351">
        <f t="shared" si="45"/>
        <v>51502</v>
      </c>
      <c r="E31" s="441">
        <f t="shared" si="45"/>
        <v>51866</v>
      </c>
      <c r="F31" s="445">
        <f>IF(AND(B31&gt;0,B31&lt;=Rice_Inputs!$J$17),1,0)</f>
        <v>1</v>
      </c>
      <c r="G31" s="447">
        <f>IF(F31=1,Rice_Inputs!$G$29,0)</f>
        <v>1548837.2093023255</v>
      </c>
      <c r="H31" s="348">
        <f>IF(AND(F30=0,F31=1),100%,IF(AND(F30=0,F31=0),100%,H30-Rice_Inputs!$G$42))*F31</f>
        <v>0.99050000000000105</v>
      </c>
      <c r="I31" s="216">
        <f t="shared" si="29"/>
        <v>1534123.2558139551</v>
      </c>
      <c r="J31" s="219">
        <f>Rice_Inputs!$J$11</f>
        <v>0.01</v>
      </c>
      <c r="K31" s="444">
        <f>IF(B31=1,Rice_Inputs!$R$15,K30*(1+Rice_CashFlows!J31))*F31</f>
        <v>1.6374078030673305</v>
      </c>
      <c r="L31" s="338">
        <f>IF(B31=1,Rice_Inputs!$R$16,L30*(1+Rice_CashFlows!J31))*F31</f>
        <v>0</v>
      </c>
      <c r="M31" s="122">
        <f>K31*I31*Rice_Inputs!$J$9</f>
        <v>2511985.3899368285</v>
      </c>
      <c r="N31" s="222">
        <f>L31*I31*Rice_Inputs!$J$10</f>
        <v>0</v>
      </c>
      <c r="O31" s="423">
        <f t="shared" si="30"/>
        <v>0</v>
      </c>
      <c r="P31" s="122">
        <f>SUM(M31:O31)+IF(B31=Rice_Inputs!$J$17,Rice_Inputs!$J$19,0)</f>
        <v>2511985.3899368285</v>
      </c>
      <c r="Q31" s="218">
        <f>IF(B31=1,Rice_Inputs!$O$7,Q30*(1+Rice_Inputs!$N$23))*F31</f>
        <v>2063133.8318648371</v>
      </c>
      <c r="R31" s="122">
        <f>IF(B31=1,Rice_Inputs!$O$8,R30*(1+Rice_Inputs!$N$23))*F31</f>
        <v>67812.261719351663</v>
      </c>
      <c r="S31" s="122">
        <f>IF(B31=1,Rice_Inputs!$O$9,S30*(1+Rice_Inputs!$N$23))*F31</f>
        <v>63885.967577884745</v>
      </c>
      <c r="T31" s="122">
        <f>IF(B31=1,Rice_Inputs!$O$10,T30*(1+Rice_Inputs!$N$23))*F31</f>
        <v>30239.647307047457</v>
      </c>
      <c r="U31" s="122">
        <f>IF(B31=1,Rice_Inputs!$O$11,U30*(1+Rice_Inputs!$N$23))*F31</f>
        <v>22275.29575292797</v>
      </c>
      <c r="V31" s="122">
        <f>IF(B31=1,Rice_Inputs!$O$12,V30*(1+Rice_Inputs!$N$23))*F31</f>
        <v>111.44618367622377</v>
      </c>
      <c r="W31" s="122">
        <f>IF(B31=1,Rice_Inputs!$O$13,W30*(1+Rice_Inputs!$N$23))*F31</f>
        <v>0</v>
      </c>
      <c r="X31" s="122">
        <f>IF(B31=1,Rice_Inputs!$O$14,X30*(1+Rice_Inputs!$N$23))*F31</f>
        <v>12680.390660963278</v>
      </c>
      <c r="Y31" s="122">
        <f>IF(B31=1,Rice_Inputs!$O$15,Y30*(1+Rice_Inputs!$N$23))*F31</f>
        <v>12680.390660963278</v>
      </c>
      <c r="Z31" s="122">
        <f>IF(B31=1,Rice_Inputs!$O$16,Z30*(1+Rice_Inputs!$N$23))*F31</f>
        <v>7802.3783590074772</v>
      </c>
      <c r="AA31" s="122">
        <f>IF(B31=1,Rice_Inputs!$O$17,AA30*(1+Rice_Inputs!$N$23))*F31</f>
        <v>18711.640953381215</v>
      </c>
      <c r="AB31" s="181">
        <f>IF(B31=1,Rice_Inputs!$O$18,AB30*(1+Rice_Inputs!$N$23))*F31</f>
        <v>0</v>
      </c>
      <c r="AC31" s="482">
        <f>IF(B31=1,Rice_Inputs!$O$19,AC30*(1+Rice_Inputs!$N$23))*F31</f>
        <v>0</v>
      </c>
      <c r="AD31" s="122">
        <f>IF(B31=1,Rice_Inputs!$O$20,AD30*(1+Rice_Inputs!$N$23))*F31</f>
        <v>0</v>
      </c>
      <c r="AE31" s="122">
        <f>IF(B31=1,Rice_Inputs!$O$21,AE30*(1+Rice_Inputs!$N$23))*F31</f>
        <v>0</v>
      </c>
      <c r="AF31" s="132">
        <f>IF(B31=1,Rice_Inputs!$O$22,AF30*(1+Rice_Inputs!$N$23))*F31</f>
        <v>0</v>
      </c>
      <c r="AG31" s="200">
        <f t="shared" si="31"/>
        <v>2299333.2510400414</v>
      </c>
      <c r="AH31" s="86">
        <f t="shared" si="13"/>
        <v>212652.13889678707</v>
      </c>
      <c r="AI31" s="225">
        <f t="shared" si="14"/>
        <v>8.4655006254687998E-2</v>
      </c>
      <c r="AJ31" s="220">
        <f>Deprec!L30</f>
        <v>21152.386150083687</v>
      </c>
      <c r="AK31" s="122">
        <f t="shared" si="32"/>
        <v>191499.75274670339</v>
      </c>
      <c r="AL31" s="221">
        <f t="shared" si="33"/>
        <v>0</v>
      </c>
      <c r="AM31" s="122">
        <f t="shared" si="34"/>
        <v>191499.75274670339</v>
      </c>
      <c r="AN31" s="438">
        <f>IF(AM31&lt;0,0,(AM31*Rice_Inputs!$J$14))</f>
        <v>57449.925824011014</v>
      </c>
      <c r="AO31" s="86">
        <f t="shared" si="35"/>
        <v>134049.82692269239</v>
      </c>
      <c r="AP31" s="226">
        <f t="shared" si="16"/>
        <v>5.3364094974319688E-2</v>
      </c>
      <c r="AS31" s="196">
        <f t="shared" si="17"/>
        <v>2511985.3899368285</v>
      </c>
      <c r="AT31" s="86">
        <f t="shared" si="18"/>
        <v>2299333.2510400414</v>
      </c>
      <c r="AU31" s="197">
        <f t="shared" si="36"/>
        <v>212652.13889678707</v>
      </c>
      <c r="AV31" s="218">
        <f>IF(B31=0,Rice_Inputs!$C$29,0)</f>
        <v>0</v>
      </c>
      <c r="AW31" s="198">
        <f t="shared" si="5"/>
        <v>0</v>
      </c>
      <c r="AX31" s="197">
        <f t="shared" si="6"/>
        <v>212652.13889678707</v>
      </c>
      <c r="AY31" s="184">
        <f>IF(B31=0,Rice_Inputs!$G$15+Rice_Inputs!$G$16,0)</f>
        <v>0</v>
      </c>
      <c r="AZ31" s="185">
        <f>IF(B31=0,Rice_Inputs!$G$14,0)</f>
        <v>0</v>
      </c>
      <c r="BA31" s="132">
        <f t="shared" si="37"/>
        <v>0</v>
      </c>
      <c r="BB31" s="218">
        <f t="shared" si="38"/>
        <v>212652.13889678707</v>
      </c>
      <c r="BC31" s="218">
        <f>Rice_Inputs!$G$20*AVERAGE(BR31,BS31)</f>
        <v>0</v>
      </c>
      <c r="BD31" s="200">
        <f t="shared" si="9"/>
        <v>57449.925824011014</v>
      </c>
      <c r="BE31" s="200">
        <f t="shared" si="19"/>
        <v>212652.13889678707</v>
      </c>
      <c r="BF31" s="86">
        <f t="shared" si="20"/>
        <v>155202.21307277607</v>
      </c>
      <c r="BG31" s="197">
        <f t="shared" si="21"/>
        <v>155202.21307277607</v>
      </c>
      <c r="BH31" s="86">
        <f t="shared" si="39"/>
        <v>0</v>
      </c>
      <c r="BI31" s="86">
        <f t="shared" si="40"/>
        <v>0</v>
      </c>
      <c r="BJ31" s="122">
        <f>-Debt_Calc!AQ29</f>
        <v>0</v>
      </c>
      <c r="BK31" s="122">
        <f>Debt_Calc!AR29</f>
        <v>0</v>
      </c>
      <c r="BL31" s="86">
        <f t="shared" si="22"/>
        <v>0</v>
      </c>
      <c r="BM31" s="423">
        <f t="shared" si="41"/>
        <v>0</v>
      </c>
      <c r="BN31" s="86">
        <f t="shared" si="42"/>
        <v>155202.21307277607</v>
      </c>
      <c r="BO31" s="86">
        <f t="shared" si="23"/>
        <v>212652.13889678707</v>
      </c>
      <c r="BP31" s="86">
        <f t="shared" si="43"/>
        <v>155202.21307277607</v>
      </c>
      <c r="BQ31" s="86">
        <f t="shared" si="24"/>
        <v>0</v>
      </c>
      <c r="BR31" s="86">
        <f t="shared" si="25"/>
        <v>0</v>
      </c>
      <c r="BS31" s="86">
        <f t="shared" si="10"/>
        <v>0</v>
      </c>
      <c r="BT31" s="86">
        <f t="shared" si="26"/>
        <v>2034656.1390068082</v>
      </c>
      <c r="BU31" s="86">
        <f t="shared" si="44"/>
        <v>2</v>
      </c>
      <c r="BV31" s="214">
        <f t="shared" si="11"/>
        <v>86.82632055081514</v>
      </c>
    </row>
    <row r="32" spans="2:74" s="86" customFormat="1" x14ac:dyDescent="0.3">
      <c r="B32" s="192">
        <f t="shared" si="27"/>
        <v>21</v>
      </c>
      <c r="C32" s="350">
        <f t="shared" si="12"/>
        <v>2042</v>
      </c>
      <c r="D32" s="351">
        <f t="shared" si="45"/>
        <v>51867</v>
      </c>
      <c r="E32" s="441">
        <f t="shared" si="45"/>
        <v>52231</v>
      </c>
      <c r="F32" s="445">
        <f>IF(AND(B32&gt;0,B32&lt;=Rice_Inputs!$J$17),1,0)</f>
        <v>1</v>
      </c>
      <c r="G32" s="447">
        <f>IF(F32=1,Rice_Inputs!$G$29,0)</f>
        <v>1548837.2093023255</v>
      </c>
      <c r="H32" s="348">
        <f>IF(AND(F31=0,F32=1),100%,IF(AND(F31=0,F32=0),100%,H31-Rice_Inputs!$G$42))*F32</f>
        <v>0.9900000000000011</v>
      </c>
      <c r="I32" s="216">
        <f t="shared" si="29"/>
        <v>1533348.8372093039</v>
      </c>
      <c r="J32" s="219">
        <f>Rice_Inputs!$J$11</f>
        <v>0.01</v>
      </c>
      <c r="K32" s="444">
        <f>IF(B32=1,Rice_Inputs!$R$15,K31*(1+Rice_CashFlows!J32))*F32</f>
        <v>1.6537818810980038</v>
      </c>
      <c r="L32" s="338">
        <f>IF(B32=1,Rice_Inputs!$R$16,L31*(1+Rice_CashFlows!J32))*F32</f>
        <v>0</v>
      </c>
      <c r="M32" s="122">
        <f>K32*I32*Rice_Inputs!$J$9</f>
        <v>2535824.5243794392</v>
      </c>
      <c r="N32" s="222">
        <f>L32*I32*Rice_Inputs!$J$10</f>
        <v>0</v>
      </c>
      <c r="O32" s="423">
        <f t="shared" si="30"/>
        <v>0</v>
      </c>
      <c r="P32" s="122">
        <f>SUM(M32:O32)+IF(B32=Rice_Inputs!$J$17,Rice_Inputs!$J$19,0)</f>
        <v>2535824.5243794392</v>
      </c>
      <c r="Q32" s="218">
        <f>IF(B32=1,Rice_Inputs!$O$7,Q31*(1+Rice_Inputs!$N$23))*F32</f>
        <v>2083765.1701834854</v>
      </c>
      <c r="R32" s="122">
        <f>IF(B32=1,Rice_Inputs!$O$8,R31*(1+Rice_Inputs!$N$23))*F32</f>
        <v>68490.384336545176</v>
      </c>
      <c r="S32" s="122">
        <f>IF(B32=1,Rice_Inputs!$O$9,S31*(1+Rice_Inputs!$N$23))*F32</f>
        <v>64524.827253663592</v>
      </c>
      <c r="T32" s="122">
        <f>IF(B32=1,Rice_Inputs!$O$10,T31*(1+Rice_Inputs!$N$23))*F32</f>
        <v>30542.043780117932</v>
      </c>
      <c r="U32" s="122">
        <f>IF(B32=1,Rice_Inputs!$O$11,U31*(1+Rice_Inputs!$N$23))*F32</f>
        <v>22498.048710457249</v>
      </c>
      <c r="V32" s="122">
        <f>IF(B32=1,Rice_Inputs!$O$12,V31*(1+Rice_Inputs!$N$23))*F32</f>
        <v>112.56064551298601</v>
      </c>
      <c r="W32" s="122">
        <f>IF(B32=1,Rice_Inputs!$O$13,W31*(1+Rice_Inputs!$N$23))*F32</f>
        <v>0</v>
      </c>
      <c r="X32" s="122">
        <f>IF(B32=1,Rice_Inputs!$O$14,X31*(1+Rice_Inputs!$N$23))*F32</f>
        <v>12807.194567572911</v>
      </c>
      <c r="Y32" s="122">
        <f>IF(B32=1,Rice_Inputs!$O$15,Y31*(1+Rice_Inputs!$N$23))*F32</f>
        <v>12807.194567572911</v>
      </c>
      <c r="Z32" s="122">
        <f>IF(B32=1,Rice_Inputs!$O$16,Z31*(1+Rice_Inputs!$N$23))*F32</f>
        <v>7880.4021425975525</v>
      </c>
      <c r="AA32" s="122">
        <f>IF(B32=1,Rice_Inputs!$O$17,AA31*(1+Rice_Inputs!$N$23))*F32</f>
        <v>18898.757362915028</v>
      </c>
      <c r="AB32" s="181">
        <f>IF(B32=1,Rice_Inputs!$O$18,AB31*(1+Rice_Inputs!$N$23))*F32</f>
        <v>0</v>
      </c>
      <c r="AC32" s="482">
        <f>IF(B32=1,Rice_Inputs!$O$19,AC31*(1+Rice_Inputs!$N$23))*F32</f>
        <v>0</v>
      </c>
      <c r="AD32" s="122">
        <f>IF(B32=1,Rice_Inputs!$O$20,AD31*(1+Rice_Inputs!$N$23))*F32</f>
        <v>0</v>
      </c>
      <c r="AE32" s="122">
        <f>IF(B32=1,Rice_Inputs!$O$21,AE31*(1+Rice_Inputs!$N$23))*F32</f>
        <v>0</v>
      </c>
      <c r="AF32" s="132">
        <f>IF(B32=1,Rice_Inputs!$O$22,AF31*(1+Rice_Inputs!$N$23))*F32</f>
        <v>0</v>
      </c>
      <c r="AG32" s="200">
        <f t="shared" si="31"/>
        <v>2322326.5835504397</v>
      </c>
      <c r="AH32" s="86">
        <f t="shared" si="13"/>
        <v>213497.9408289995</v>
      </c>
      <c r="AI32" s="225">
        <f t="shared" si="14"/>
        <v>8.4192710803302206E-2</v>
      </c>
      <c r="AJ32" s="220">
        <f>Deprec!L31</f>
        <v>21152.386150083687</v>
      </c>
      <c r="AK32" s="122">
        <f t="shared" si="32"/>
        <v>192345.55467891583</v>
      </c>
      <c r="AL32" s="221">
        <f t="shared" si="33"/>
        <v>0</v>
      </c>
      <c r="AM32" s="122">
        <f t="shared" si="34"/>
        <v>192345.55467891583</v>
      </c>
      <c r="AN32" s="438">
        <f>IF(AM32&lt;0,0,(AM32*Rice_Inputs!$J$14))</f>
        <v>57703.666403674746</v>
      </c>
      <c r="AO32" s="86">
        <f t="shared" si="35"/>
        <v>134641.88827524107</v>
      </c>
      <c r="AP32" s="226">
        <f t="shared" si="16"/>
        <v>5.3095901148045847E-2</v>
      </c>
      <c r="AS32" s="196">
        <f t="shared" si="17"/>
        <v>2535824.5243794392</v>
      </c>
      <c r="AT32" s="86">
        <f t="shared" si="18"/>
        <v>2322326.5835504397</v>
      </c>
      <c r="AU32" s="197">
        <f t="shared" si="36"/>
        <v>213497.9408289995</v>
      </c>
      <c r="AV32" s="218">
        <f>IF(B32=0,Rice_Inputs!$C$29,0)</f>
        <v>0</v>
      </c>
      <c r="AW32" s="198">
        <f t="shared" si="5"/>
        <v>0</v>
      </c>
      <c r="AX32" s="197">
        <f t="shared" si="6"/>
        <v>213497.9408289995</v>
      </c>
      <c r="AY32" s="184">
        <f>IF(B32=0,Rice_Inputs!$G$15+Rice_Inputs!$G$16,0)</f>
        <v>0</v>
      </c>
      <c r="AZ32" s="185">
        <f>IF(B32=0,Rice_Inputs!$G$14,0)</f>
        <v>0</v>
      </c>
      <c r="BA32" s="132">
        <f t="shared" si="37"/>
        <v>0</v>
      </c>
      <c r="BB32" s="218">
        <f t="shared" si="38"/>
        <v>213497.9408289995</v>
      </c>
      <c r="BC32" s="218">
        <f>Rice_Inputs!$G$20*AVERAGE(BR32,BS32)</f>
        <v>0</v>
      </c>
      <c r="BD32" s="200">
        <f t="shared" si="9"/>
        <v>57703.666403674746</v>
      </c>
      <c r="BE32" s="200">
        <f t="shared" si="19"/>
        <v>213497.9408289995</v>
      </c>
      <c r="BF32" s="86">
        <f t="shared" si="20"/>
        <v>155794.27442532475</v>
      </c>
      <c r="BG32" s="197">
        <f t="shared" si="21"/>
        <v>155794.27442532475</v>
      </c>
      <c r="BH32" s="86">
        <f t="shared" si="39"/>
        <v>0</v>
      </c>
      <c r="BI32" s="86">
        <f t="shared" si="40"/>
        <v>0</v>
      </c>
      <c r="BJ32" s="122">
        <f>-Debt_Calc!AQ30</f>
        <v>0</v>
      </c>
      <c r="BK32" s="122">
        <f>Debt_Calc!AR30</f>
        <v>0</v>
      </c>
      <c r="BL32" s="86">
        <f t="shared" si="22"/>
        <v>0</v>
      </c>
      <c r="BM32" s="423">
        <f t="shared" si="41"/>
        <v>0</v>
      </c>
      <c r="BN32" s="86">
        <f t="shared" si="42"/>
        <v>155794.27442532475</v>
      </c>
      <c r="BO32" s="86">
        <f t="shared" si="23"/>
        <v>213497.9408289995</v>
      </c>
      <c r="BP32" s="86">
        <f t="shared" si="43"/>
        <v>155794.27442532475</v>
      </c>
      <c r="BQ32" s="86">
        <f t="shared" si="24"/>
        <v>0</v>
      </c>
      <c r="BR32" s="86">
        <f t="shared" si="25"/>
        <v>0</v>
      </c>
      <c r="BS32" s="86">
        <f t="shared" si="10"/>
        <v>0</v>
      </c>
      <c r="BT32" s="86">
        <f t="shared" si="26"/>
        <v>2190450.4134321329</v>
      </c>
      <c r="BU32" s="86">
        <f t="shared" si="44"/>
        <v>2</v>
      </c>
      <c r="BV32" s="214">
        <f t="shared" si="11"/>
        <v>59.936676128993689</v>
      </c>
    </row>
    <row r="33" spans="2:93" s="86" customFormat="1" x14ac:dyDescent="0.3">
      <c r="B33" s="192">
        <f t="shared" si="27"/>
        <v>22</v>
      </c>
      <c r="C33" s="350">
        <f t="shared" si="12"/>
        <v>2043</v>
      </c>
      <c r="D33" s="351">
        <f t="shared" si="45"/>
        <v>52232</v>
      </c>
      <c r="E33" s="441">
        <f t="shared" si="45"/>
        <v>52596</v>
      </c>
      <c r="F33" s="445">
        <f>IF(AND(B33&gt;0,B33&lt;=Rice_Inputs!$J$17),1,0)</f>
        <v>1</v>
      </c>
      <c r="G33" s="447">
        <f>IF(F33=1,Rice_Inputs!$G$29,0)</f>
        <v>1548837.2093023255</v>
      </c>
      <c r="H33" s="348">
        <f>IF(AND(F32=0,F33=1),100%,IF(AND(F32=0,F33=0),100%,H32-Rice_Inputs!$G$42))*F33</f>
        <v>0.98950000000000116</v>
      </c>
      <c r="I33" s="216">
        <f t="shared" si="29"/>
        <v>1532574.4186046529</v>
      </c>
      <c r="J33" s="219">
        <f>Rice_Inputs!$J$11</f>
        <v>0.01</v>
      </c>
      <c r="K33" s="444">
        <f>IF(B33=1,Rice_Inputs!$R$15,K32*(1+Rice_CashFlows!J33))*F33</f>
        <v>1.670319699908984</v>
      </c>
      <c r="L33" s="338">
        <f>IF(B33=1,Rice_Inputs!$R$16,L32*(1+Rice_CashFlows!J33))*F33</f>
        <v>0</v>
      </c>
      <c r="M33" s="122">
        <f>K33*I33*Rice_Inputs!$J$9</f>
        <v>2559889.2429719092</v>
      </c>
      <c r="N33" s="222">
        <f>L33*I33*Rice_Inputs!$J$10</f>
        <v>0</v>
      </c>
      <c r="O33" s="423">
        <f t="shared" si="30"/>
        <v>0</v>
      </c>
      <c r="P33" s="122">
        <f>SUM(M33:O33)+IF(B33=Rice_Inputs!$J$17,Rice_Inputs!$J$19,0)</f>
        <v>2559889.2429719092</v>
      </c>
      <c r="Q33" s="218">
        <f>IF(B33=1,Rice_Inputs!$O$7,Q32*(1+Rice_Inputs!$N$23))*F33</f>
        <v>2104602.8218853204</v>
      </c>
      <c r="R33" s="122">
        <f>IF(B33=1,Rice_Inputs!$O$8,R32*(1+Rice_Inputs!$N$23))*F33</f>
        <v>69175.288179910625</v>
      </c>
      <c r="S33" s="122">
        <f>IF(B33=1,Rice_Inputs!$O$9,S32*(1+Rice_Inputs!$N$23))*F33</f>
        <v>65170.075526200228</v>
      </c>
      <c r="T33" s="122">
        <f>IF(B33=1,Rice_Inputs!$O$10,T32*(1+Rice_Inputs!$N$23))*F33</f>
        <v>30847.464217919111</v>
      </c>
      <c r="U33" s="122">
        <f>IF(B33=1,Rice_Inputs!$O$11,U32*(1+Rice_Inputs!$N$23))*F33</f>
        <v>22723.029197561824</v>
      </c>
      <c r="V33" s="122">
        <f>IF(B33=1,Rice_Inputs!$O$12,V32*(1+Rice_Inputs!$N$23))*F33</f>
        <v>113.68625196811587</v>
      </c>
      <c r="W33" s="122">
        <f>IF(B33=1,Rice_Inputs!$O$13,W32*(1+Rice_Inputs!$N$23))*F33</f>
        <v>0</v>
      </c>
      <c r="X33" s="122">
        <f>IF(B33=1,Rice_Inputs!$O$14,X32*(1+Rice_Inputs!$N$23))*F33</f>
        <v>12935.26651324864</v>
      </c>
      <c r="Y33" s="122">
        <f>IF(B33=1,Rice_Inputs!$O$15,Y32*(1+Rice_Inputs!$N$23))*F33</f>
        <v>12935.26651324864</v>
      </c>
      <c r="Z33" s="122">
        <f>IF(B33=1,Rice_Inputs!$O$16,Z32*(1+Rice_Inputs!$N$23))*F33</f>
        <v>7959.2061640235279</v>
      </c>
      <c r="AA33" s="122">
        <f>IF(B33=1,Rice_Inputs!$O$17,AA32*(1+Rice_Inputs!$N$23))*F33</f>
        <v>19087.744936544179</v>
      </c>
      <c r="AB33" s="181">
        <f>IF(B33=1,Rice_Inputs!$O$18,AB32*(1+Rice_Inputs!$N$23))*F33</f>
        <v>0</v>
      </c>
      <c r="AC33" s="482">
        <f>IF(B33=1,Rice_Inputs!$O$19,AC32*(1+Rice_Inputs!$N$23))*F33</f>
        <v>0</v>
      </c>
      <c r="AD33" s="122">
        <f>IF(B33=1,Rice_Inputs!$O$20,AD32*(1+Rice_Inputs!$N$23))*F33</f>
        <v>0</v>
      </c>
      <c r="AE33" s="122">
        <f>IF(B33=1,Rice_Inputs!$O$21,AE32*(1+Rice_Inputs!$N$23))*F33</f>
        <v>0</v>
      </c>
      <c r="AF33" s="132">
        <f>IF(B33=1,Rice_Inputs!$O$22,AF32*(1+Rice_Inputs!$N$23))*F33</f>
        <v>0</v>
      </c>
      <c r="AG33" s="200">
        <f t="shared" si="31"/>
        <v>2345549.8493859447</v>
      </c>
      <c r="AH33" s="86">
        <f t="shared" si="13"/>
        <v>214339.39358596457</v>
      </c>
      <c r="AI33" s="225">
        <f t="shared" si="14"/>
        <v>8.3729948150853106E-2</v>
      </c>
      <c r="AJ33" s="220">
        <f>Deprec!L32</f>
        <v>21152.386150083687</v>
      </c>
      <c r="AK33" s="122">
        <f t="shared" si="32"/>
        <v>193187.00743588089</v>
      </c>
      <c r="AL33" s="221">
        <f t="shared" si="33"/>
        <v>0</v>
      </c>
      <c r="AM33" s="122">
        <f t="shared" si="34"/>
        <v>193187.00743588089</v>
      </c>
      <c r="AN33" s="438">
        <f>IF(AM33&lt;0,0,(AM33*Rice_Inputs!$J$14))</f>
        <v>57956.102230764263</v>
      </c>
      <c r="AO33" s="86">
        <f t="shared" si="35"/>
        <v>135230.90520511664</v>
      </c>
      <c r="AP33" s="226">
        <f t="shared" si="16"/>
        <v>5.282685787144447E-2</v>
      </c>
      <c r="AS33" s="196">
        <f t="shared" si="17"/>
        <v>2559889.2429719092</v>
      </c>
      <c r="AT33" s="86">
        <f t="shared" si="18"/>
        <v>2345549.8493859447</v>
      </c>
      <c r="AU33" s="197">
        <f t="shared" si="36"/>
        <v>214339.39358596457</v>
      </c>
      <c r="AV33" s="218">
        <f>IF(B33=0,Rice_Inputs!$C$29,0)</f>
        <v>0</v>
      </c>
      <c r="AW33" s="198">
        <f t="shared" si="5"/>
        <v>0</v>
      </c>
      <c r="AX33" s="197">
        <f t="shared" si="6"/>
        <v>214339.39358596457</v>
      </c>
      <c r="AY33" s="184">
        <f>IF(B33=0,Rice_Inputs!$G$15+Rice_Inputs!$G$16,0)</f>
        <v>0</v>
      </c>
      <c r="AZ33" s="185">
        <f>IF(B33=0,Rice_Inputs!$G$14,0)</f>
        <v>0</v>
      </c>
      <c r="BA33" s="132">
        <f t="shared" si="37"/>
        <v>0</v>
      </c>
      <c r="BB33" s="218">
        <f t="shared" si="38"/>
        <v>214339.39358596457</v>
      </c>
      <c r="BC33" s="218">
        <f>Rice_Inputs!$G$20*AVERAGE(BR33,BS33)</f>
        <v>0</v>
      </c>
      <c r="BD33" s="200">
        <f t="shared" si="9"/>
        <v>57956.102230764263</v>
      </c>
      <c r="BE33" s="200">
        <f t="shared" si="19"/>
        <v>214339.39358596457</v>
      </c>
      <c r="BF33" s="86">
        <f t="shared" si="20"/>
        <v>156383.29135520032</v>
      </c>
      <c r="BG33" s="197">
        <f t="shared" si="21"/>
        <v>156383.29135520032</v>
      </c>
      <c r="BH33" s="86">
        <f t="shared" si="39"/>
        <v>0</v>
      </c>
      <c r="BI33" s="86">
        <f t="shared" si="40"/>
        <v>0</v>
      </c>
      <c r="BJ33" s="122">
        <f>-Debt_Calc!AQ31</f>
        <v>0</v>
      </c>
      <c r="BK33" s="122">
        <f>Debt_Calc!AR31</f>
        <v>0</v>
      </c>
      <c r="BL33" s="86">
        <f t="shared" si="22"/>
        <v>0</v>
      </c>
      <c r="BM33" s="423">
        <f t="shared" si="41"/>
        <v>0</v>
      </c>
      <c r="BN33" s="86">
        <f t="shared" si="42"/>
        <v>156383.29135520032</v>
      </c>
      <c r="BO33" s="86">
        <f t="shared" si="23"/>
        <v>214339.39358596457</v>
      </c>
      <c r="BP33" s="86">
        <f t="shared" si="43"/>
        <v>156383.29135520032</v>
      </c>
      <c r="BQ33" s="86">
        <f t="shared" si="24"/>
        <v>0</v>
      </c>
      <c r="BR33" s="86">
        <f t="shared" si="25"/>
        <v>0</v>
      </c>
      <c r="BS33" s="86">
        <f t="shared" si="10"/>
        <v>0</v>
      </c>
      <c r="BT33" s="86">
        <f t="shared" si="26"/>
        <v>2346833.704787333</v>
      </c>
      <c r="BU33" s="86">
        <f t="shared" si="44"/>
        <v>2</v>
      </c>
      <c r="BV33" s="214">
        <f t="shared" si="11"/>
        <v>41.373206963405494</v>
      </c>
    </row>
    <row r="34" spans="2:93" s="86" customFormat="1" x14ac:dyDescent="0.3">
      <c r="B34" s="192">
        <f t="shared" si="27"/>
        <v>23</v>
      </c>
      <c r="C34" s="350">
        <f t="shared" si="12"/>
        <v>2044</v>
      </c>
      <c r="D34" s="351">
        <f t="shared" si="45"/>
        <v>52597</v>
      </c>
      <c r="E34" s="441">
        <f t="shared" si="45"/>
        <v>52962</v>
      </c>
      <c r="F34" s="445">
        <f>IF(AND(B34&gt;0,B34&lt;=Rice_Inputs!$J$17),1,0)</f>
        <v>1</v>
      </c>
      <c r="G34" s="447">
        <f>IF(F34=1,Rice_Inputs!$G$29,0)</f>
        <v>1548837.2093023255</v>
      </c>
      <c r="H34" s="348">
        <f>IF(AND(F33=0,F34=1),100%,IF(AND(F33=0,F34=0),100%,H33-Rice_Inputs!$G$42))*F34</f>
        <v>0.98900000000000121</v>
      </c>
      <c r="I34" s="216">
        <f t="shared" si="29"/>
        <v>1531800.0000000019</v>
      </c>
      <c r="J34" s="219">
        <f>Rice_Inputs!$J$11</f>
        <v>0.01</v>
      </c>
      <c r="K34" s="444">
        <f>IF(B34=1,Rice_Inputs!$R$15,K33*(1+Rice_CashFlows!J34))*F34</f>
        <v>1.6870228969080738</v>
      </c>
      <c r="L34" s="338">
        <f>IF(B34=1,Rice_Inputs!$R$16,L33*(1+Rice_CashFlows!J34))*F34</f>
        <v>0</v>
      </c>
      <c r="M34" s="122">
        <f>K34*I34*Rice_Inputs!$J$9</f>
        <v>2584181.6734837908</v>
      </c>
      <c r="N34" s="222">
        <f>L34*I34*Rice_Inputs!$J$10</f>
        <v>0</v>
      </c>
      <c r="O34" s="423">
        <f t="shared" si="30"/>
        <v>0</v>
      </c>
      <c r="P34" s="122">
        <f>SUM(M34:O34)+IF(B34=Rice_Inputs!$J$17,Rice_Inputs!$J$19,0)</f>
        <v>2584181.6734837908</v>
      </c>
      <c r="Q34" s="218">
        <f>IF(B34=1,Rice_Inputs!$O$7,Q33*(1+Rice_Inputs!$N$23))*F34</f>
        <v>2125648.8501041736</v>
      </c>
      <c r="R34" s="122">
        <f>IF(B34=1,Rice_Inputs!$O$8,R33*(1+Rice_Inputs!$N$23))*F34</f>
        <v>69867.041061709737</v>
      </c>
      <c r="S34" s="122">
        <f>IF(B34=1,Rice_Inputs!$O$9,S33*(1+Rice_Inputs!$N$23))*F34</f>
        <v>65821.776281462226</v>
      </c>
      <c r="T34" s="122">
        <f>IF(B34=1,Rice_Inputs!$O$10,T33*(1+Rice_Inputs!$N$23))*F34</f>
        <v>31155.9388600983</v>
      </c>
      <c r="U34" s="122">
        <f>IF(B34=1,Rice_Inputs!$O$11,U33*(1+Rice_Inputs!$N$23))*F34</f>
        <v>22950.259489537442</v>
      </c>
      <c r="V34" s="122">
        <f>IF(B34=1,Rice_Inputs!$O$12,V33*(1+Rice_Inputs!$N$23))*F34</f>
        <v>114.82311448779703</v>
      </c>
      <c r="W34" s="122">
        <f>IF(B34=1,Rice_Inputs!$O$13,W33*(1+Rice_Inputs!$N$23))*F34</f>
        <v>0</v>
      </c>
      <c r="X34" s="122">
        <f>IF(B34=1,Rice_Inputs!$O$14,X33*(1+Rice_Inputs!$N$23))*F34</f>
        <v>13064.619178381126</v>
      </c>
      <c r="Y34" s="122">
        <f>IF(B34=1,Rice_Inputs!$O$15,Y33*(1+Rice_Inputs!$N$23))*F34</f>
        <v>13064.619178381126</v>
      </c>
      <c r="Z34" s="122">
        <f>IF(B34=1,Rice_Inputs!$O$16,Z33*(1+Rice_Inputs!$N$23))*F34</f>
        <v>8038.7982256637633</v>
      </c>
      <c r="AA34" s="122">
        <f>IF(B34=1,Rice_Inputs!$O$17,AA33*(1+Rice_Inputs!$N$23))*F34</f>
        <v>19278.622385909621</v>
      </c>
      <c r="AB34" s="181">
        <f>IF(B34=1,Rice_Inputs!$O$18,AB33*(1+Rice_Inputs!$N$23))*F34</f>
        <v>0</v>
      </c>
      <c r="AC34" s="482">
        <f>IF(B34=1,Rice_Inputs!$O$19,AC33*(1+Rice_Inputs!$N$23))*F34</f>
        <v>0</v>
      </c>
      <c r="AD34" s="122">
        <f>IF(B34=1,Rice_Inputs!$O$20,AD33*(1+Rice_Inputs!$N$23))*F34</f>
        <v>0</v>
      </c>
      <c r="AE34" s="122">
        <f>IF(B34=1,Rice_Inputs!$O$21,AE33*(1+Rice_Inputs!$N$23))*F34</f>
        <v>0</v>
      </c>
      <c r="AF34" s="132">
        <f>IF(B34=1,Rice_Inputs!$O$22,AF33*(1+Rice_Inputs!$N$23))*F34</f>
        <v>0</v>
      </c>
      <c r="AG34" s="200">
        <f t="shared" si="31"/>
        <v>2369005.3478798047</v>
      </c>
      <c r="AH34" s="86">
        <f t="shared" si="13"/>
        <v>215176.32560398616</v>
      </c>
      <c r="AI34" s="225">
        <f t="shared" si="14"/>
        <v>8.3266717588745348E-2</v>
      </c>
      <c r="AJ34" s="220">
        <f>Deprec!L33</f>
        <v>21152.386150083687</v>
      </c>
      <c r="AK34" s="122">
        <f t="shared" si="32"/>
        <v>194023.93945390248</v>
      </c>
      <c r="AL34" s="221">
        <f t="shared" si="33"/>
        <v>0</v>
      </c>
      <c r="AM34" s="122">
        <f t="shared" si="34"/>
        <v>194023.93945390248</v>
      </c>
      <c r="AN34" s="438">
        <f>IF(AM34&lt;0,0,(AM34*Rice_Inputs!$J$14))</f>
        <v>58207.181836170741</v>
      </c>
      <c r="AO34" s="86">
        <f t="shared" si="35"/>
        <v>135816.75761773175</v>
      </c>
      <c r="AP34" s="226">
        <f t="shared" si="16"/>
        <v>5.2556969585901545E-2</v>
      </c>
      <c r="AS34" s="196">
        <f t="shared" si="17"/>
        <v>2584181.6734837908</v>
      </c>
      <c r="AT34" s="86">
        <f t="shared" si="18"/>
        <v>2369005.3478798047</v>
      </c>
      <c r="AU34" s="197">
        <f t="shared" si="36"/>
        <v>215176.32560398616</v>
      </c>
      <c r="AV34" s="218">
        <f>IF(B34=0,Rice_Inputs!$C$29,0)</f>
        <v>0</v>
      </c>
      <c r="AW34" s="198">
        <f t="shared" si="5"/>
        <v>0</v>
      </c>
      <c r="AX34" s="197">
        <f t="shared" si="6"/>
        <v>215176.32560398616</v>
      </c>
      <c r="AY34" s="184">
        <f>IF(B34=0,Rice_Inputs!$G$15+Rice_Inputs!$G$16,0)</f>
        <v>0</v>
      </c>
      <c r="AZ34" s="185">
        <f>IF(B34=0,Rice_Inputs!$G$14,0)</f>
        <v>0</v>
      </c>
      <c r="BA34" s="132">
        <f t="shared" si="37"/>
        <v>0</v>
      </c>
      <c r="BB34" s="218">
        <f t="shared" si="38"/>
        <v>215176.32560398616</v>
      </c>
      <c r="BC34" s="218">
        <f>Rice_Inputs!$G$20*AVERAGE(BR34,BS34)</f>
        <v>0</v>
      </c>
      <c r="BD34" s="200">
        <f t="shared" si="9"/>
        <v>58207.181836170741</v>
      </c>
      <c r="BE34" s="200">
        <f t="shared" si="19"/>
        <v>215176.32560398616</v>
      </c>
      <c r="BF34" s="86">
        <f t="shared" si="20"/>
        <v>156969.14376781543</v>
      </c>
      <c r="BG34" s="197">
        <f t="shared" si="21"/>
        <v>156969.14376781543</v>
      </c>
      <c r="BH34" s="86">
        <f t="shared" si="39"/>
        <v>0</v>
      </c>
      <c r="BI34" s="86">
        <f t="shared" si="40"/>
        <v>0</v>
      </c>
      <c r="BJ34" s="122">
        <f>-Debt_Calc!AQ32</f>
        <v>0</v>
      </c>
      <c r="BK34" s="122">
        <f>Debt_Calc!AR32</f>
        <v>0</v>
      </c>
      <c r="BL34" s="86">
        <f t="shared" si="22"/>
        <v>0</v>
      </c>
      <c r="BM34" s="423">
        <f t="shared" si="41"/>
        <v>0</v>
      </c>
      <c r="BN34" s="86">
        <f t="shared" si="42"/>
        <v>156969.14376781543</v>
      </c>
      <c r="BO34" s="86">
        <f t="shared" si="23"/>
        <v>215176.32560398616</v>
      </c>
      <c r="BP34" s="86">
        <f t="shared" si="43"/>
        <v>156969.14376781543</v>
      </c>
      <c r="BQ34" s="86">
        <f t="shared" si="24"/>
        <v>0</v>
      </c>
      <c r="BR34" s="86">
        <f t="shared" si="25"/>
        <v>0</v>
      </c>
      <c r="BS34" s="86">
        <f t="shared" si="10"/>
        <v>0</v>
      </c>
      <c r="BT34" s="86">
        <f t="shared" si="26"/>
        <v>2503802.8485551486</v>
      </c>
      <c r="BU34" s="86">
        <f t="shared" si="44"/>
        <v>2</v>
      </c>
      <c r="BV34" s="214">
        <f t="shared" si="11"/>
        <v>28.558197978727314</v>
      </c>
    </row>
    <row r="35" spans="2:93" s="86" customFormat="1" x14ac:dyDescent="0.3">
      <c r="B35" s="192">
        <f t="shared" si="27"/>
        <v>24</v>
      </c>
      <c r="C35" s="350">
        <f t="shared" si="12"/>
        <v>2045</v>
      </c>
      <c r="D35" s="351">
        <f t="shared" si="45"/>
        <v>52963</v>
      </c>
      <c r="E35" s="441">
        <f t="shared" si="45"/>
        <v>53327</v>
      </c>
      <c r="F35" s="445">
        <f>IF(AND(B35&gt;0,B35&lt;=Rice_Inputs!$J$17),1,0)</f>
        <v>1</v>
      </c>
      <c r="G35" s="447">
        <f>IF(F35=1,Rice_Inputs!$G$29,0)</f>
        <v>1548837.2093023255</v>
      </c>
      <c r="H35" s="348">
        <f>IF(AND(F34=0,F35=1),100%,IF(AND(F34=0,F35=0),100%,H34-Rice_Inputs!$G$42))*F35</f>
        <v>0.98850000000000127</v>
      </c>
      <c r="I35" s="216">
        <f t="shared" si="29"/>
        <v>1531025.5813953506</v>
      </c>
      <c r="J35" s="219">
        <f>Rice_Inputs!$J$11</f>
        <v>0.01</v>
      </c>
      <c r="K35" s="444">
        <f>IF(B35=1,Rice_Inputs!$R$15,K34*(1+Rice_CashFlows!J35))*F35</f>
        <v>1.7038931258771546</v>
      </c>
      <c r="L35" s="338">
        <f>IF(B35=1,Rice_Inputs!$R$16,L34*(1+Rice_CashFlows!J35))*F35</f>
        <v>0</v>
      </c>
      <c r="M35" s="122">
        <f>K35*I35*Rice_Inputs!$J$9</f>
        <v>2608703.9636816122</v>
      </c>
      <c r="N35" s="222">
        <f>L35*I35*Rice_Inputs!$J$10</f>
        <v>0</v>
      </c>
      <c r="O35" s="423">
        <f t="shared" si="30"/>
        <v>0</v>
      </c>
      <c r="P35" s="122">
        <f>SUM(M35:O35)+IF(B35=Rice_Inputs!$J$17,Rice_Inputs!$J$19,0)</f>
        <v>2608703.9636816122</v>
      </c>
      <c r="Q35" s="218">
        <f>IF(B35=1,Rice_Inputs!$O$7,Q34*(1+Rice_Inputs!$N$23))*F35</f>
        <v>2146905.3386052153</v>
      </c>
      <c r="R35" s="122">
        <f>IF(B35=1,Rice_Inputs!$O$8,R34*(1+Rice_Inputs!$N$23))*F35</f>
        <v>70565.711472326831</v>
      </c>
      <c r="S35" s="122">
        <f>IF(B35=1,Rice_Inputs!$O$9,S34*(1+Rice_Inputs!$N$23))*F35</f>
        <v>66479.994044276842</v>
      </c>
      <c r="T35" s="122">
        <f>IF(B35=1,Rice_Inputs!$O$10,T34*(1+Rice_Inputs!$N$23))*F35</f>
        <v>31467.498248699285</v>
      </c>
      <c r="U35" s="122">
        <f>IF(B35=1,Rice_Inputs!$O$11,U34*(1+Rice_Inputs!$N$23))*F35</f>
        <v>23179.762084432816</v>
      </c>
      <c r="V35" s="122">
        <f>IF(B35=1,Rice_Inputs!$O$12,V34*(1+Rice_Inputs!$N$23))*F35</f>
        <v>115.971345632675</v>
      </c>
      <c r="W35" s="122">
        <f>IF(B35=1,Rice_Inputs!$O$13,W34*(1+Rice_Inputs!$N$23))*F35</f>
        <v>0</v>
      </c>
      <c r="X35" s="122">
        <f>IF(B35=1,Rice_Inputs!$O$14,X34*(1+Rice_Inputs!$N$23))*F35</f>
        <v>13195.265370164938</v>
      </c>
      <c r="Y35" s="122">
        <f>IF(B35=1,Rice_Inputs!$O$15,Y34*(1+Rice_Inputs!$N$23))*F35</f>
        <v>13195.265370164938</v>
      </c>
      <c r="Z35" s="122">
        <f>IF(B35=1,Rice_Inputs!$O$16,Z34*(1+Rice_Inputs!$N$23))*F35</f>
        <v>8119.1862079204011</v>
      </c>
      <c r="AA35" s="122">
        <f>IF(B35=1,Rice_Inputs!$O$17,AA34*(1+Rice_Inputs!$N$23))*F35</f>
        <v>19471.408609768718</v>
      </c>
      <c r="AB35" s="181">
        <f>IF(B35=1,Rice_Inputs!$O$18,AB34*(1+Rice_Inputs!$N$23))*F35</f>
        <v>0</v>
      </c>
      <c r="AC35" s="482">
        <f>IF(B35=1,Rice_Inputs!$O$19,AC34*(1+Rice_Inputs!$N$23))*F35</f>
        <v>0</v>
      </c>
      <c r="AD35" s="122">
        <f>IF(B35=1,Rice_Inputs!$O$20,AD34*(1+Rice_Inputs!$N$23))*F35</f>
        <v>0</v>
      </c>
      <c r="AE35" s="122">
        <f>IF(B35=1,Rice_Inputs!$O$21,AE34*(1+Rice_Inputs!$N$23))*F35</f>
        <v>0</v>
      </c>
      <c r="AF35" s="132">
        <f>IF(B35=1,Rice_Inputs!$O$22,AF34*(1+Rice_Inputs!$N$23))*F35</f>
        <v>0</v>
      </c>
      <c r="AG35" s="200">
        <f t="shared" si="31"/>
        <v>2392695.401358603</v>
      </c>
      <c r="AH35" s="86">
        <f t="shared" si="13"/>
        <v>216008.56232300913</v>
      </c>
      <c r="AI35" s="225">
        <f t="shared" si="14"/>
        <v>8.2803018406948911E-2</v>
      </c>
      <c r="AJ35" s="220">
        <f>Deprec!L34</f>
        <v>21152.386150083687</v>
      </c>
      <c r="AK35" s="122">
        <f t="shared" si="32"/>
        <v>194856.17617292545</v>
      </c>
      <c r="AL35" s="221">
        <f t="shared" si="33"/>
        <v>0</v>
      </c>
      <c r="AM35" s="122">
        <f t="shared" si="34"/>
        <v>194856.17617292545</v>
      </c>
      <c r="AN35" s="438">
        <f>IF(AM35&lt;0,0,(AM35*Rice_Inputs!$J$14))</f>
        <v>58456.852851877637</v>
      </c>
      <c r="AO35" s="86">
        <f t="shared" si="35"/>
        <v>136399.32332104782</v>
      </c>
      <c r="AP35" s="226">
        <f t="shared" si="16"/>
        <v>5.2286240685029725E-2</v>
      </c>
      <c r="AS35" s="196">
        <f t="shared" si="17"/>
        <v>2608703.9636816122</v>
      </c>
      <c r="AT35" s="86">
        <f t="shared" si="18"/>
        <v>2392695.401358603</v>
      </c>
      <c r="AU35" s="197">
        <f t="shared" si="36"/>
        <v>216008.56232300913</v>
      </c>
      <c r="AV35" s="218">
        <f>IF(B35=0,Rice_Inputs!$C$29,0)</f>
        <v>0</v>
      </c>
      <c r="AW35" s="198">
        <f t="shared" si="5"/>
        <v>0</v>
      </c>
      <c r="AX35" s="197">
        <f t="shared" si="6"/>
        <v>216008.56232300913</v>
      </c>
      <c r="AY35" s="184">
        <f>IF(B35=0,Rice_Inputs!$G$15+Rice_Inputs!$G$16,0)</f>
        <v>0</v>
      </c>
      <c r="AZ35" s="185">
        <f>IF(B35=0,Rice_Inputs!$G$14,0)</f>
        <v>0</v>
      </c>
      <c r="BA35" s="132">
        <f t="shared" si="37"/>
        <v>0</v>
      </c>
      <c r="BB35" s="218">
        <f t="shared" si="38"/>
        <v>216008.56232300913</v>
      </c>
      <c r="BC35" s="218">
        <f>Rice_Inputs!$G$20*AVERAGE(BR35,BS35)</f>
        <v>0</v>
      </c>
      <c r="BD35" s="200">
        <f t="shared" si="9"/>
        <v>58456.852851877637</v>
      </c>
      <c r="BE35" s="200">
        <f t="shared" si="19"/>
        <v>216008.56232300913</v>
      </c>
      <c r="BF35" s="86">
        <f t="shared" si="20"/>
        <v>157551.7094711315</v>
      </c>
      <c r="BG35" s="197">
        <f t="shared" si="21"/>
        <v>157551.7094711315</v>
      </c>
      <c r="BH35" s="86">
        <f t="shared" si="39"/>
        <v>0</v>
      </c>
      <c r="BI35" s="86">
        <f t="shared" si="40"/>
        <v>0</v>
      </c>
      <c r="BJ35" s="122">
        <f>-Debt_Calc!AQ33</f>
        <v>0</v>
      </c>
      <c r="BK35" s="122">
        <f>Debt_Calc!AR33</f>
        <v>0</v>
      </c>
      <c r="BL35" s="86">
        <f t="shared" si="22"/>
        <v>0</v>
      </c>
      <c r="BM35" s="423">
        <f t="shared" si="41"/>
        <v>0</v>
      </c>
      <c r="BN35" s="86">
        <f t="shared" si="42"/>
        <v>157551.7094711315</v>
      </c>
      <c r="BO35" s="86">
        <f t="shared" si="23"/>
        <v>216008.56232300913</v>
      </c>
      <c r="BP35" s="86">
        <f t="shared" si="43"/>
        <v>157551.7094711315</v>
      </c>
      <c r="BQ35" s="86">
        <f t="shared" si="24"/>
        <v>0</v>
      </c>
      <c r="BR35" s="86">
        <f t="shared" si="25"/>
        <v>0</v>
      </c>
      <c r="BS35" s="86">
        <f t="shared" si="10"/>
        <v>0</v>
      </c>
      <c r="BT35" s="86">
        <f t="shared" si="26"/>
        <v>2661354.5580262803</v>
      </c>
      <c r="BU35" s="86">
        <f t="shared" si="44"/>
        <v>2</v>
      </c>
      <c r="BV35" s="214">
        <f t="shared" si="11"/>
        <v>19.711846329719911</v>
      </c>
    </row>
    <row r="36" spans="2:93" s="86" customFormat="1" x14ac:dyDescent="0.3">
      <c r="B36" s="192">
        <f t="shared" si="27"/>
        <v>25</v>
      </c>
      <c r="C36" s="350">
        <f t="shared" si="12"/>
        <v>2046</v>
      </c>
      <c r="D36" s="351">
        <f t="shared" si="45"/>
        <v>53328</v>
      </c>
      <c r="E36" s="441">
        <f t="shared" si="45"/>
        <v>53692</v>
      </c>
      <c r="F36" s="445">
        <f>IF(AND(B36&gt;0,B36&lt;=Rice_Inputs!$J$17),1,0)</f>
        <v>1</v>
      </c>
      <c r="G36" s="447">
        <f>IF(F36=1,Rice_Inputs!$G$29,0)</f>
        <v>1548837.2093023255</v>
      </c>
      <c r="H36" s="348">
        <f>IF(AND(F35=0,F36=1),100%,IF(AND(F35=0,F36=0),100%,H35-Rice_Inputs!$G$42))*F36</f>
        <v>0.98800000000000132</v>
      </c>
      <c r="I36" s="216">
        <f t="shared" si="29"/>
        <v>1530251.1627906996</v>
      </c>
      <c r="J36" s="219">
        <f>Rice_Inputs!$J$11</f>
        <v>0.01</v>
      </c>
      <c r="K36" s="444">
        <f>IF(B36=1,Rice_Inputs!$R$15,K35*(1+Rice_CashFlows!J36))*F36</f>
        <v>1.7209320571359261</v>
      </c>
      <c r="L36" s="338">
        <f>IF(B36=1,Rice_Inputs!$R$16,L35*(1+Rice_CashFlows!J36))*F36</f>
        <v>0</v>
      </c>
      <c r="M36" s="122">
        <f>K36*I36*Rice_Inputs!$J$9</f>
        <v>2633458.2815160416</v>
      </c>
      <c r="N36" s="222">
        <f>L36*I36*Rice_Inputs!$J$10</f>
        <v>0</v>
      </c>
      <c r="O36" s="423">
        <f t="shared" si="30"/>
        <v>0</v>
      </c>
      <c r="P36" s="122">
        <f>SUM(M36:O36)+IF(B36=Rice_Inputs!$J$17,Rice_Inputs!$J$19,0)</f>
        <v>2633458.2815160416</v>
      </c>
      <c r="Q36" s="218">
        <f>IF(B36=1,Rice_Inputs!$O$7,Q35*(1+Rice_Inputs!$N$23))*F36</f>
        <v>2168374.3919912674</v>
      </c>
      <c r="R36" s="122">
        <f>IF(B36=1,Rice_Inputs!$O$8,R35*(1+Rice_Inputs!$N$23))*F36</f>
        <v>71271.368587050107</v>
      </c>
      <c r="S36" s="122">
        <f>IF(B36=1,Rice_Inputs!$O$9,S35*(1+Rice_Inputs!$N$23))*F36</f>
        <v>67144.79398471961</v>
      </c>
      <c r="T36" s="122">
        <f>IF(B36=1,Rice_Inputs!$O$10,T35*(1+Rice_Inputs!$N$23))*F36</f>
        <v>31782.17323118628</v>
      </c>
      <c r="U36" s="122">
        <f>IF(B36=1,Rice_Inputs!$O$11,U35*(1+Rice_Inputs!$N$23))*F36</f>
        <v>23411.559705277145</v>
      </c>
      <c r="V36" s="122">
        <f>IF(B36=1,Rice_Inputs!$O$12,V35*(1+Rice_Inputs!$N$23))*F36</f>
        <v>117.13105908900175</v>
      </c>
      <c r="W36" s="122">
        <f>IF(B36=1,Rice_Inputs!$O$13,W35*(1+Rice_Inputs!$N$23))*F36</f>
        <v>0</v>
      </c>
      <c r="X36" s="122">
        <f>IF(B36=1,Rice_Inputs!$O$14,X35*(1+Rice_Inputs!$N$23))*F36</f>
        <v>13327.218023866588</v>
      </c>
      <c r="Y36" s="122">
        <f>IF(B36=1,Rice_Inputs!$O$15,Y35*(1+Rice_Inputs!$N$23))*F36</f>
        <v>13327.218023866588</v>
      </c>
      <c r="Z36" s="122">
        <f>IF(B36=1,Rice_Inputs!$O$16,Z35*(1+Rice_Inputs!$N$23))*F36</f>
        <v>8200.3780699996059</v>
      </c>
      <c r="AA36" s="122">
        <f>IF(B36=1,Rice_Inputs!$O$17,AA35*(1+Rice_Inputs!$N$23))*F36</f>
        <v>19666.122695866405</v>
      </c>
      <c r="AB36" s="181">
        <f>IF(B36=1,Rice_Inputs!$O$18,AB35*(1+Rice_Inputs!$N$23))*F36</f>
        <v>0</v>
      </c>
      <c r="AC36" s="482">
        <f>IF(B36=1,Rice_Inputs!$O$19,AC35*(1+Rice_Inputs!$N$23))*F36</f>
        <v>0</v>
      </c>
      <c r="AD36" s="122">
        <f>IF(B36=1,Rice_Inputs!$O$20,AD35*(1+Rice_Inputs!$N$23))*F36</f>
        <v>0</v>
      </c>
      <c r="AE36" s="122">
        <f>IF(B36=1,Rice_Inputs!$O$21,AE35*(1+Rice_Inputs!$N$23))*F36</f>
        <v>0</v>
      </c>
      <c r="AF36" s="132">
        <f>IF(B36=1,Rice_Inputs!$O$22,AF35*(1+Rice_Inputs!$N$23))*F36</f>
        <v>0</v>
      </c>
      <c r="AG36" s="200">
        <f t="shared" si="31"/>
        <v>2416622.3553721886</v>
      </c>
      <c r="AH36" s="86">
        <f t="shared" si="13"/>
        <v>216835.92614385299</v>
      </c>
      <c r="AI36" s="225">
        <f t="shared" si="14"/>
        <v>8.2338849893997132E-2</v>
      </c>
      <c r="AJ36" s="220">
        <f>Deprec!L35</f>
        <v>21152.386150083687</v>
      </c>
      <c r="AK36" s="122">
        <f t="shared" si="32"/>
        <v>195683.53999376931</v>
      </c>
      <c r="AL36" s="221">
        <f t="shared" si="33"/>
        <v>0</v>
      </c>
      <c r="AM36" s="122">
        <f t="shared" si="34"/>
        <v>195683.53999376931</v>
      </c>
      <c r="AN36" s="438">
        <f>IF(AM36&lt;0,0,(AM36*Rice_Inputs!$J$14))</f>
        <v>58705.06199813079</v>
      </c>
      <c r="AO36" s="86">
        <f t="shared" si="35"/>
        <v>136978.47799563853</v>
      </c>
      <c r="AP36" s="226">
        <f t="shared" si="16"/>
        <v>5.2014675515110922E-2</v>
      </c>
      <c r="AS36" s="196">
        <f t="shared" si="17"/>
        <v>2633458.2815160416</v>
      </c>
      <c r="AT36" s="86">
        <f t="shared" si="18"/>
        <v>2416622.3553721886</v>
      </c>
      <c r="AU36" s="197">
        <f t="shared" si="36"/>
        <v>216835.92614385299</v>
      </c>
      <c r="AV36" s="218">
        <f>IF(B36=0,Rice_Inputs!$C$29,0)</f>
        <v>0</v>
      </c>
      <c r="AW36" s="198">
        <f t="shared" si="5"/>
        <v>0</v>
      </c>
      <c r="AX36" s="197">
        <f t="shared" si="6"/>
        <v>216835.92614385299</v>
      </c>
      <c r="AY36" s="184">
        <f>IF(B36=0,Rice_Inputs!$G$15+Rice_Inputs!$G$16,0)</f>
        <v>0</v>
      </c>
      <c r="AZ36" s="185">
        <f>IF(B36=0,Rice_Inputs!$G$14,0)</f>
        <v>0</v>
      </c>
      <c r="BA36" s="132">
        <f t="shared" si="37"/>
        <v>0</v>
      </c>
      <c r="BB36" s="218">
        <f t="shared" si="38"/>
        <v>216835.92614385299</v>
      </c>
      <c r="BC36" s="218">
        <f>Rice_Inputs!$G$20*AVERAGE(BR36,BS36)</f>
        <v>0</v>
      </c>
      <c r="BD36" s="200">
        <f t="shared" si="9"/>
        <v>58705.06199813079</v>
      </c>
      <c r="BE36" s="200">
        <f t="shared" si="19"/>
        <v>216835.92614385299</v>
      </c>
      <c r="BF36" s="86">
        <f t="shared" si="20"/>
        <v>158130.86414572221</v>
      </c>
      <c r="BG36" s="197">
        <f t="shared" si="21"/>
        <v>158130.86414572221</v>
      </c>
      <c r="BH36" s="86">
        <f t="shared" si="39"/>
        <v>0</v>
      </c>
      <c r="BI36" s="86">
        <f t="shared" si="40"/>
        <v>0</v>
      </c>
      <c r="BJ36" s="122">
        <f>-Debt_Calc!AQ34</f>
        <v>0</v>
      </c>
      <c r="BK36" s="122">
        <f>Debt_Calc!AR34</f>
        <v>0</v>
      </c>
      <c r="BL36" s="86">
        <f t="shared" si="22"/>
        <v>0</v>
      </c>
      <c r="BM36" s="423">
        <f t="shared" si="41"/>
        <v>0</v>
      </c>
      <c r="BN36" s="86">
        <f t="shared" si="42"/>
        <v>158130.86414572221</v>
      </c>
      <c r="BO36" s="86">
        <f t="shared" si="23"/>
        <v>216835.92614385299</v>
      </c>
      <c r="BP36" s="86">
        <f t="shared" si="43"/>
        <v>158130.86414572221</v>
      </c>
      <c r="BQ36" s="86">
        <f t="shared" si="24"/>
        <v>0</v>
      </c>
      <c r="BR36" s="86">
        <f t="shared" si="25"/>
        <v>0</v>
      </c>
      <c r="BS36" s="86">
        <f t="shared" si="10"/>
        <v>0</v>
      </c>
      <c r="BT36" s="86">
        <f t="shared" si="26"/>
        <v>2819485.4221720025</v>
      </c>
      <c r="BU36" s="86">
        <f t="shared" si="44"/>
        <v>2</v>
      </c>
      <c r="BV36" s="214">
        <f t="shared" si="11"/>
        <v>13.605311941940064</v>
      </c>
    </row>
    <row r="37" spans="2:93" s="86" customFormat="1" x14ac:dyDescent="0.3">
      <c r="B37" s="192">
        <f t="shared" si="27"/>
        <v>26</v>
      </c>
      <c r="C37" s="350">
        <f t="shared" si="12"/>
        <v>2047</v>
      </c>
      <c r="D37" s="351">
        <f t="shared" si="45"/>
        <v>53693</v>
      </c>
      <c r="E37" s="441">
        <f t="shared" si="45"/>
        <v>54057</v>
      </c>
      <c r="F37" s="445">
        <f>IF(AND(B37&gt;0,B37&lt;=Rice_Inputs!$J$17),1,0)</f>
        <v>0</v>
      </c>
      <c r="G37" s="447">
        <f>IF(F37=1,Rice_Inputs!$G$29,0)</f>
        <v>0</v>
      </c>
      <c r="H37" s="348">
        <f>IF(AND(F36=0,F37=1),100%,IF(AND(F36=0,F37=0),100%,H36-Rice_Inputs!$G$42))*F37</f>
        <v>0</v>
      </c>
      <c r="I37" s="216">
        <f t="shared" si="29"/>
        <v>0</v>
      </c>
      <c r="J37" s="219">
        <f>Rice_Inputs!$J$11</f>
        <v>0.01</v>
      </c>
      <c r="K37" s="444">
        <f>IF(B37=1,Rice_Inputs!$R$15,K36*(1+Rice_CashFlows!J37))*F37</f>
        <v>0</v>
      </c>
      <c r="L37" s="338">
        <f>IF(B37=1,Rice_Inputs!$R$16,L36*(1+Rice_CashFlows!J37))*F37</f>
        <v>0</v>
      </c>
      <c r="M37" s="122">
        <f>K37*I37*Rice_Inputs!$J$9</f>
        <v>0</v>
      </c>
      <c r="N37" s="222">
        <f>L37*I37*Rice_Inputs!$J$10</f>
        <v>0</v>
      </c>
      <c r="O37" s="423">
        <f t="shared" si="30"/>
        <v>0</v>
      </c>
      <c r="P37" s="122">
        <f>SUM(M37:O37)+IF(B37=Rice_Inputs!$J$17,Rice_Inputs!$J$19,0)</f>
        <v>0</v>
      </c>
      <c r="Q37" s="218">
        <f>IF(B37=1,Rice_Inputs!$O$7,Q36*(1+Rice_Inputs!$N$23))*F37</f>
        <v>0</v>
      </c>
      <c r="R37" s="122">
        <f>IF(B37=1,Rice_Inputs!$O$8,R36*(1+Rice_Inputs!$N$23))*F37</f>
        <v>0</v>
      </c>
      <c r="S37" s="122">
        <f>IF(B37=1,Rice_Inputs!$O$9,S36*(1+Rice_Inputs!$N$23))*F37</f>
        <v>0</v>
      </c>
      <c r="T37" s="122">
        <f>IF(B37=1,Rice_Inputs!$O$10,T36*(1+Rice_Inputs!$N$23))*F37</f>
        <v>0</v>
      </c>
      <c r="U37" s="122">
        <f>IF(B37=1,Rice_Inputs!$O$11,U36*(1+Rice_Inputs!$N$23))*F37</f>
        <v>0</v>
      </c>
      <c r="V37" s="122">
        <f>IF(B37=1,Rice_Inputs!$O$12,V36*(1+Rice_Inputs!$N$23))*F37</f>
        <v>0</v>
      </c>
      <c r="W37" s="122">
        <f>IF(B37=1,Rice_Inputs!$O$13,W36*(1+Rice_Inputs!$N$23))*F37</f>
        <v>0</v>
      </c>
      <c r="X37" s="122">
        <f>IF(B37=1,Rice_Inputs!$O$14,X36*(1+Rice_Inputs!$N$23))*F37</f>
        <v>0</v>
      </c>
      <c r="Y37" s="122">
        <f>IF(B37=1,Rice_Inputs!$O$15,Y36*(1+Rice_Inputs!$N$23))*F37</f>
        <v>0</v>
      </c>
      <c r="Z37" s="122">
        <f>IF(B37=1,Rice_Inputs!$O$16,Z36*(1+Rice_Inputs!$N$23))*F37</f>
        <v>0</v>
      </c>
      <c r="AA37" s="122">
        <f>IF(B37=1,Rice_Inputs!$O$17,AA36*(1+Rice_Inputs!$N$23))*F37</f>
        <v>0</v>
      </c>
      <c r="AB37" s="181">
        <f>IF(B37=1,Rice_Inputs!$O$18,AB36*(1+Rice_Inputs!$N$23))*F37</f>
        <v>0</v>
      </c>
      <c r="AC37" s="482">
        <f>IF(B37=1,Rice_Inputs!$O$19,AC36*(1+Rice_Inputs!$N$23))*F37</f>
        <v>0</v>
      </c>
      <c r="AD37" s="122">
        <f>IF(B37=1,Rice_Inputs!$O$20,AD36*(1+Rice_Inputs!$N$23))*F37</f>
        <v>0</v>
      </c>
      <c r="AE37" s="122">
        <f>IF(B37=1,Rice_Inputs!$O$21,AE36*(1+Rice_Inputs!$N$23))*F37</f>
        <v>0</v>
      </c>
      <c r="AF37" s="132">
        <f>IF(B37=1,Rice_Inputs!$O$22,AF36*(1+Rice_Inputs!$N$23))*F37</f>
        <v>0</v>
      </c>
      <c r="AG37" s="200">
        <f t="shared" si="31"/>
        <v>0</v>
      </c>
      <c r="AH37" s="86">
        <f t="shared" si="13"/>
        <v>0</v>
      </c>
      <c r="AI37" s="225">
        <f t="shared" si="14"/>
        <v>0</v>
      </c>
      <c r="AJ37" s="220">
        <f>Deprec!L36</f>
        <v>0</v>
      </c>
      <c r="AK37" s="122">
        <f t="shared" si="32"/>
        <v>0</v>
      </c>
      <c r="AL37" s="221">
        <f t="shared" si="33"/>
        <v>0</v>
      </c>
      <c r="AM37" s="122">
        <f t="shared" si="34"/>
        <v>0</v>
      </c>
      <c r="AN37" s="438">
        <f>IF(AM37&lt;0,0,(AM37*Rice_Inputs!$J$14))</f>
        <v>0</v>
      </c>
      <c r="AO37" s="86">
        <f t="shared" si="35"/>
        <v>0</v>
      </c>
      <c r="AP37" s="226">
        <f t="shared" si="16"/>
        <v>0</v>
      </c>
      <c r="AS37" s="196">
        <f t="shared" si="17"/>
        <v>0</v>
      </c>
      <c r="AT37" s="86">
        <f t="shared" si="18"/>
        <v>0</v>
      </c>
      <c r="AU37" s="197">
        <f t="shared" si="36"/>
        <v>0</v>
      </c>
      <c r="AV37" s="218">
        <f>IF(B37=0,Rice_Inputs!$C$29,0)</f>
        <v>0</v>
      </c>
      <c r="AW37" s="198">
        <f t="shared" si="5"/>
        <v>0</v>
      </c>
      <c r="AX37" s="197">
        <f t="shared" si="6"/>
        <v>0</v>
      </c>
      <c r="AY37" s="184">
        <f>IF(B37=0,Rice_Inputs!$G$15+Rice_Inputs!$G$16,0)</f>
        <v>0</v>
      </c>
      <c r="AZ37" s="185">
        <f>IF(B37=0,Rice_Inputs!$G$14,0)</f>
        <v>0</v>
      </c>
      <c r="BA37" s="132">
        <f t="shared" si="37"/>
        <v>0</v>
      </c>
      <c r="BB37" s="218">
        <f t="shared" si="38"/>
        <v>0</v>
      </c>
      <c r="BC37" s="218">
        <f>Rice_Inputs!$G$20*AVERAGE(BR37,BS37)</f>
        <v>0</v>
      </c>
      <c r="BD37" s="200">
        <f t="shared" si="9"/>
        <v>0</v>
      </c>
      <c r="BE37" s="200">
        <f t="shared" si="19"/>
        <v>0</v>
      </c>
      <c r="BF37" s="86">
        <f t="shared" si="20"/>
        <v>0</v>
      </c>
      <c r="BG37" s="197">
        <f t="shared" si="21"/>
        <v>0</v>
      </c>
      <c r="BH37" s="86">
        <f t="shared" si="39"/>
        <v>0</v>
      </c>
      <c r="BI37" s="86">
        <f t="shared" si="40"/>
        <v>0</v>
      </c>
      <c r="BJ37" s="122">
        <f>-Debt_Calc!AQ35</f>
        <v>0</v>
      </c>
      <c r="BK37" s="122">
        <f>Debt_Calc!AR35</f>
        <v>0</v>
      </c>
      <c r="BL37" s="86">
        <f t="shared" si="22"/>
        <v>0</v>
      </c>
      <c r="BM37" s="423">
        <f t="shared" si="41"/>
        <v>0</v>
      </c>
      <c r="BN37" s="86">
        <f t="shared" si="42"/>
        <v>0</v>
      </c>
      <c r="BO37" s="86">
        <f t="shared" si="23"/>
        <v>0</v>
      </c>
      <c r="BP37" s="86">
        <f t="shared" si="43"/>
        <v>0</v>
      </c>
      <c r="BQ37" s="86">
        <f t="shared" si="24"/>
        <v>0</v>
      </c>
      <c r="BR37" s="86">
        <f t="shared" si="25"/>
        <v>0</v>
      </c>
      <c r="BS37" s="86">
        <f t="shared" si="10"/>
        <v>0</v>
      </c>
      <c r="BT37" s="86">
        <f t="shared" si="26"/>
        <v>2819485.4221720025</v>
      </c>
      <c r="BU37" s="86">
        <f t="shared" si="44"/>
        <v>2</v>
      </c>
      <c r="BV37" s="214">
        <f t="shared" si="11"/>
        <v>0</v>
      </c>
    </row>
    <row r="38" spans="2:93" s="86" customFormat="1" x14ac:dyDescent="0.3">
      <c r="B38" s="192">
        <f t="shared" si="27"/>
        <v>27</v>
      </c>
      <c r="C38" s="350">
        <f t="shared" si="12"/>
        <v>2048</v>
      </c>
      <c r="D38" s="351">
        <f t="shared" si="45"/>
        <v>54058</v>
      </c>
      <c r="E38" s="441">
        <f t="shared" si="45"/>
        <v>54423</v>
      </c>
      <c r="F38" s="445">
        <f>IF(AND(B38&gt;0,B38&lt;=Rice_Inputs!$J$17),1,0)</f>
        <v>0</v>
      </c>
      <c r="G38" s="447">
        <f>IF(F38=1,Rice_Inputs!$G$29,0)</f>
        <v>0</v>
      </c>
      <c r="H38" s="348">
        <f>IF(AND(F37=0,F38=1),100%,IF(AND(F37=0,F38=0),100%,H37-Rice_Inputs!$G$42))*F38</f>
        <v>0</v>
      </c>
      <c r="I38" s="216">
        <f t="shared" si="29"/>
        <v>0</v>
      </c>
      <c r="J38" s="219">
        <f>Rice_Inputs!$J$11</f>
        <v>0.01</v>
      </c>
      <c r="K38" s="444">
        <f>IF(B38=1,Rice_Inputs!$R$15,K37*(1+Rice_CashFlows!J38))*F38</f>
        <v>0</v>
      </c>
      <c r="L38" s="338">
        <f>IF(B38=1,Rice_Inputs!$R$16,L37*(1+Rice_CashFlows!J38))*F38</f>
        <v>0</v>
      </c>
      <c r="M38" s="122">
        <f>K38*I38*Rice_Inputs!$J$9</f>
        <v>0</v>
      </c>
      <c r="N38" s="222">
        <f>L38*I38*Rice_Inputs!$J$10</f>
        <v>0</v>
      </c>
      <c r="O38" s="423">
        <f t="shared" si="30"/>
        <v>0</v>
      </c>
      <c r="P38" s="122">
        <f>SUM(M38:O38)+IF(B38=Rice_Inputs!$J$17,Rice_Inputs!$J$19,0)</f>
        <v>0</v>
      </c>
      <c r="Q38" s="218">
        <f>IF(B38=1,Rice_Inputs!$O$7,Q37*(1+Rice_Inputs!$N$23))*F38</f>
        <v>0</v>
      </c>
      <c r="R38" s="122">
        <f>IF(B38=1,Rice_Inputs!$O$8,R37*(1+Rice_Inputs!$N$23))*F38</f>
        <v>0</v>
      </c>
      <c r="S38" s="122">
        <f>IF(B38=1,Rice_Inputs!$O$9,S37*(1+Rice_Inputs!$N$23))*F38</f>
        <v>0</v>
      </c>
      <c r="T38" s="122">
        <f>IF(B38=1,Rice_Inputs!$O$10,T37*(1+Rice_Inputs!$N$23))*F38</f>
        <v>0</v>
      </c>
      <c r="U38" s="122">
        <f>IF(B38=1,Rice_Inputs!$O$11,U37*(1+Rice_Inputs!$N$23))*F38</f>
        <v>0</v>
      </c>
      <c r="V38" s="122">
        <f>IF(B38=1,Rice_Inputs!$O$12,V37*(1+Rice_Inputs!$N$23))*F38</f>
        <v>0</v>
      </c>
      <c r="W38" s="122">
        <f>IF(B38=1,Rice_Inputs!$O$13,W37*(1+Rice_Inputs!$N$23))*F38</f>
        <v>0</v>
      </c>
      <c r="X38" s="122">
        <f>IF(B38=1,Rice_Inputs!$O$14,X37*(1+Rice_Inputs!$N$23))*F38</f>
        <v>0</v>
      </c>
      <c r="Y38" s="122">
        <f>IF(B38=1,Rice_Inputs!$O$15,Y37*(1+Rice_Inputs!$N$23))*F38</f>
        <v>0</v>
      </c>
      <c r="Z38" s="122">
        <f>IF(B38=1,Rice_Inputs!$O$16,Z37*(1+Rice_Inputs!$N$23))*F38</f>
        <v>0</v>
      </c>
      <c r="AA38" s="122">
        <f>IF(B38=1,Rice_Inputs!$O$17,AA37*(1+Rice_Inputs!$N$23))*F38</f>
        <v>0</v>
      </c>
      <c r="AB38" s="181">
        <f>IF(B38=1,Rice_Inputs!$O$18,AB37*(1+Rice_Inputs!$N$23))*F38</f>
        <v>0</v>
      </c>
      <c r="AC38" s="482">
        <f>IF(B38=1,Rice_Inputs!$O$19,AC37*(1+Rice_Inputs!$N$23))*F38</f>
        <v>0</v>
      </c>
      <c r="AD38" s="122">
        <f>IF(B38=1,Rice_Inputs!$O$20,AD37*(1+Rice_Inputs!$N$23))*F38</f>
        <v>0</v>
      </c>
      <c r="AE38" s="122">
        <f>IF(B38=1,Rice_Inputs!$O$21,AE37*(1+Rice_Inputs!$N$23))*F38</f>
        <v>0</v>
      </c>
      <c r="AF38" s="132">
        <f>IF(B38=1,Rice_Inputs!$O$22,AF37*(1+Rice_Inputs!$N$23))*F38</f>
        <v>0</v>
      </c>
      <c r="AG38" s="200">
        <f t="shared" si="31"/>
        <v>0</v>
      </c>
      <c r="AH38" s="86">
        <f t="shared" si="13"/>
        <v>0</v>
      </c>
      <c r="AI38" s="225">
        <f t="shared" si="14"/>
        <v>0</v>
      </c>
      <c r="AJ38" s="220">
        <f>Deprec!L37</f>
        <v>0</v>
      </c>
      <c r="AK38" s="122">
        <f t="shared" si="32"/>
        <v>0</v>
      </c>
      <c r="AL38" s="221">
        <f t="shared" si="33"/>
        <v>0</v>
      </c>
      <c r="AM38" s="122">
        <f t="shared" si="34"/>
        <v>0</v>
      </c>
      <c r="AN38" s="438">
        <f>IF(AM38&lt;0,0,(AM38*Rice_Inputs!$J$14))</f>
        <v>0</v>
      </c>
      <c r="AO38" s="86">
        <f t="shared" si="35"/>
        <v>0</v>
      </c>
      <c r="AP38" s="226">
        <f t="shared" si="16"/>
        <v>0</v>
      </c>
      <c r="AS38" s="196">
        <f t="shared" si="17"/>
        <v>0</v>
      </c>
      <c r="AT38" s="86">
        <f t="shared" si="18"/>
        <v>0</v>
      </c>
      <c r="AU38" s="197">
        <f t="shared" si="36"/>
        <v>0</v>
      </c>
      <c r="AV38" s="218">
        <f>IF(B38=0,Rice_Inputs!$C$29,0)</f>
        <v>0</v>
      </c>
      <c r="AW38" s="198">
        <f t="shared" si="5"/>
        <v>0</v>
      </c>
      <c r="AX38" s="197">
        <f t="shared" si="6"/>
        <v>0</v>
      </c>
      <c r="AY38" s="184">
        <f>IF(B38=0,Rice_Inputs!$G$15+Rice_Inputs!$G$16,0)</f>
        <v>0</v>
      </c>
      <c r="AZ38" s="185">
        <f>IF(B38=0,Rice_Inputs!$G$14,0)</f>
        <v>0</v>
      </c>
      <c r="BA38" s="132">
        <f t="shared" si="37"/>
        <v>0</v>
      </c>
      <c r="BB38" s="218">
        <f t="shared" si="38"/>
        <v>0</v>
      </c>
      <c r="BC38" s="218">
        <f>Rice_Inputs!$G$20*AVERAGE(BR38,BS38)</f>
        <v>0</v>
      </c>
      <c r="BD38" s="200">
        <f t="shared" si="9"/>
        <v>0</v>
      </c>
      <c r="BE38" s="200">
        <f t="shared" si="19"/>
        <v>0</v>
      </c>
      <c r="BF38" s="86">
        <f t="shared" si="20"/>
        <v>0</v>
      </c>
      <c r="BG38" s="197">
        <f t="shared" si="21"/>
        <v>0</v>
      </c>
      <c r="BH38" s="86">
        <f t="shared" si="39"/>
        <v>0</v>
      </c>
      <c r="BI38" s="86">
        <f t="shared" si="40"/>
        <v>0</v>
      </c>
      <c r="BJ38" s="122">
        <f>-Debt_Calc!AQ36</f>
        <v>0</v>
      </c>
      <c r="BK38" s="122">
        <f>Debt_Calc!AR36</f>
        <v>0</v>
      </c>
      <c r="BL38" s="86">
        <f t="shared" si="22"/>
        <v>0</v>
      </c>
      <c r="BM38" s="423">
        <f t="shared" si="41"/>
        <v>0</v>
      </c>
      <c r="BN38" s="86">
        <f t="shared" si="42"/>
        <v>0</v>
      </c>
      <c r="BO38" s="86">
        <f t="shared" si="23"/>
        <v>0</v>
      </c>
      <c r="BP38" s="86">
        <f t="shared" si="43"/>
        <v>0</v>
      </c>
      <c r="BQ38" s="86">
        <f t="shared" si="24"/>
        <v>0</v>
      </c>
      <c r="BR38" s="86">
        <f t="shared" si="25"/>
        <v>0</v>
      </c>
      <c r="BS38" s="86">
        <f t="shared" si="10"/>
        <v>0</v>
      </c>
      <c r="BT38" s="86">
        <f t="shared" si="26"/>
        <v>2819485.4221720025</v>
      </c>
      <c r="BU38" s="86">
        <f t="shared" si="44"/>
        <v>2</v>
      </c>
      <c r="BV38" s="214">
        <f t="shared" si="11"/>
        <v>0</v>
      </c>
    </row>
    <row r="39" spans="2:93" s="86" customFormat="1" x14ac:dyDescent="0.3">
      <c r="B39" s="192">
        <f t="shared" si="27"/>
        <v>28</v>
      </c>
      <c r="C39" s="350">
        <f t="shared" si="12"/>
        <v>2049</v>
      </c>
      <c r="D39" s="351">
        <f t="shared" si="45"/>
        <v>54424</v>
      </c>
      <c r="E39" s="441">
        <f t="shared" si="45"/>
        <v>54788</v>
      </c>
      <c r="F39" s="445">
        <f>IF(AND(B39&gt;0,B39&lt;=Rice_Inputs!$J$17),1,0)</f>
        <v>0</v>
      </c>
      <c r="G39" s="447">
        <f>IF(F39=1,Rice_Inputs!$G$29,0)</f>
        <v>0</v>
      </c>
      <c r="H39" s="348">
        <f>IF(AND(F38=0,F39=1),100%,IF(AND(F38=0,F39=0),100%,H38-Rice_Inputs!$G$42))*F39</f>
        <v>0</v>
      </c>
      <c r="I39" s="216">
        <f t="shared" si="29"/>
        <v>0</v>
      </c>
      <c r="J39" s="219">
        <f>Rice_Inputs!$J$11</f>
        <v>0.01</v>
      </c>
      <c r="K39" s="444">
        <f>IF(B39=1,Rice_Inputs!$R$15,K38*(1+Rice_CashFlows!J39))*F39</f>
        <v>0</v>
      </c>
      <c r="L39" s="338">
        <f>IF(B39=1,Rice_Inputs!$R$16,L38*(1+Rice_CashFlows!J39))*F39</f>
        <v>0</v>
      </c>
      <c r="M39" s="122">
        <f>K39*I39*Rice_Inputs!$J$9</f>
        <v>0</v>
      </c>
      <c r="N39" s="222">
        <f>L39*I39*Rice_Inputs!$J$10</f>
        <v>0</v>
      </c>
      <c r="O39" s="423">
        <f t="shared" si="30"/>
        <v>0</v>
      </c>
      <c r="P39" s="122">
        <f>SUM(M39:O39)+IF(B39=Rice_Inputs!$J$17,Rice_Inputs!$J$19,0)</f>
        <v>0</v>
      </c>
      <c r="Q39" s="218">
        <f>IF(B39=1,Rice_Inputs!$O$7,Q38*(1+Rice_Inputs!$N$23))*F39</f>
        <v>0</v>
      </c>
      <c r="R39" s="122">
        <f>IF(B39=1,Rice_Inputs!$O$8,R38*(1+Rice_Inputs!$N$23))*F39</f>
        <v>0</v>
      </c>
      <c r="S39" s="122">
        <f>IF(B39=1,Rice_Inputs!$O$9,S38*(1+Rice_Inputs!$N$23))*F39</f>
        <v>0</v>
      </c>
      <c r="T39" s="122">
        <f>IF(B39=1,Rice_Inputs!$O$10,T38*(1+Rice_Inputs!$N$23))*F39</f>
        <v>0</v>
      </c>
      <c r="U39" s="122">
        <f>IF(B39=1,Rice_Inputs!$O$11,U38*(1+Rice_Inputs!$N$23))*F39</f>
        <v>0</v>
      </c>
      <c r="V39" s="122">
        <f>IF(B39=1,Rice_Inputs!$O$12,V38*(1+Rice_Inputs!$N$23))*F39</f>
        <v>0</v>
      </c>
      <c r="W39" s="122">
        <f>IF(B39=1,Rice_Inputs!$O$13,W38*(1+Rice_Inputs!$N$23))*F39</f>
        <v>0</v>
      </c>
      <c r="X39" s="122">
        <f>IF(B39=1,Rice_Inputs!$O$14,X38*(1+Rice_Inputs!$N$23))*F39</f>
        <v>0</v>
      </c>
      <c r="Y39" s="122">
        <f>IF(B39=1,Rice_Inputs!$O$15,Y38*(1+Rice_Inputs!$N$23))*F39</f>
        <v>0</v>
      </c>
      <c r="Z39" s="122">
        <f>IF(B39=1,Rice_Inputs!$O$16,Z38*(1+Rice_Inputs!$N$23))*F39</f>
        <v>0</v>
      </c>
      <c r="AA39" s="122">
        <f>IF(B39=1,Rice_Inputs!$O$17,AA38*(1+Rice_Inputs!$N$23))*F39</f>
        <v>0</v>
      </c>
      <c r="AB39" s="181">
        <f>IF(B39=1,Rice_Inputs!$O$18,AB38*(1+Rice_Inputs!$N$23))*F39</f>
        <v>0</v>
      </c>
      <c r="AC39" s="482">
        <f>IF(B39=1,Rice_Inputs!$O$19,AC38*(1+Rice_Inputs!$N$23))*F39</f>
        <v>0</v>
      </c>
      <c r="AD39" s="122">
        <f>IF(B39=1,Rice_Inputs!$O$20,AD38*(1+Rice_Inputs!$N$23))*F39</f>
        <v>0</v>
      </c>
      <c r="AE39" s="122">
        <f>IF(B39=1,Rice_Inputs!$O$21,AE38*(1+Rice_Inputs!$N$23))*F39</f>
        <v>0</v>
      </c>
      <c r="AF39" s="132">
        <f>IF(B39=1,Rice_Inputs!$O$22,AF38*(1+Rice_Inputs!$N$23))*F39</f>
        <v>0</v>
      </c>
      <c r="AG39" s="200">
        <f t="shared" si="31"/>
        <v>0</v>
      </c>
      <c r="AH39" s="86">
        <f t="shared" si="13"/>
        <v>0</v>
      </c>
      <c r="AI39" s="225">
        <f t="shared" si="14"/>
        <v>0</v>
      </c>
      <c r="AJ39" s="220">
        <f>Deprec!L38</f>
        <v>0</v>
      </c>
      <c r="AK39" s="122">
        <f t="shared" si="32"/>
        <v>0</v>
      </c>
      <c r="AL39" s="221">
        <f t="shared" si="33"/>
        <v>0</v>
      </c>
      <c r="AM39" s="122">
        <f t="shared" si="34"/>
        <v>0</v>
      </c>
      <c r="AN39" s="438">
        <f>IF(AM39&lt;0,0,(AM39*Rice_Inputs!$J$14))</f>
        <v>0</v>
      </c>
      <c r="AO39" s="86">
        <f t="shared" si="35"/>
        <v>0</v>
      </c>
      <c r="AP39" s="226">
        <f t="shared" si="16"/>
        <v>0</v>
      </c>
      <c r="AS39" s="196">
        <f t="shared" si="17"/>
        <v>0</v>
      </c>
      <c r="AT39" s="86">
        <f t="shared" si="18"/>
        <v>0</v>
      </c>
      <c r="AU39" s="197">
        <f t="shared" si="36"/>
        <v>0</v>
      </c>
      <c r="AV39" s="218">
        <f>IF(B39=0,Rice_Inputs!$C$29,0)</f>
        <v>0</v>
      </c>
      <c r="AW39" s="198">
        <f t="shared" si="5"/>
        <v>0</v>
      </c>
      <c r="AX39" s="197">
        <f t="shared" si="6"/>
        <v>0</v>
      </c>
      <c r="AY39" s="184">
        <f>IF(B39=0,Rice_Inputs!$G$15+Rice_Inputs!$G$16,0)</f>
        <v>0</v>
      </c>
      <c r="AZ39" s="185">
        <f>IF(B39=0,Rice_Inputs!$G$14,0)</f>
        <v>0</v>
      </c>
      <c r="BA39" s="132">
        <f t="shared" si="37"/>
        <v>0</v>
      </c>
      <c r="BB39" s="218">
        <f t="shared" si="38"/>
        <v>0</v>
      </c>
      <c r="BC39" s="218">
        <f>Rice_Inputs!$G$20*AVERAGE(BR39,BS39)</f>
        <v>0</v>
      </c>
      <c r="BD39" s="200">
        <f t="shared" si="9"/>
        <v>0</v>
      </c>
      <c r="BE39" s="200">
        <f t="shared" si="19"/>
        <v>0</v>
      </c>
      <c r="BF39" s="86">
        <f t="shared" si="20"/>
        <v>0</v>
      </c>
      <c r="BG39" s="197">
        <f t="shared" si="21"/>
        <v>0</v>
      </c>
      <c r="BH39" s="86">
        <f t="shared" si="39"/>
        <v>0</v>
      </c>
      <c r="BI39" s="86">
        <f t="shared" si="40"/>
        <v>0</v>
      </c>
      <c r="BJ39" s="122">
        <f>-Debt_Calc!AQ37</f>
        <v>0</v>
      </c>
      <c r="BK39" s="122">
        <f>Debt_Calc!AR37</f>
        <v>0</v>
      </c>
      <c r="BL39" s="86">
        <f t="shared" si="22"/>
        <v>0</v>
      </c>
      <c r="BM39" s="423">
        <f t="shared" si="41"/>
        <v>0</v>
      </c>
      <c r="BN39" s="86">
        <f t="shared" si="42"/>
        <v>0</v>
      </c>
      <c r="BO39" s="86">
        <f t="shared" si="23"/>
        <v>0</v>
      </c>
      <c r="BP39" s="86">
        <f t="shared" si="43"/>
        <v>0</v>
      </c>
      <c r="BQ39" s="86">
        <f t="shared" si="24"/>
        <v>0</v>
      </c>
      <c r="BR39" s="86">
        <f t="shared" si="25"/>
        <v>0</v>
      </c>
      <c r="BS39" s="86">
        <f t="shared" si="10"/>
        <v>0</v>
      </c>
      <c r="BT39" s="86">
        <f t="shared" si="26"/>
        <v>2819485.4221720025</v>
      </c>
      <c r="BU39" s="86">
        <f t="shared" si="44"/>
        <v>2</v>
      </c>
      <c r="BV39" s="214">
        <f t="shared" si="11"/>
        <v>0</v>
      </c>
    </row>
    <row r="40" spans="2:93" s="86" customFormat="1" x14ac:dyDescent="0.3">
      <c r="B40" s="192">
        <f t="shared" si="27"/>
        <v>29</v>
      </c>
      <c r="C40" s="350">
        <f t="shared" si="12"/>
        <v>2050</v>
      </c>
      <c r="D40" s="351">
        <f t="shared" si="45"/>
        <v>54789</v>
      </c>
      <c r="E40" s="441">
        <f t="shared" si="45"/>
        <v>55153</v>
      </c>
      <c r="F40" s="445">
        <f>IF(AND(B40&gt;0,B40&lt;=Rice_Inputs!$J$17),1,0)</f>
        <v>0</v>
      </c>
      <c r="G40" s="447">
        <f>IF(F40=1,Rice_Inputs!$G$29,0)</f>
        <v>0</v>
      </c>
      <c r="H40" s="348">
        <f>IF(AND(F39=0,F40=1),100%,IF(AND(F39=0,F40=0),100%,H39-Rice_Inputs!$G$42))*F40</f>
        <v>0</v>
      </c>
      <c r="I40" s="216">
        <f t="shared" si="29"/>
        <v>0</v>
      </c>
      <c r="J40" s="219">
        <f>Rice_Inputs!$J$11</f>
        <v>0.01</v>
      </c>
      <c r="K40" s="444">
        <f>IF(B40=1,Rice_Inputs!$R$15,K39*(1+Rice_CashFlows!J40))*F40</f>
        <v>0</v>
      </c>
      <c r="L40" s="338">
        <f>IF(B40=1,Rice_Inputs!$R$16,L39*(1+Rice_CashFlows!J40))*F40</f>
        <v>0</v>
      </c>
      <c r="M40" s="122">
        <f>K40*I40*Rice_Inputs!$J$9</f>
        <v>0</v>
      </c>
      <c r="N40" s="222">
        <f>L40*I40*Rice_Inputs!$J$10</f>
        <v>0</v>
      </c>
      <c r="O40" s="423">
        <f t="shared" si="30"/>
        <v>0</v>
      </c>
      <c r="P40" s="122">
        <f>SUM(M40:O40)+IF(B40=Rice_Inputs!$J$17,Rice_Inputs!$J$19,0)</f>
        <v>0</v>
      </c>
      <c r="Q40" s="218">
        <f>IF(B40=1,Rice_Inputs!$O$7,Q39*(1+Rice_Inputs!$N$23))*F40</f>
        <v>0</v>
      </c>
      <c r="R40" s="122">
        <f>IF(B40=1,Rice_Inputs!$O$8,R39*(1+Rice_Inputs!$N$23))*F40</f>
        <v>0</v>
      </c>
      <c r="S40" s="122">
        <f>IF(B40=1,Rice_Inputs!$O$9,S39*(1+Rice_Inputs!$N$23))*F40</f>
        <v>0</v>
      </c>
      <c r="T40" s="122">
        <f>IF(B40=1,Rice_Inputs!$O$10,T39*(1+Rice_Inputs!$N$23))*F40</f>
        <v>0</v>
      </c>
      <c r="U40" s="122">
        <f>IF(B40=1,Rice_Inputs!$O$11,U39*(1+Rice_Inputs!$N$23))*F40</f>
        <v>0</v>
      </c>
      <c r="V40" s="122">
        <f>IF(B40=1,Rice_Inputs!$O$12,V39*(1+Rice_Inputs!$N$23))*F40</f>
        <v>0</v>
      </c>
      <c r="W40" s="122">
        <f>IF(B40=1,Rice_Inputs!$O$13,W39*(1+Rice_Inputs!$N$23))*F40</f>
        <v>0</v>
      </c>
      <c r="X40" s="122">
        <f>IF(B40=1,Rice_Inputs!$O$14,X39*(1+Rice_Inputs!$N$23))*F40</f>
        <v>0</v>
      </c>
      <c r="Y40" s="122">
        <f>IF(B40=1,Rice_Inputs!$O$15,Y39*(1+Rice_Inputs!$N$23))*F40</f>
        <v>0</v>
      </c>
      <c r="Z40" s="122">
        <f>IF(B40=1,Rice_Inputs!$O$16,Z39*(1+Rice_Inputs!$N$23))*F40</f>
        <v>0</v>
      </c>
      <c r="AA40" s="122">
        <f>IF(B40=1,Rice_Inputs!$O$17,AA39*(1+Rice_Inputs!$N$23))*F40</f>
        <v>0</v>
      </c>
      <c r="AB40" s="181">
        <f>IF(B40=1,Rice_Inputs!$O$18,AB39*(1+Rice_Inputs!$N$23))*F40</f>
        <v>0</v>
      </c>
      <c r="AC40" s="482">
        <f>IF(B40=1,Rice_Inputs!$O$19,AC39*(1+Rice_Inputs!$N$23))*F40</f>
        <v>0</v>
      </c>
      <c r="AD40" s="122">
        <f>IF(B40=1,Rice_Inputs!$O$20,AD39*(1+Rice_Inputs!$N$23))*F40</f>
        <v>0</v>
      </c>
      <c r="AE40" s="122">
        <f>IF(B40=1,Rice_Inputs!$O$21,AE39*(1+Rice_Inputs!$N$23))*F40</f>
        <v>0</v>
      </c>
      <c r="AF40" s="132">
        <f>IF(B40=1,Rice_Inputs!$O$22,AF39*(1+Rice_Inputs!$N$23))*F40</f>
        <v>0</v>
      </c>
      <c r="AG40" s="200">
        <f t="shared" si="31"/>
        <v>0</v>
      </c>
      <c r="AH40" s="86">
        <f t="shared" si="13"/>
        <v>0</v>
      </c>
      <c r="AI40" s="225">
        <f t="shared" si="14"/>
        <v>0</v>
      </c>
      <c r="AJ40" s="220">
        <f>Deprec!L39</f>
        <v>0</v>
      </c>
      <c r="AK40" s="122">
        <f t="shared" si="32"/>
        <v>0</v>
      </c>
      <c r="AL40" s="221">
        <f t="shared" si="33"/>
        <v>0</v>
      </c>
      <c r="AM40" s="122">
        <f t="shared" si="34"/>
        <v>0</v>
      </c>
      <c r="AN40" s="438">
        <f>IF(AM40&lt;0,0,(AM40*Rice_Inputs!$J$14))</f>
        <v>0</v>
      </c>
      <c r="AO40" s="86">
        <f t="shared" si="35"/>
        <v>0</v>
      </c>
      <c r="AP40" s="226">
        <f t="shared" si="16"/>
        <v>0</v>
      </c>
      <c r="AS40" s="196">
        <f t="shared" si="17"/>
        <v>0</v>
      </c>
      <c r="AT40" s="86">
        <f t="shared" si="18"/>
        <v>0</v>
      </c>
      <c r="AU40" s="197">
        <f t="shared" si="36"/>
        <v>0</v>
      </c>
      <c r="AV40" s="218">
        <f>IF(B40=0,Rice_Inputs!$C$29,0)</f>
        <v>0</v>
      </c>
      <c r="AW40" s="198">
        <f t="shared" si="5"/>
        <v>0</v>
      </c>
      <c r="AX40" s="197">
        <f t="shared" si="6"/>
        <v>0</v>
      </c>
      <c r="AY40" s="184">
        <f>IF(B40=0,Rice_Inputs!$G$15+Rice_Inputs!$G$16,0)</f>
        <v>0</v>
      </c>
      <c r="AZ40" s="185">
        <f>IF(B40=0,Rice_Inputs!$G$14,0)</f>
        <v>0</v>
      </c>
      <c r="BA40" s="132">
        <f t="shared" si="37"/>
        <v>0</v>
      </c>
      <c r="BB40" s="218">
        <f t="shared" si="38"/>
        <v>0</v>
      </c>
      <c r="BC40" s="218">
        <f>Rice_Inputs!$G$20*AVERAGE(BR40,BS40)</f>
        <v>0</v>
      </c>
      <c r="BD40" s="200">
        <f t="shared" si="9"/>
        <v>0</v>
      </c>
      <c r="BE40" s="200">
        <f t="shared" si="19"/>
        <v>0</v>
      </c>
      <c r="BF40" s="86">
        <f t="shared" si="20"/>
        <v>0</v>
      </c>
      <c r="BG40" s="197">
        <f t="shared" si="21"/>
        <v>0</v>
      </c>
      <c r="BH40" s="86">
        <f t="shared" si="39"/>
        <v>0</v>
      </c>
      <c r="BI40" s="86">
        <f t="shared" si="40"/>
        <v>0</v>
      </c>
      <c r="BJ40" s="122">
        <f>-Debt_Calc!AQ38</f>
        <v>0</v>
      </c>
      <c r="BK40" s="122">
        <f>Debt_Calc!AR38</f>
        <v>0</v>
      </c>
      <c r="BL40" s="86">
        <f t="shared" si="22"/>
        <v>0</v>
      </c>
      <c r="BM40" s="423">
        <f t="shared" si="41"/>
        <v>0</v>
      </c>
      <c r="BN40" s="86">
        <f t="shared" si="42"/>
        <v>0</v>
      </c>
      <c r="BO40" s="86">
        <f t="shared" si="23"/>
        <v>0</v>
      </c>
      <c r="BP40" s="86">
        <f t="shared" si="43"/>
        <v>0</v>
      </c>
      <c r="BQ40" s="86">
        <f t="shared" si="24"/>
        <v>0</v>
      </c>
      <c r="BR40" s="86">
        <f t="shared" si="25"/>
        <v>0</v>
      </c>
      <c r="BS40" s="86">
        <f t="shared" si="10"/>
        <v>0</v>
      </c>
      <c r="BT40" s="86">
        <f t="shared" si="26"/>
        <v>2819485.4221720025</v>
      </c>
      <c r="BU40" s="86">
        <f t="shared" si="44"/>
        <v>2</v>
      </c>
      <c r="BV40" s="214">
        <f t="shared" si="11"/>
        <v>0</v>
      </c>
    </row>
    <row r="41" spans="2:93" s="86" customFormat="1" x14ac:dyDescent="0.3">
      <c r="B41" s="192">
        <f t="shared" si="27"/>
        <v>30</v>
      </c>
      <c r="C41" s="350">
        <f t="shared" si="12"/>
        <v>2051</v>
      </c>
      <c r="D41" s="351">
        <f t="shared" si="45"/>
        <v>55154</v>
      </c>
      <c r="E41" s="441">
        <f t="shared" si="45"/>
        <v>55518</v>
      </c>
      <c r="F41" s="445">
        <f>IF(AND(B41&gt;0,B41&lt;=Rice_Inputs!$J$17),1,0)</f>
        <v>0</v>
      </c>
      <c r="G41" s="447">
        <f>IF(F41=1,Rice_Inputs!$G$29,0)</f>
        <v>0</v>
      </c>
      <c r="H41" s="348">
        <f>IF(AND(F40=0,F41=1),100%,IF(AND(F40=0,F41=0),100%,H40-Rice_Inputs!$G$42))*F41</f>
        <v>0</v>
      </c>
      <c r="I41" s="216">
        <f t="shared" si="29"/>
        <v>0</v>
      </c>
      <c r="J41" s="219">
        <f>Rice_Inputs!$J$11</f>
        <v>0.01</v>
      </c>
      <c r="K41" s="444">
        <f>IF(B41=1,Rice_Inputs!$R$15,K40*(1+Rice_CashFlows!J41))*F41</f>
        <v>0</v>
      </c>
      <c r="L41" s="338">
        <f>IF(B41=1,Rice_Inputs!$R$16,L40*(1+Rice_CashFlows!J41))*F41</f>
        <v>0</v>
      </c>
      <c r="M41" s="122">
        <f>K41*I41*Rice_Inputs!$J$9</f>
        <v>0</v>
      </c>
      <c r="N41" s="222">
        <f>L41*I41*Rice_Inputs!$J$10</f>
        <v>0</v>
      </c>
      <c r="O41" s="423">
        <f t="shared" si="30"/>
        <v>0</v>
      </c>
      <c r="P41" s="122">
        <f>SUM(M41:O41)+IF(B41=Rice_Inputs!$J$17,Rice_Inputs!$J$19,0)</f>
        <v>0</v>
      </c>
      <c r="Q41" s="218">
        <f>IF(B41=1,Rice_Inputs!$O$7,Q40*(1+Rice_Inputs!$N$23))*F41</f>
        <v>0</v>
      </c>
      <c r="R41" s="122">
        <f>IF(B41=1,Rice_Inputs!$O$8,R40*(1+Rice_Inputs!$N$23))*F41</f>
        <v>0</v>
      </c>
      <c r="S41" s="122">
        <f>IF(B41=1,Rice_Inputs!$O$9,S40*(1+Rice_Inputs!$N$23))*F41</f>
        <v>0</v>
      </c>
      <c r="T41" s="122">
        <f>IF(B41=1,Rice_Inputs!$O$10,T40*(1+Rice_Inputs!$N$23))*F41</f>
        <v>0</v>
      </c>
      <c r="U41" s="122">
        <f>IF(B41=1,Rice_Inputs!$O$11,U40*(1+Rice_Inputs!$N$23))*F41</f>
        <v>0</v>
      </c>
      <c r="V41" s="122">
        <f>IF(B41=1,Rice_Inputs!$O$12,V40*(1+Rice_Inputs!$N$23))*F41</f>
        <v>0</v>
      </c>
      <c r="W41" s="122">
        <f>IF(B41=1,Rice_Inputs!$O$13,W40*(1+Rice_Inputs!$N$23))*F41</f>
        <v>0</v>
      </c>
      <c r="X41" s="122">
        <f>IF(B41=1,Rice_Inputs!$O$14,X40*(1+Rice_Inputs!$N$23))*F41</f>
        <v>0</v>
      </c>
      <c r="Y41" s="122">
        <f>IF(B41=1,Rice_Inputs!$O$15,Y40*(1+Rice_Inputs!$N$23))*F41</f>
        <v>0</v>
      </c>
      <c r="Z41" s="122">
        <f>IF(B41=1,Rice_Inputs!$O$16,Z40*(1+Rice_Inputs!$N$23))*F41</f>
        <v>0</v>
      </c>
      <c r="AA41" s="122">
        <f>IF(B41=1,Rice_Inputs!$O$17,AA40*(1+Rice_Inputs!$N$23))*F41</f>
        <v>0</v>
      </c>
      <c r="AB41" s="181">
        <f>IF(B41=1,Rice_Inputs!$O$18,AB40*(1+Rice_Inputs!$N$23))*F41</f>
        <v>0</v>
      </c>
      <c r="AC41" s="482">
        <f>IF(B41=1,Rice_Inputs!$O$19,AC40*(1+Rice_Inputs!$N$23))*F41</f>
        <v>0</v>
      </c>
      <c r="AD41" s="122">
        <f>IF(B41=1,Rice_Inputs!$O$20,AD40*(1+Rice_Inputs!$N$23))*F41</f>
        <v>0</v>
      </c>
      <c r="AE41" s="122">
        <f>IF(B41=1,Rice_Inputs!$O$21,AE40*(1+Rice_Inputs!$N$23))*F41</f>
        <v>0</v>
      </c>
      <c r="AF41" s="132">
        <f>IF(B41=1,Rice_Inputs!$O$22,AF40*(1+Rice_Inputs!$N$23))*F41</f>
        <v>0</v>
      </c>
      <c r="AG41" s="200">
        <f t="shared" si="31"/>
        <v>0</v>
      </c>
      <c r="AH41" s="86">
        <f t="shared" si="13"/>
        <v>0</v>
      </c>
      <c r="AI41" s="225">
        <f t="shared" si="14"/>
        <v>0</v>
      </c>
      <c r="AJ41" s="220">
        <f>Deprec!L40</f>
        <v>0</v>
      </c>
      <c r="AK41" s="122">
        <f t="shared" si="32"/>
        <v>0</v>
      </c>
      <c r="AL41" s="221">
        <f t="shared" si="33"/>
        <v>0</v>
      </c>
      <c r="AM41" s="122">
        <f t="shared" si="34"/>
        <v>0</v>
      </c>
      <c r="AN41" s="438">
        <f>IF(AM41&lt;0,0,(AM41*Rice_Inputs!$J$14))</f>
        <v>0</v>
      </c>
      <c r="AO41" s="86">
        <f t="shared" si="35"/>
        <v>0</v>
      </c>
      <c r="AP41" s="226">
        <f t="shared" si="16"/>
        <v>0</v>
      </c>
      <c r="AS41" s="196">
        <f t="shared" si="17"/>
        <v>0</v>
      </c>
      <c r="AT41" s="86">
        <f t="shared" si="18"/>
        <v>0</v>
      </c>
      <c r="AU41" s="197">
        <f t="shared" si="36"/>
        <v>0</v>
      </c>
      <c r="AV41" s="218">
        <f>IF(B41=0,Rice_Inputs!$C$29,0)</f>
        <v>0</v>
      </c>
      <c r="AW41" s="198">
        <f t="shared" si="5"/>
        <v>0</v>
      </c>
      <c r="AX41" s="197">
        <f t="shared" si="6"/>
        <v>0</v>
      </c>
      <c r="AY41" s="184">
        <f>IF(B41=0,Rice_Inputs!$G$15+Rice_Inputs!$G$16,0)</f>
        <v>0</v>
      </c>
      <c r="AZ41" s="185">
        <f>IF(B41=0,Rice_Inputs!$G$14,0)</f>
        <v>0</v>
      </c>
      <c r="BA41" s="132">
        <f t="shared" si="37"/>
        <v>0</v>
      </c>
      <c r="BB41" s="218">
        <f t="shared" si="38"/>
        <v>0</v>
      </c>
      <c r="BC41" s="218">
        <f>Rice_Inputs!$G$20*AVERAGE(BR41,BS41)</f>
        <v>0</v>
      </c>
      <c r="BD41" s="200">
        <f t="shared" si="9"/>
        <v>0</v>
      </c>
      <c r="BE41" s="200">
        <f t="shared" si="19"/>
        <v>0</v>
      </c>
      <c r="BF41" s="86">
        <f t="shared" si="20"/>
        <v>0</v>
      </c>
      <c r="BG41" s="197">
        <f t="shared" si="21"/>
        <v>0</v>
      </c>
      <c r="BH41" s="86">
        <f t="shared" si="39"/>
        <v>0</v>
      </c>
      <c r="BI41" s="86">
        <f t="shared" si="40"/>
        <v>0</v>
      </c>
      <c r="BJ41" s="122">
        <f>-Debt_Calc!AQ39</f>
        <v>0</v>
      </c>
      <c r="BK41" s="122">
        <f>Debt_Calc!AR39</f>
        <v>0</v>
      </c>
      <c r="BL41" s="86">
        <f t="shared" si="22"/>
        <v>0</v>
      </c>
      <c r="BM41" s="423">
        <f t="shared" si="41"/>
        <v>0</v>
      </c>
      <c r="BN41" s="86">
        <f t="shared" si="42"/>
        <v>0</v>
      </c>
      <c r="BO41" s="86">
        <f t="shared" si="23"/>
        <v>0</v>
      </c>
      <c r="BP41" s="86">
        <f t="shared" si="43"/>
        <v>0</v>
      </c>
      <c r="BQ41" s="86">
        <f t="shared" si="24"/>
        <v>0</v>
      </c>
      <c r="BR41" s="86">
        <f t="shared" si="25"/>
        <v>0</v>
      </c>
      <c r="BS41" s="86">
        <f t="shared" si="10"/>
        <v>0</v>
      </c>
      <c r="BT41" s="86">
        <f t="shared" si="26"/>
        <v>2819485.4221720025</v>
      </c>
      <c r="BU41" s="86">
        <f t="shared" si="44"/>
        <v>2</v>
      </c>
      <c r="BV41" s="214">
        <f t="shared" si="11"/>
        <v>0</v>
      </c>
    </row>
    <row r="42" spans="2:93" s="86" customFormat="1" x14ac:dyDescent="0.3">
      <c r="B42" s="192">
        <f t="shared" si="27"/>
        <v>31</v>
      </c>
      <c r="C42" s="350">
        <f t="shared" si="12"/>
        <v>2052</v>
      </c>
      <c r="D42" s="351">
        <f t="shared" si="45"/>
        <v>55519</v>
      </c>
      <c r="E42" s="441">
        <f t="shared" si="45"/>
        <v>55884</v>
      </c>
      <c r="F42" s="445">
        <f>IF(AND(B42&gt;0,B42&lt;=Rice_Inputs!$J$17),1,0)</f>
        <v>0</v>
      </c>
      <c r="G42" s="447">
        <f>IF(F42=1,Rice_Inputs!$G$29,0)</f>
        <v>0</v>
      </c>
      <c r="H42" s="348">
        <f>IF(AND(F41=0,F42=1),100%,IF(AND(F41=0,F42=0),100%,H41-Rice_Inputs!$G$42))*F42</f>
        <v>0</v>
      </c>
      <c r="I42" s="216">
        <f t="shared" si="29"/>
        <v>0</v>
      </c>
      <c r="J42" s="219">
        <f>Rice_Inputs!$J$11</f>
        <v>0.01</v>
      </c>
      <c r="K42" s="444">
        <f>IF(B42=1,Rice_Inputs!$R$15,K41*(1+Rice_CashFlows!J42))*F42</f>
        <v>0</v>
      </c>
      <c r="L42" s="338">
        <f>IF(B42=1,Rice_Inputs!$R$16,L41*(1+Rice_CashFlows!J42))*F42</f>
        <v>0</v>
      </c>
      <c r="M42" s="122">
        <f>K42*I42*Rice_Inputs!$J$9</f>
        <v>0</v>
      </c>
      <c r="N42" s="222">
        <f>L42*I42*Rice_Inputs!$J$10</f>
        <v>0</v>
      </c>
      <c r="O42" s="423">
        <f t="shared" si="30"/>
        <v>0</v>
      </c>
      <c r="P42" s="122">
        <f>SUM(M42:O42)+IF(B42=Rice_Inputs!$J$17,Rice_Inputs!$J$19,0)</f>
        <v>0</v>
      </c>
      <c r="Q42" s="218">
        <f>IF(B42=1,Rice_Inputs!$O$7,Q41*(1+Rice_Inputs!$N$23))*F42</f>
        <v>0</v>
      </c>
      <c r="R42" s="122">
        <f>IF(B42=1,Rice_Inputs!$O$8,R41*(1+Rice_Inputs!$N$23))*F42</f>
        <v>0</v>
      </c>
      <c r="S42" s="122">
        <f>IF(B42=1,Rice_Inputs!$O$9,S41*(1+Rice_Inputs!$N$23))*F42</f>
        <v>0</v>
      </c>
      <c r="T42" s="122">
        <f>IF(B42=1,Rice_Inputs!$O$10,T41*(1+Rice_Inputs!$N$23))*F42</f>
        <v>0</v>
      </c>
      <c r="U42" s="122">
        <f>IF(B42=1,Rice_Inputs!$O$11,U41*(1+Rice_Inputs!$N$23))*F42</f>
        <v>0</v>
      </c>
      <c r="V42" s="122">
        <f>IF(B42=1,Rice_Inputs!$O$12,V41*(1+Rice_Inputs!$N$23))*F42</f>
        <v>0</v>
      </c>
      <c r="W42" s="122">
        <f>IF(B42=1,Rice_Inputs!$O$13,W41*(1+Rice_Inputs!$N$23))*F42</f>
        <v>0</v>
      </c>
      <c r="X42" s="122">
        <f>IF(B42=1,Rice_Inputs!$O$14,X41*(1+Rice_Inputs!$N$23))*F42</f>
        <v>0</v>
      </c>
      <c r="Y42" s="122">
        <f>IF(B42=1,Rice_Inputs!$O$15,Y41*(1+Rice_Inputs!$N$23))*F42</f>
        <v>0</v>
      </c>
      <c r="Z42" s="122">
        <f>IF(B42=1,Rice_Inputs!$O$16,Z41*(1+Rice_Inputs!$N$23))*F42</f>
        <v>0</v>
      </c>
      <c r="AA42" s="122">
        <f>IF(B42=1,Rice_Inputs!$O$17,AA41*(1+Rice_Inputs!$N$23))*F42</f>
        <v>0</v>
      </c>
      <c r="AB42" s="181">
        <f>IF(B42=1,Rice_Inputs!$O$18,AB41*(1+Rice_Inputs!$N$23))*F42</f>
        <v>0</v>
      </c>
      <c r="AC42" s="482">
        <f>IF(B42=1,Rice_Inputs!$O$19,AC41*(1+Rice_Inputs!$N$23))*F42</f>
        <v>0</v>
      </c>
      <c r="AD42" s="122">
        <f>IF(B42=1,Rice_Inputs!$O$20,AD41*(1+Rice_Inputs!$N$23))*F42</f>
        <v>0</v>
      </c>
      <c r="AE42" s="122">
        <f>IF(B42=1,Rice_Inputs!$O$21,AE41*(1+Rice_Inputs!$N$23))*F42</f>
        <v>0</v>
      </c>
      <c r="AF42" s="132">
        <f>IF(B42=1,Rice_Inputs!$O$22,AF41*(1+Rice_Inputs!$N$23))*F42</f>
        <v>0</v>
      </c>
      <c r="AG42" s="200">
        <f t="shared" si="31"/>
        <v>0</v>
      </c>
      <c r="AH42" s="86">
        <f t="shared" si="13"/>
        <v>0</v>
      </c>
      <c r="AI42" s="225">
        <f t="shared" si="14"/>
        <v>0</v>
      </c>
      <c r="AJ42" s="220">
        <f>Deprec!L41</f>
        <v>0</v>
      </c>
      <c r="AK42" s="122">
        <f t="shared" si="32"/>
        <v>0</v>
      </c>
      <c r="AL42" s="221">
        <f t="shared" si="33"/>
        <v>0</v>
      </c>
      <c r="AM42" s="122">
        <f t="shared" si="34"/>
        <v>0</v>
      </c>
      <c r="AN42" s="438">
        <f>IF(AM42&lt;0,0,(AM42*Rice_Inputs!$J$14))</f>
        <v>0</v>
      </c>
      <c r="AO42" s="86">
        <f t="shared" si="35"/>
        <v>0</v>
      </c>
      <c r="AP42" s="226">
        <f t="shared" si="16"/>
        <v>0</v>
      </c>
      <c r="AS42" s="196">
        <f t="shared" si="17"/>
        <v>0</v>
      </c>
      <c r="AT42" s="86">
        <f t="shared" si="18"/>
        <v>0</v>
      </c>
      <c r="AU42" s="197">
        <f t="shared" si="36"/>
        <v>0</v>
      </c>
      <c r="AV42" s="218">
        <f>IF(B42=0,Rice_Inputs!$C$29,0)</f>
        <v>0</v>
      </c>
      <c r="AW42" s="198">
        <f t="shared" si="5"/>
        <v>0</v>
      </c>
      <c r="AX42" s="197">
        <f t="shared" si="6"/>
        <v>0</v>
      </c>
      <c r="AY42" s="184">
        <f>IF(B42=0,Rice_Inputs!$G$15+Rice_Inputs!$G$16,0)</f>
        <v>0</v>
      </c>
      <c r="AZ42" s="185">
        <f>IF(B42=0,Rice_Inputs!$G$14,0)</f>
        <v>0</v>
      </c>
      <c r="BA42" s="132">
        <f t="shared" si="37"/>
        <v>0</v>
      </c>
      <c r="BB42" s="218">
        <f t="shared" si="38"/>
        <v>0</v>
      </c>
      <c r="BC42" s="218">
        <f>Rice_Inputs!$G$20*AVERAGE(BR42,BS42)</f>
        <v>0</v>
      </c>
      <c r="BD42" s="200">
        <f t="shared" si="9"/>
        <v>0</v>
      </c>
      <c r="BE42" s="200">
        <f t="shared" si="19"/>
        <v>0</v>
      </c>
      <c r="BF42" s="86">
        <f t="shared" si="20"/>
        <v>0</v>
      </c>
      <c r="BG42" s="197">
        <f t="shared" si="21"/>
        <v>0</v>
      </c>
      <c r="BH42" s="86">
        <f t="shared" si="39"/>
        <v>0</v>
      </c>
      <c r="BI42" s="86">
        <f t="shared" si="40"/>
        <v>0</v>
      </c>
      <c r="BJ42" s="122">
        <f>-Debt_Calc!AQ40</f>
        <v>0</v>
      </c>
      <c r="BK42" s="122">
        <f>Debt_Calc!AR40</f>
        <v>0</v>
      </c>
      <c r="BL42" s="86">
        <f t="shared" si="22"/>
        <v>0</v>
      </c>
      <c r="BM42" s="423">
        <f t="shared" si="41"/>
        <v>0</v>
      </c>
      <c r="BN42" s="86">
        <f t="shared" si="42"/>
        <v>0</v>
      </c>
      <c r="BO42" s="86">
        <f t="shared" si="23"/>
        <v>0</v>
      </c>
      <c r="BP42" s="86">
        <f t="shared" si="43"/>
        <v>0</v>
      </c>
      <c r="BQ42" s="86">
        <f t="shared" si="24"/>
        <v>0</v>
      </c>
      <c r="BR42" s="86">
        <f t="shared" si="25"/>
        <v>0</v>
      </c>
      <c r="BS42" s="86">
        <f t="shared" si="10"/>
        <v>0</v>
      </c>
      <c r="BT42" s="86">
        <f t="shared" si="26"/>
        <v>2819485.4221720025</v>
      </c>
      <c r="BU42" s="86">
        <f t="shared" si="44"/>
        <v>2</v>
      </c>
      <c r="BV42" s="214">
        <f t="shared" si="11"/>
        <v>0</v>
      </c>
    </row>
    <row r="43" spans="2:93" s="86" customFormat="1" x14ac:dyDescent="0.3">
      <c r="B43" s="192">
        <f t="shared" si="27"/>
        <v>32</v>
      </c>
      <c r="C43" s="350">
        <f t="shared" si="12"/>
        <v>2053</v>
      </c>
      <c r="D43" s="351">
        <f t="shared" si="45"/>
        <v>55885</v>
      </c>
      <c r="E43" s="441">
        <f t="shared" si="45"/>
        <v>56249</v>
      </c>
      <c r="F43" s="445">
        <f>IF(AND(B43&gt;0,B43&lt;=Rice_Inputs!$J$17),1,0)</f>
        <v>0</v>
      </c>
      <c r="G43" s="447">
        <f>IF(F43=1,Rice_Inputs!$G$29,0)</f>
        <v>0</v>
      </c>
      <c r="H43" s="348">
        <f>IF(AND(F42=0,F43=1),100%,IF(AND(F42=0,F43=0),100%,H42-Rice_Inputs!$G$42))*F43</f>
        <v>0</v>
      </c>
      <c r="I43" s="216">
        <f t="shared" si="29"/>
        <v>0</v>
      </c>
      <c r="J43" s="219">
        <f>Rice_Inputs!$J$11</f>
        <v>0.01</v>
      </c>
      <c r="K43" s="444">
        <f>IF(B43=1,Rice_Inputs!$R$15,K42*(1+Rice_CashFlows!J43))*F43</f>
        <v>0</v>
      </c>
      <c r="L43" s="338">
        <f>IF(B43=1,Rice_Inputs!$R$16,L42*(1+Rice_CashFlows!J43))*F43</f>
        <v>0</v>
      </c>
      <c r="M43" s="122">
        <f>K43*I43*Rice_Inputs!$J$9</f>
        <v>0</v>
      </c>
      <c r="N43" s="222">
        <f>L43*I43*Rice_Inputs!$J$10</f>
        <v>0</v>
      </c>
      <c r="O43" s="423">
        <f t="shared" si="30"/>
        <v>0</v>
      </c>
      <c r="P43" s="122">
        <f>SUM(M43:O43)+IF(B43=Rice_Inputs!$J$17,Rice_Inputs!$J$19,0)</f>
        <v>0</v>
      </c>
      <c r="Q43" s="218">
        <f>IF(B43=1,Rice_Inputs!$O$7,Q42*(1+Rice_Inputs!$N$23))*F43</f>
        <v>0</v>
      </c>
      <c r="R43" s="122">
        <f>IF(B43=1,Rice_Inputs!$O$8,R42*(1+Rice_Inputs!$N$23))*F43</f>
        <v>0</v>
      </c>
      <c r="S43" s="122">
        <f>IF(B43=1,Rice_Inputs!$O$9,S42*(1+Rice_Inputs!$N$23))*F43</f>
        <v>0</v>
      </c>
      <c r="T43" s="122">
        <f>IF(B43=1,Rice_Inputs!$O$10,T42*(1+Rice_Inputs!$N$23))*F43</f>
        <v>0</v>
      </c>
      <c r="U43" s="122">
        <f>IF(B43=1,Rice_Inputs!$O$11,U42*(1+Rice_Inputs!$N$23))*F43</f>
        <v>0</v>
      </c>
      <c r="V43" s="122">
        <f>IF(B43=1,Rice_Inputs!$O$12,V42*(1+Rice_Inputs!$N$23))*F43</f>
        <v>0</v>
      </c>
      <c r="W43" s="122">
        <f>IF(B43=1,Rice_Inputs!$O$13,W42*(1+Rice_Inputs!$N$23))*F43</f>
        <v>0</v>
      </c>
      <c r="X43" s="122">
        <f>IF(B43=1,Rice_Inputs!$O$14,X42*(1+Rice_Inputs!$N$23))*F43</f>
        <v>0</v>
      </c>
      <c r="Y43" s="122">
        <f>IF(B43=1,Rice_Inputs!$O$15,Y42*(1+Rice_Inputs!$N$23))*F43</f>
        <v>0</v>
      </c>
      <c r="Z43" s="122">
        <f>IF(B43=1,Rice_Inputs!$O$16,Z42*(1+Rice_Inputs!$N$23))*F43</f>
        <v>0</v>
      </c>
      <c r="AA43" s="122">
        <f>IF(B43=1,Rice_Inputs!$O$17,AA42*(1+Rice_Inputs!$N$23))*F43</f>
        <v>0</v>
      </c>
      <c r="AB43" s="181">
        <f>IF(B43=1,Rice_Inputs!$O$18,AB42*(1+Rice_Inputs!$N$23))*F43</f>
        <v>0</v>
      </c>
      <c r="AC43" s="482">
        <f>IF(B43=1,Rice_Inputs!$O$19,AC42*(1+Rice_Inputs!$N$23))*F43</f>
        <v>0</v>
      </c>
      <c r="AD43" s="122">
        <f>IF(B43=1,Rice_Inputs!$O$20,AD42*(1+Rice_Inputs!$N$23))*F43</f>
        <v>0</v>
      </c>
      <c r="AE43" s="122">
        <f>IF(B43=1,Rice_Inputs!$O$21,AE42*(1+Rice_Inputs!$N$23))*F43</f>
        <v>0</v>
      </c>
      <c r="AF43" s="132">
        <f>IF(B43=1,Rice_Inputs!$O$22,AF42*(1+Rice_Inputs!$N$23))*F43</f>
        <v>0</v>
      </c>
      <c r="AG43" s="200">
        <f t="shared" si="31"/>
        <v>0</v>
      </c>
      <c r="AH43" s="86">
        <f t="shared" si="13"/>
        <v>0</v>
      </c>
      <c r="AI43" s="225">
        <f t="shared" si="14"/>
        <v>0</v>
      </c>
      <c r="AJ43" s="220">
        <f>Deprec!L42</f>
        <v>0</v>
      </c>
      <c r="AK43" s="122">
        <f t="shared" si="32"/>
        <v>0</v>
      </c>
      <c r="AL43" s="221">
        <f t="shared" si="33"/>
        <v>0</v>
      </c>
      <c r="AM43" s="122">
        <f t="shared" si="34"/>
        <v>0</v>
      </c>
      <c r="AN43" s="438">
        <f>IF(AM43&lt;0,0,(AM43*Rice_Inputs!$J$14))</f>
        <v>0</v>
      </c>
      <c r="AO43" s="86">
        <f t="shared" si="35"/>
        <v>0</v>
      </c>
      <c r="AP43" s="226">
        <f t="shared" si="16"/>
        <v>0</v>
      </c>
      <c r="AS43" s="196">
        <f t="shared" si="17"/>
        <v>0</v>
      </c>
      <c r="AT43" s="86">
        <f t="shared" si="18"/>
        <v>0</v>
      </c>
      <c r="AU43" s="197">
        <f t="shared" si="36"/>
        <v>0</v>
      </c>
      <c r="AV43" s="218">
        <f>IF(B43=0,Rice_Inputs!$C$29,0)</f>
        <v>0</v>
      </c>
      <c r="AW43" s="198">
        <f t="shared" si="5"/>
        <v>0</v>
      </c>
      <c r="AX43" s="197">
        <f t="shared" si="6"/>
        <v>0</v>
      </c>
      <c r="AY43" s="184">
        <f>IF(B43=0,Rice_Inputs!$G$15+Rice_Inputs!$G$16,0)</f>
        <v>0</v>
      </c>
      <c r="AZ43" s="185">
        <f>IF(B43=0,Rice_Inputs!$G$14,0)</f>
        <v>0</v>
      </c>
      <c r="BA43" s="132">
        <f t="shared" si="37"/>
        <v>0</v>
      </c>
      <c r="BB43" s="218">
        <f t="shared" si="38"/>
        <v>0</v>
      </c>
      <c r="BC43" s="218">
        <f>Rice_Inputs!$G$20*AVERAGE(BR43,BS43)</f>
        <v>0</v>
      </c>
      <c r="BD43" s="200">
        <f t="shared" si="9"/>
        <v>0</v>
      </c>
      <c r="BE43" s="200">
        <f t="shared" si="19"/>
        <v>0</v>
      </c>
      <c r="BF43" s="86">
        <f t="shared" si="20"/>
        <v>0</v>
      </c>
      <c r="BG43" s="197">
        <f t="shared" si="21"/>
        <v>0</v>
      </c>
      <c r="BH43" s="86">
        <f t="shared" si="39"/>
        <v>0</v>
      </c>
      <c r="BI43" s="86">
        <f t="shared" si="40"/>
        <v>0</v>
      </c>
      <c r="BJ43" s="122">
        <f>-Debt_Calc!AQ41</f>
        <v>0</v>
      </c>
      <c r="BK43" s="122">
        <f>Debt_Calc!AR41</f>
        <v>0</v>
      </c>
      <c r="BL43" s="86">
        <f t="shared" si="22"/>
        <v>0</v>
      </c>
      <c r="BM43" s="423">
        <f t="shared" si="41"/>
        <v>0</v>
      </c>
      <c r="BN43" s="86">
        <f t="shared" si="42"/>
        <v>0</v>
      </c>
      <c r="BO43" s="86">
        <f t="shared" si="23"/>
        <v>0</v>
      </c>
      <c r="BP43" s="86">
        <f t="shared" si="43"/>
        <v>0</v>
      </c>
      <c r="BQ43" s="86">
        <f t="shared" si="24"/>
        <v>0</v>
      </c>
      <c r="BR43" s="86">
        <f t="shared" si="25"/>
        <v>0</v>
      </c>
      <c r="BS43" s="86">
        <f t="shared" si="10"/>
        <v>0</v>
      </c>
      <c r="BT43" s="86">
        <f t="shared" si="26"/>
        <v>2819485.4221720025</v>
      </c>
      <c r="BU43" s="86">
        <f t="shared" si="44"/>
        <v>2</v>
      </c>
      <c r="BV43" s="214">
        <f t="shared" si="11"/>
        <v>0</v>
      </c>
    </row>
    <row r="44" spans="2:93" s="86" customFormat="1" x14ac:dyDescent="0.3">
      <c r="B44" s="215">
        <f t="shared" si="27"/>
        <v>33</v>
      </c>
      <c r="C44" s="352">
        <f t="shared" si="12"/>
        <v>2054</v>
      </c>
      <c r="D44" s="353">
        <f t="shared" si="45"/>
        <v>56250</v>
      </c>
      <c r="E44" s="442">
        <f t="shared" si="45"/>
        <v>56614</v>
      </c>
      <c r="F44" s="735">
        <f>IF(AND(B44&gt;0,B44&lt;=Rice_Inputs!$J$17),1,0)</f>
        <v>0</v>
      </c>
      <c r="G44" s="687">
        <f>IF(F44=1,Rice_Inputs!$G$29,0)</f>
        <v>0</v>
      </c>
      <c r="H44" s="736">
        <f>IF(AND(F43=0,F44=1),100%,IF(AND(F43=0,F44=0),100%,H43-Rice_Inputs!$G$42))*F44</f>
        <v>0</v>
      </c>
      <c r="I44" s="737">
        <f t="shared" si="29"/>
        <v>0</v>
      </c>
      <c r="J44" s="738">
        <f>Rice_Inputs!$J$11</f>
        <v>0.01</v>
      </c>
      <c r="K44" s="744">
        <f>IF(B44=1,Rice_Inputs!$R$15,K43*(1+Rice_CashFlows!J44))*F44</f>
        <v>0</v>
      </c>
      <c r="L44" s="745">
        <f>IF(B44=1,Rice_Inputs!$R$16,L43*(1+Rice_CashFlows!J44))*F44</f>
        <v>0</v>
      </c>
      <c r="M44" s="83">
        <f>K44*I44*Rice_Inputs!$J$9</f>
        <v>0</v>
      </c>
      <c r="N44" s="739">
        <f>L44*I44*Rice_Inputs!$J$10</f>
        <v>0</v>
      </c>
      <c r="O44" s="424">
        <f t="shared" si="30"/>
        <v>0</v>
      </c>
      <c r="P44" s="83">
        <f>SUM(M44:O44)+IF(B44=Rice_Inputs!$J$17,Rice_Inputs!$J$19,0)</f>
        <v>0</v>
      </c>
      <c r="Q44" s="746">
        <f>IF(B44=1,Rice_Inputs!$O$7,Q43*(1+Rice_Inputs!$N$23))*F44</f>
        <v>0</v>
      </c>
      <c r="R44" s="83">
        <f>IF(B44=1,Rice_Inputs!$O$8,R43*(1+Rice_Inputs!$N$23))*F44</f>
        <v>0</v>
      </c>
      <c r="S44" s="83">
        <f>IF(B44=1,Rice_Inputs!$O$9,S43*(1+Rice_Inputs!$N$23))*F44</f>
        <v>0</v>
      </c>
      <c r="T44" s="83">
        <f>IF(B44=1,Rice_Inputs!$O$10,T43*(1+Rice_Inputs!$N$23))*F44</f>
        <v>0</v>
      </c>
      <c r="U44" s="83">
        <f>IF(B44=1,Rice_Inputs!$O$11,U43*(1+Rice_Inputs!$N$23))*F44</f>
        <v>0</v>
      </c>
      <c r="V44" s="83">
        <f>IF(B44=1,Rice_Inputs!$O$12,V43*(1+Rice_Inputs!$N$23))*F44</f>
        <v>0</v>
      </c>
      <c r="W44" s="83">
        <f>IF(B44=1,Rice_Inputs!$O$13,W43*(1+Rice_Inputs!$N$23))*F44</f>
        <v>0</v>
      </c>
      <c r="X44" s="83">
        <f>IF(B44=1,Rice_Inputs!$O$14,X43*(1+Rice_Inputs!$N$23))*F44</f>
        <v>0</v>
      </c>
      <c r="Y44" s="83">
        <f>IF(B44=1,Rice_Inputs!$O$15,Y43*(1+Rice_Inputs!$N$23))*F44</f>
        <v>0</v>
      </c>
      <c r="Z44" s="83">
        <f>IF(B44=1,Rice_Inputs!$O$16,Z43*(1+Rice_Inputs!$N$23))*F44</f>
        <v>0</v>
      </c>
      <c r="AA44" s="83">
        <f>IF(B44=1,Rice_Inputs!$O$17,AA43*(1+Rice_Inputs!$N$23))*F44</f>
        <v>0</v>
      </c>
      <c r="AB44" s="141">
        <f>IF(B44=1,Rice_Inputs!$O$18,AB43*(1+Rice_Inputs!$N$23))*F44</f>
        <v>0</v>
      </c>
      <c r="AC44" s="747">
        <f>IF(B44=1,Rice_Inputs!$O$19,AC43*(1+Rice_Inputs!$N$23))*F44</f>
        <v>0</v>
      </c>
      <c r="AD44" s="83">
        <f>IF(B44=1,Rice_Inputs!$O$20,AD43*(1+Rice_Inputs!$N$23))*F44</f>
        <v>0</v>
      </c>
      <c r="AE44" s="83">
        <f>IF(B44=1,Rice_Inputs!$O$21,AE43*(1+Rice_Inputs!$N$23))*F44</f>
        <v>0</v>
      </c>
      <c r="AF44" s="84">
        <f>IF(B44=1,Rice_Inputs!$O$22,AF43*(1+Rice_Inputs!$N$23))*F44</f>
        <v>0</v>
      </c>
      <c r="AG44" s="231">
        <f t="shared" si="31"/>
        <v>0</v>
      </c>
      <c r="AH44" s="232">
        <f t="shared" si="13"/>
        <v>0</v>
      </c>
      <c r="AI44" s="234">
        <f t="shared" si="14"/>
        <v>0</v>
      </c>
      <c r="AJ44" s="750">
        <f>Deprec!L43</f>
        <v>0</v>
      </c>
      <c r="AK44" s="83">
        <f t="shared" si="32"/>
        <v>0</v>
      </c>
      <c r="AL44" s="751">
        <f t="shared" si="33"/>
        <v>0</v>
      </c>
      <c r="AM44" s="83">
        <f t="shared" si="34"/>
        <v>0</v>
      </c>
      <c r="AN44" s="749">
        <f>IF(AM44&lt;0,0,(AM44*Rice_Inputs!$J$14))</f>
        <v>0</v>
      </c>
      <c r="AO44" s="232">
        <f t="shared" si="35"/>
        <v>0</v>
      </c>
      <c r="AP44" s="235">
        <f t="shared" si="16"/>
        <v>0</v>
      </c>
      <c r="AQ44" s="232"/>
      <c r="AR44" s="232"/>
      <c r="AS44" s="233">
        <f t="shared" si="17"/>
        <v>0</v>
      </c>
      <c r="AT44" s="232">
        <f t="shared" si="18"/>
        <v>0</v>
      </c>
      <c r="AU44" s="439">
        <f t="shared" si="36"/>
        <v>0</v>
      </c>
      <c r="AV44" s="746">
        <f>IF(B44=0,Rice_Inputs!$C$29,0)</f>
        <v>0</v>
      </c>
      <c r="AW44" s="434">
        <f t="shared" si="5"/>
        <v>0</v>
      </c>
      <c r="AX44" s="439">
        <f t="shared" si="6"/>
        <v>0</v>
      </c>
      <c r="AY44" s="748">
        <f>IF(B44=0,Rice_Inputs!$G$15+Rice_Inputs!$G$16,0)</f>
        <v>0</v>
      </c>
      <c r="AZ44" s="150">
        <f>IF(B44=0,Rice_Inputs!$G$14,0)</f>
        <v>0</v>
      </c>
      <c r="BA44" s="84">
        <f t="shared" si="37"/>
        <v>0</v>
      </c>
      <c r="BB44" s="746">
        <f t="shared" si="38"/>
        <v>0</v>
      </c>
      <c r="BC44" s="746">
        <f>Rice_Inputs!$G$20*AVERAGE(BR44,BS44)</f>
        <v>0</v>
      </c>
      <c r="BD44" s="231">
        <f t="shared" si="9"/>
        <v>0</v>
      </c>
      <c r="BE44" s="231">
        <f t="shared" si="19"/>
        <v>0</v>
      </c>
      <c r="BF44" s="232">
        <f t="shared" si="20"/>
        <v>0</v>
      </c>
      <c r="BG44" s="439">
        <f t="shared" si="21"/>
        <v>0</v>
      </c>
      <c r="BH44" s="232">
        <f t="shared" si="39"/>
        <v>0</v>
      </c>
      <c r="BI44" s="232">
        <f t="shared" si="40"/>
        <v>0</v>
      </c>
      <c r="BJ44" s="83">
        <f>-Debt_Calc!AQ42</f>
        <v>0</v>
      </c>
      <c r="BK44" s="83">
        <f>Debt_Calc!AR42</f>
        <v>0</v>
      </c>
      <c r="BL44" s="232">
        <f t="shared" si="22"/>
        <v>0</v>
      </c>
      <c r="BM44" s="424">
        <f t="shared" si="41"/>
        <v>0</v>
      </c>
      <c r="BN44" s="232">
        <f t="shared" si="42"/>
        <v>0</v>
      </c>
      <c r="BO44" s="232">
        <f t="shared" si="23"/>
        <v>0</v>
      </c>
      <c r="BP44" s="232">
        <f t="shared" si="43"/>
        <v>0</v>
      </c>
      <c r="BQ44" s="232">
        <f t="shared" si="24"/>
        <v>0</v>
      </c>
      <c r="BR44" s="232">
        <f t="shared" si="25"/>
        <v>0</v>
      </c>
      <c r="BS44" s="232">
        <f t="shared" si="10"/>
        <v>0</v>
      </c>
      <c r="BT44" s="232">
        <f t="shared" si="26"/>
        <v>2819485.4221720025</v>
      </c>
      <c r="BU44" s="232">
        <f t="shared" si="44"/>
        <v>2</v>
      </c>
      <c r="BV44" s="236">
        <f t="shared" si="11"/>
        <v>0</v>
      </c>
    </row>
    <row r="45" spans="2:93" s="227" customFormat="1" x14ac:dyDescent="0.3">
      <c r="H45" s="237"/>
      <c r="J45" s="238"/>
      <c r="K45" s="199"/>
      <c r="L45" s="86"/>
      <c r="M45" s="86"/>
      <c r="N45" s="86"/>
      <c r="O45" s="202"/>
      <c r="P45" s="86"/>
      <c r="Q45" s="86"/>
      <c r="R45" s="86"/>
      <c r="S45" s="86"/>
      <c r="T45" s="86"/>
      <c r="U45" s="86"/>
      <c r="V45" s="86"/>
      <c r="W45" s="86"/>
      <c r="X45" s="86"/>
      <c r="Y45" s="86"/>
      <c r="Z45" s="86"/>
      <c r="AA45" s="86"/>
      <c r="AB45" s="86"/>
      <c r="AC45" s="86"/>
      <c r="AD45" s="86"/>
      <c r="AE45" s="86"/>
      <c r="AF45" s="86"/>
      <c r="AG45" s="86"/>
      <c r="AH45" s="86"/>
      <c r="AI45" s="86"/>
      <c r="AJ45" s="86"/>
      <c r="AK45" s="86"/>
      <c r="AL45" s="199"/>
      <c r="AM45" s="86"/>
      <c r="AN45" s="86"/>
      <c r="AO45" s="86"/>
      <c r="AP45" s="225"/>
      <c r="AQ45" s="86"/>
      <c r="AR45" s="86"/>
      <c r="AS45" s="239"/>
      <c r="AT45" s="86"/>
      <c r="AU45" s="86"/>
      <c r="AV45" s="202"/>
      <c r="AW45" s="86"/>
      <c r="AX45" s="86"/>
      <c r="AY45" s="86"/>
      <c r="AZ45" s="86"/>
      <c r="BA45" s="86"/>
      <c r="BB45" s="86"/>
      <c r="BC45" s="86"/>
      <c r="BD45" s="86"/>
      <c r="BE45" s="86"/>
      <c r="BF45" s="86"/>
      <c r="BG45" s="86"/>
      <c r="BH45" s="86"/>
      <c r="BI45" s="86"/>
      <c r="BJ45" s="202"/>
      <c r="BK45" s="202"/>
      <c r="BL45" s="202"/>
      <c r="BM45" s="86"/>
      <c r="BN45" s="86"/>
      <c r="BO45" s="86"/>
      <c r="BP45" s="86"/>
      <c r="BQ45" s="86"/>
      <c r="BR45" s="86"/>
      <c r="BS45" s="86"/>
      <c r="BT45" s="86"/>
      <c r="BU45" s="86"/>
      <c r="BV45" s="86"/>
      <c r="BW45" s="86"/>
      <c r="BX45" s="86"/>
      <c r="BY45" s="86"/>
      <c r="BZ45" s="86"/>
      <c r="CA45" s="86"/>
      <c r="CB45" s="86"/>
      <c r="CC45" s="86"/>
      <c r="CD45" s="86"/>
      <c r="CE45" s="86"/>
      <c r="CF45" s="86"/>
      <c r="CG45" s="86"/>
      <c r="CH45" s="86"/>
      <c r="CI45" s="86"/>
      <c r="CJ45" s="86"/>
      <c r="CK45" s="86"/>
      <c r="CL45" s="86"/>
      <c r="CM45" s="86"/>
      <c r="CN45" s="86"/>
      <c r="CO45" s="86"/>
    </row>
    <row r="46" spans="2:93" s="227" customFormat="1" x14ac:dyDescent="0.3">
      <c r="H46" s="237"/>
      <c r="J46" s="238"/>
      <c r="K46" s="199"/>
      <c r="L46" s="86"/>
      <c r="M46" s="86"/>
      <c r="N46" s="86"/>
      <c r="O46" s="202"/>
      <c r="P46" s="86"/>
      <c r="Q46" s="86"/>
      <c r="R46" s="86"/>
      <c r="S46" s="86"/>
      <c r="T46" s="86"/>
      <c r="U46" s="86"/>
      <c r="V46" s="86"/>
      <c r="W46" s="86"/>
      <c r="X46" s="86"/>
      <c r="Y46" s="86"/>
      <c r="Z46" s="86"/>
      <c r="AA46" s="86"/>
      <c r="AB46" s="86"/>
      <c r="AC46" s="86"/>
      <c r="AD46" s="86"/>
      <c r="AE46" s="86"/>
      <c r="AF46" s="86"/>
      <c r="AG46" s="86"/>
      <c r="AH46" s="86"/>
      <c r="AI46" s="86"/>
      <c r="AJ46" s="86"/>
      <c r="AK46" s="86"/>
      <c r="AL46" s="199"/>
      <c r="AM46" s="86"/>
      <c r="AN46" s="86"/>
      <c r="AO46" s="86"/>
      <c r="AP46" s="225"/>
      <c r="AQ46" s="86"/>
      <c r="AR46" s="86"/>
      <c r="AS46" s="239"/>
      <c r="AT46" s="240"/>
      <c r="AU46" s="86"/>
      <c r="AV46" s="202"/>
      <c r="AW46" s="86"/>
      <c r="AX46" s="86"/>
      <c r="AY46" s="86"/>
      <c r="AZ46" s="86"/>
      <c r="BA46" s="86"/>
      <c r="BB46" s="86"/>
      <c r="BC46" s="86"/>
      <c r="BD46" s="86"/>
      <c r="BE46" s="86"/>
      <c r="BF46" s="86"/>
      <c r="BG46" s="86"/>
      <c r="BH46" s="86"/>
      <c r="BI46" s="86"/>
      <c r="BJ46" s="202"/>
      <c r="BK46" s="202"/>
      <c r="BL46" s="202"/>
      <c r="BM46" s="86"/>
      <c r="BN46" s="86"/>
      <c r="BO46" s="86"/>
      <c r="BP46" s="86"/>
      <c r="BQ46" s="86"/>
      <c r="BR46" s="86"/>
      <c r="BS46" s="86"/>
      <c r="BT46" s="86"/>
      <c r="BU46" s="86"/>
      <c r="BV46" s="86"/>
      <c r="BW46" s="86"/>
      <c r="BX46" s="86"/>
      <c r="BY46" s="86"/>
      <c r="BZ46" s="86"/>
      <c r="CA46" s="86"/>
      <c r="CB46" s="86"/>
      <c r="CC46" s="86"/>
      <c r="CD46" s="86"/>
      <c r="CE46" s="86"/>
      <c r="CF46" s="86"/>
      <c r="CG46" s="86"/>
      <c r="CH46" s="86"/>
      <c r="CI46" s="86"/>
      <c r="CJ46" s="86"/>
      <c r="CK46" s="86"/>
      <c r="CL46" s="86"/>
      <c r="CM46" s="86"/>
      <c r="CN46" s="86"/>
      <c r="CO46" s="86"/>
    </row>
    <row r="47" spans="2:93" s="227" customFormat="1" x14ac:dyDescent="0.3">
      <c r="H47" s="237"/>
      <c r="J47" s="238"/>
      <c r="K47" s="199"/>
      <c r="L47" s="86"/>
      <c r="M47" s="86"/>
      <c r="N47" s="86"/>
      <c r="O47" s="202"/>
      <c r="P47" s="86"/>
      <c r="Q47" s="86"/>
      <c r="R47" s="86"/>
      <c r="S47" s="86"/>
      <c r="T47" s="86"/>
      <c r="U47" s="86"/>
      <c r="V47" s="86"/>
      <c r="W47" s="86"/>
      <c r="X47" s="86"/>
      <c r="Y47" s="86"/>
      <c r="Z47" s="86"/>
      <c r="AA47" s="86"/>
      <c r="AB47" s="86"/>
      <c r="AC47" s="86"/>
      <c r="AD47" s="86"/>
      <c r="AE47" s="86"/>
      <c r="AF47" s="86"/>
      <c r="AG47" s="86"/>
      <c r="AH47" s="86"/>
      <c r="AI47" s="86"/>
      <c r="AJ47" s="86"/>
      <c r="AK47" s="86"/>
      <c r="AL47" s="199"/>
      <c r="AM47" s="86"/>
      <c r="AN47" s="86"/>
      <c r="AO47" s="86"/>
      <c r="AP47" s="225"/>
      <c r="AQ47" s="86"/>
      <c r="AR47" s="86"/>
      <c r="AS47" s="239"/>
      <c r="AT47" s="86"/>
      <c r="AU47" s="86"/>
      <c r="AV47" s="202"/>
      <c r="AW47" s="86"/>
      <c r="AX47" s="86"/>
      <c r="AY47" s="86"/>
      <c r="AZ47" s="86"/>
      <c r="BA47" s="86"/>
      <c r="BB47" s="86"/>
      <c r="BC47" s="86"/>
      <c r="BD47" s="86"/>
      <c r="BE47" s="86"/>
      <c r="BF47" s="86"/>
      <c r="BG47" s="86"/>
      <c r="BH47" s="86"/>
      <c r="BI47" s="86"/>
      <c r="BJ47" s="202"/>
      <c r="BK47" s="202"/>
      <c r="BL47" s="202"/>
      <c r="BM47" s="86"/>
      <c r="BN47" s="86"/>
      <c r="BO47" s="86"/>
      <c r="BP47" s="86"/>
      <c r="BQ47" s="86"/>
      <c r="BR47" s="86"/>
      <c r="BS47" s="86"/>
      <c r="BT47" s="86"/>
      <c r="BU47" s="86"/>
      <c r="BV47" s="86"/>
      <c r="BW47" s="86"/>
      <c r="BX47" s="86"/>
      <c r="BY47" s="86"/>
      <c r="BZ47" s="86"/>
      <c r="CA47" s="86"/>
      <c r="CB47" s="86"/>
      <c r="CC47" s="86"/>
      <c r="CD47" s="86"/>
      <c r="CE47" s="86"/>
      <c r="CF47" s="86"/>
      <c r="CG47" s="86"/>
      <c r="CH47" s="86"/>
      <c r="CI47" s="86"/>
      <c r="CJ47" s="86"/>
      <c r="CK47" s="86"/>
      <c r="CL47" s="86"/>
      <c r="CM47" s="86"/>
      <c r="CN47" s="86"/>
      <c r="CO47" s="86"/>
    </row>
    <row r="48" spans="2:93" s="227" customFormat="1" x14ac:dyDescent="0.3">
      <c r="H48" s="237"/>
      <c r="J48" s="238"/>
      <c r="K48" s="199"/>
      <c r="L48" s="86"/>
      <c r="M48" s="86"/>
      <c r="N48" s="86"/>
      <c r="O48" s="202"/>
      <c r="P48" s="86"/>
      <c r="Q48" s="86"/>
      <c r="R48" s="86"/>
      <c r="S48" s="86"/>
      <c r="T48" s="86"/>
      <c r="U48" s="86"/>
      <c r="V48" s="86"/>
      <c r="W48" s="86"/>
      <c r="X48" s="86"/>
      <c r="Y48" s="86"/>
      <c r="Z48" s="86"/>
      <c r="AA48" s="86"/>
      <c r="AB48" s="86"/>
      <c r="AC48" s="86"/>
      <c r="AD48" s="86"/>
      <c r="AE48" s="86"/>
      <c r="AF48" s="86"/>
      <c r="AG48" s="86"/>
      <c r="AH48" s="86"/>
      <c r="AI48" s="86"/>
      <c r="AJ48" s="86"/>
      <c r="AK48" s="86"/>
      <c r="AL48" s="199"/>
      <c r="AM48" s="86"/>
      <c r="AN48" s="86"/>
      <c r="AO48" s="86"/>
      <c r="AP48" s="225"/>
      <c r="AQ48" s="86"/>
      <c r="AR48" s="86"/>
      <c r="AS48" s="239"/>
      <c r="AT48" s="86"/>
      <c r="AU48" s="86"/>
      <c r="AV48" s="202"/>
      <c r="AW48" s="86"/>
      <c r="AX48" s="86"/>
      <c r="AY48" s="86"/>
      <c r="AZ48" s="86"/>
      <c r="BA48" s="86"/>
      <c r="BB48" s="86"/>
      <c r="BC48" s="86"/>
      <c r="BD48" s="86"/>
      <c r="BE48" s="86"/>
      <c r="BF48" s="86"/>
      <c r="BG48" s="86"/>
      <c r="BH48" s="86"/>
      <c r="BI48" s="86"/>
      <c r="BJ48" s="202"/>
      <c r="BK48" s="202"/>
      <c r="BL48" s="202"/>
      <c r="BM48" s="86"/>
      <c r="BN48" s="86"/>
      <c r="BO48" s="86"/>
      <c r="BP48" s="86"/>
      <c r="BQ48" s="86"/>
      <c r="BR48" s="86"/>
      <c r="BS48" s="86"/>
      <c r="BT48" s="86"/>
      <c r="BU48" s="86"/>
      <c r="BV48" s="86"/>
      <c r="BW48" s="86"/>
      <c r="BX48" s="86"/>
      <c r="BY48" s="86"/>
      <c r="BZ48" s="86"/>
      <c r="CA48" s="86"/>
      <c r="CB48" s="86"/>
      <c r="CC48" s="86"/>
      <c r="CD48" s="86"/>
      <c r="CE48" s="86"/>
      <c r="CF48" s="86"/>
      <c r="CG48" s="86"/>
      <c r="CH48" s="86"/>
      <c r="CI48" s="86"/>
      <c r="CJ48" s="86"/>
      <c r="CK48" s="86"/>
      <c r="CL48" s="86"/>
      <c r="CM48" s="86"/>
      <c r="CN48" s="86"/>
      <c r="CO48" s="86"/>
    </row>
    <row r="49" spans="8:93" s="227" customFormat="1" x14ac:dyDescent="0.3">
      <c r="H49" s="237"/>
      <c r="J49" s="238"/>
      <c r="K49" s="199"/>
      <c r="L49" s="86"/>
      <c r="M49" s="86"/>
      <c r="N49" s="86"/>
      <c r="O49" s="202"/>
      <c r="P49" s="86"/>
      <c r="Q49" s="86"/>
      <c r="R49" s="86"/>
      <c r="S49" s="86"/>
      <c r="T49" s="86"/>
      <c r="U49" s="86"/>
      <c r="V49" s="86"/>
      <c r="W49" s="86"/>
      <c r="X49" s="86"/>
      <c r="Y49" s="86"/>
      <c r="Z49" s="86"/>
      <c r="AA49" s="86"/>
      <c r="AB49" s="86"/>
      <c r="AC49" s="86"/>
      <c r="AD49" s="86"/>
      <c r="AE49" s="86"/>
      <c r="AF49" s="86"/>
      <c r="AG49" s="86"/>
      <c r="AH49" s="86"/>
      <c r="AI49" s="86"/>
      <c r="AJ49" s="86"/>
      <c r="AK49" s="86"/>
      <c r="AL49" s="199"/>
      <c r="AM49" s="86"/>
      <c r="AN49" s="86"/>
      <c r="AO49" s="86"/>
      <c r="AP49" s="225"/>
      <c r="AQ49" s="86"/>
      <c r="AR49" s="86"/>
      <c r="AS49" s="239"/>
      <c r="AT49" s="86"/>
      <c r="AU49" s="86"/>
      <c r="AV49" s="202"/>
      <c r="AW49" s="86"/>
      <c r="AX49" s="86"/>
      <c r="AY49" s="86"/>
      <c r="AZ49" s="86"/>
      <c r="BA49" s="86"/>
      <c r="BB49" s="86"/>
      <c r="BC49" s="86"/>
      <c r="BD49" s="86"/>
      <c r="BE49" s="86"/>
      <c r="BF49" s="86"/>
      <c r="BG49" s="86"/>
      <c r="BH49" s="86"/>
      <c r="BI49" s="86"/>
      <c r="BJ49" s="202"/>
      <c r="BK49" s="202"/>
      <c r="BL49" s="202"/>
      <c r="BM49" s="86"/>
      <c r="BN49" s="86"/>
      <c r="BO49" s="86"/>
      <c r="BP49" s="86"/>
      <c r="BQ49" s="86"/>
      <c r="BR49" s="86"/>
      <c r="BS49" s="86"/>
      <c r="BT49" s="86"/>
      <c r="BU49" s="86"/>
      <c r="BV49" s="86"/>
      <c r="BW49" s="86"/>
      <c r="BX49" s="86"/>
      <c r="BY49" s="86"/>
      <c r="BZ49" s="86"/>
      <c r="CA49" s="86"/>
      <c r="CB49" s="86"/>
      <c r="CC49" s="86"/>
      <c r="CD49" s="86"/>
      <c r="CE49" s="86"/>
      <c r="CF49" s="86"/>
      <c r="CG49" s="86"/>
      <c r="CH49" s="86"/>
      <c r="CI49" s="86"/>
      <c r="CJ49" s="86"/>
      <c r="CK49" s="86"/>
      <c r="CL49" s="86"/>
      <c r="CM49" s="86"/>
      <c r="CN49" s="86"/>
      <c r="CO49" s="86"/>
    </row>
    <row r="50" spans="8:93" s="227" customFormat="1" x14ac:dyDescent="0.3">
      <c r="H50" s="237"/>
      <c r="J50" s="238"/>
      <c r="K50" s="199"/>
      <c r="L50" s="86"/>
      <c r="M50" s="86"/>
      <c r="N50" s="86"/>
      <c r="O50" s="202"/>
      <c r="P50" s="86"/>
      <c r="Q50" s="86"/>
      <c r="R50" s="86"/>
      <c r="S50" s="86"/>
      <c r="T50" s="86"/>
      <c r="U50" s="86"/>
      <c r="V50" s="86"/>
      <c r="W50" s="86"/>
      <c r="X50" s="86"/>
      <c r="Y50" s="86"/>
      <c r="Z50" s="86"/>
      <c r="AA50" s="86"/>
      <c r="AB50" s="86"/>
      <c r="AC50" s="86"/>
      <c r="AD50" s="86"/>
      <c r="AE50" s="86"/>
      <c r="AF50" s="86"/>
      <c r="AG50" s="86"/>
      <c r="AH50" s="86"/>
      <c r="AI50" s="86"/>
      <c r="AJ50" s="86"/>
      <c r="AK50" s="86"/>
      <c r="AL50" s="199"/>
      <c r="AM50" s="86"/>
      <c r="AN50" s="86"/>
      <c r="AO50" s="86"/>
      <c r="AP50" s="225"/>
      <c r="AQ50" s="86"/>
      <c r="AR50" s="86"/>
      <c r="AS50" s="239"/>
      <c r="AT50" s="86"/>
      <c r="AU50" s="86"/>
      <c r="AV50" s="202"/>
      <c r="AW50" s="86"/>
      <c r="AX50" s="86"/>
      <c r="AY50" s="86"/>
      <c r="AZ50" s="86"/>
      <c r="BA50" s="86"/>
      <c r="BB50" s="86"/>
      <c r="BC50" s="86"/>
      <c r="BD50" s="86"/>
      <c r="BE50" s="86"/>
      <c r="BF50" s="86"/>
      <c r="BG50" s="86"/>
      <c r="BH50" s="86"/>
      <c r="BI50" s="86"/>
      <c r="BJ50" s="202"/>
      <c r="BK50" s="202"/>
      <c r="BL50" s="202"/>
      <c r="BM50" s="86"/>
      <c r="BN50" s="86"/>
      <c r="BO50" s="86"/>
      <c r="BP50" s="86"/>
      <c r="BQ50" s="86"/>
      <c r="BR50" s="86"/>
      <c r="BS50" s="86"/>
      <c r="BT50" s="86"/>
      <c r="BU50" s="86"/>
      <c r="BV50" s="86"/>
      <c r="BW50" s="86"/>
      <c r="BX50" s="86"/>
      <c r="BY50" s="86"/>
      <c r="BZ50" s="86"/>
      <c r="CA50" s="86"/>
      <c r="CB50" s="86"/>
      <c r="CC50" s="86"/>
      <c r="CD50" s="86"/>
      <c r="CE50" s="86"/>
      <c r="CF50" s="86"/>
      <c r="CG50" s="86"/>
      <c r="CH50" s="86"/>
      <c r="CI50" s="86"/>
      <c r="CJ50" s="86"/>
      <c r="CK50" s="86"/>
      <c r="CL50" s="86"/>
      <c r="CM50" s="86"/>
      <c r="CN50" s="86"/>
      <c r="CO50" s="86"/>
    </row>
    <row r="51" spans="8:93" s="227" customFormat="1" x14ac:dyDescent="0.3">
      <c r="H51" s="237"/>
      <c r="J51" s="238"/>
      <c r="K51" s="199"/>
      <c r="L51" s="86"/>
      <c r="M51" s="86"/>
      <c r="N51" s="86"/>
      <c r="O51" s="202"/>
      <c r="P51" s="86"/>
      <c r="Q51" s="86"/>
      <c r="R51" s="86"/>
      <c r="S51" s="86"/>
      <c r="T51" s="86"/>
      <c r="U51" s="86"/>
      <c r="V51" s="86"/>
      <c r="W51" s="86"/>
      <c r="X51" s="86"/>
      <c r="Y51" s="86"/>
      <c r="Z51" s="86"/>
      <c r="AA51" s="86"/>
      <c r="AB51" s="86"/>
      <c r="AC51" s="86"/>
      <c r="AD51" s="86"/>
      <c r="AE51" s="86"/>
      <c r="AF51" s="86"/>
      <c r="AG51" s="86"/>
      <c r="AH51" s="86"/>
      <c r="AI51" s="86"/>
      <c r="AJ51" s="86"/>
      <c r="AK51" s="86"/>
      <c r="AL51" s="199"/>
      <c r="AM51" s="86"/>
      <c r="AN51" s="86"/>
      <c r="AO51" s="86"/>
      <c r="AP51" s="225"/>
      <c r="AQ51" s="86"/>
      <c r="AR51" s="86"/>
      <c r="AS51" s="239"/>
      <c r="AT51" s="86"/>
      <c r="AU51" s="86"/>
      <c r="AV51" s="202"/>
      <c r="AW51" s="86"/>
      <c r="AX51" s="86"/>
      <c r="AY51" s="86"/>
      <c r="AZ51" s="86"/>
      <c r="BA51" s="86"/>
      <c r="BB51" s="86"/>
      <c r="BC51" s="86"/>
      <c r="BD51" s="86"/>
      <c r="BE51" s="86"/>
      <c r="BF51" s="86"/>
      <c r="BG51" s="86"/>
      <c r="BH51" s="86"/>
      <c r="BI51" s="86"/>
      <c r="BJ51" s="202"/>
      <c r="BK51" s="202"/>
      <c r="BL51" s="202"/>
      <c r="BM51" s="86"/>
      <c r="BN51" s="86"/>
      <c r="BO51" s="86"/>
      <c r="BP51" s="86"/>
      <c r="BQ51" s="86"/>
      <c r="BR51" s="86"/>
      <c r="BS51" s="86"/>
      <c r="BT51" s="86"/>
      <c r="BU51" s="86"/>
      <c r="BV51" s="86"/>
      <c r="BW51" s="86"/>
      <c r="BX51" s="86"/>
      <c r="BY51" s="86"/>
      <c r="BZ51" s="86"/>
      <c r="CA51" s="86"/>
      <c r="CB51" s="86"/>
      <c r="CC51" s="86"/>
      <c r="CD51" s="86"/>
      <c r="CE51" s="86"/>
      <c r="CF51" s="86"/>
      <c r="CG51" s="86"/>
      <c r="CH51" s="86"/>
      <c r="CI51" s="86"/>
      <c r="CJ51" s="86"/>
      <c r="CK51" s="86"/>
      <c r="CL51" s="86"/>
      <c r="CM51" s="86"/>
      <c r="CN51" s="86"/>
      <c r="CO51" s="86"/>
    </row>
    <row r="52" spans="8:93" s="227" customFormat="1" x14ac:dyDescent="0.3">
      <c r="H52" s="237"/>
      <c r="J52" s="238"/>
      <c r="K52" s="199"/>
      <c r="L52" s="86"/>
      <c r="M52" s="86"/>
      <c r="N52" s="86"/>
      <c r="O52" s="202"/>
      <c r="P52" s="86"/>
      <c r="Q52" s="86"/>
      <c r="R52" s="86"/>
      <c r="S52" s="86"/>
      <c r="T52" s="86"/>
      <c r="U52" s="86"/>
      <c r="V52" s="86"/>
      <c r="W52" s="86"/>
      <c r="X52" s="86"/>
      <c r="Y52" s="86"/>
      <c r="Z52" s="86"/>
      <c r="AA52" s="86"/>
      <c r="AB52" s="86"/>
      <c r="AC52" s="86"/>
      <c r="AD52" s="86"/>
      <c r="AE52" s="86"/>
      <c r="AF52" s="86"/>
      <c r="AG52" s="86"/>
      <c r="AH52" s="86"/>
      <c r="AI52" s="86"/>
      <c r="AJ52" s="86"/>
      <c r="AK52" s="86"/>
      <c r="AL52" s="199"/>
      <c r="AM52" s="86"/>
      <c r="AN52" s="86"/>
      <c r="AO52" s="86"/>
      <c r="AP52" s="225"/>
      <c r="AQ52" s="86"/>
      <c r="AR52" s="86"/>
      <c r="AS52" s="239"/>
      <c r="AT52" s="86"/>
      <c r="AU52" s="86"/>
      <c r="AV52" s="202"/>
      <c r="AW52" s="86"/>
      <c r="AX52" s="86"/>
      <c r="AY52" s="86"/>
      <c r="AZ52" s="86"/>
      <c r="BA52" s="86"/>
      <c r="BB52" s="86"/>
      <c r="BC52" s="86"/>
      <c r="BD52" s="86"/>
      <c r="BE52" s="86"/>
      <c r="BF52" s="86"/>
      <c r="BG52" s="86"/>
      <c r="BH52" s="86"/>
      <c r="BI52" s="86"/>
      <c r="BJ52" s="202"/>
      <c r="BK52" s="202"/>
      <c r="BL52" s="202"/>
      <c r="BM52" s="86"/>
      <c r="BN52" s="86"/>
      <c r="BO52" s="86"/>
      <c r="BP52" s="86"/>
      <c r="BQ52" s="86"/>
      <c r="BR52" s="86"/>
      <c r="BS52" s="86"/>
      <c r="BT52" s="86"/>
      <c r="BU52" s="86"/>
      <c r="BV52" s="86"/>
      <c r="BW52" s="86"/>
      <c r="BX52" s="86"/>
      <c r="BY52" s="86"/>
      <c r="BZ52" s="86"/>
      <c r="CA52" s="86"/>
      <c r="CB52" s="86"/>
      <c r="CC52" s="86"/>
      <c r="CD52" s="86"/>
      <c r="CE52" s="86"/>
      <c r="CF52" s="86"/>
      <c r="CG52" s="86"/>
      <c r="CH52" s="86"/>
      <c r="CI52" s="86"/>
      <c r="CJ52" s="86"/>
      <c r="CK52" s="86"/>
      <c r="CL52" s="86"/>
      <c r="CM52" s="86"/>
      <c r="CN52" s="86"/>
      <c r="CO52" s="86"/>
    </row>
    <row r="53" spans="8:93" s="227" customFormat="1" x14ac:dyDescent="0.3">
      <c r="H53" s="237"/>
      <c r="J53" s="238"/>
      <c r="K53" s="199"/>
      <c r="L53" s="86"/>
      <c r="M53" s="86"/>
      <c r="N53" s="86"/>
      <c r="O53" s="202"/>
      <c r="P53" s="86"/>
      <c r="Q53" s="86"/>
      <c r="R53" s="86"/>
      <c r="S53" s="86"/>
      <c r="T53" s="86"/>
      <c r="U53" s="86"/>
      <c r="V53" s="86"/>
      <c r="W53" s="86"/>
      <c r="X53" s="86"/>
      <c r="Y53" s="86"/>
      <c r="Z53" s="86"/>
      <c r="AA53" s="86"/>
      <c r="AB53" s="86"/>
      <c r="AC53" s="86"/>
      <c r="AD53" s="86"/>
      <c r="AE53" s="86"/>
      <c r="AF53" s="86"/>
      <c r="AG53" s="86"/>
      <c r="AH53" s="86"/>
      <c r="AI53" s="86"/>
      <c r="AJ53" s="86"/>
      <c r="AK53" s="86"/>
      <c r="AL53" s="199"/>
      <c r="AM53" s="86"/>
      <c r="AN53" s="86"/>
      <c r="AO53" s="86"/>
      <c r="AP53" s="225"/>
      <c r="AQ53" s="86"/>
      <c r="AR53" s="86"/>
      <c r="AS53" s="239"/>
      <c r="AT53" s="86"/>
      <c r="AU53" s="86"/>
      <c r="AV53" s="202"/>
      <c r="AW53" s="86"/>
      <c r="AX53" s="86"/>
      <c r="AY53" s="86"/>
      <c r="AZ53" s="86"/>
      <c r="BA53" s="86"/>
      <c r="BB53" s="86"/>
      <c r="BC53" s="86"/>
      <c r="BD53" s="86"/>
      <c r="BE53" s="86"/>
      <c r="BF53" s="86"/>
      <c r="BG53" s="86"/>
      <c r="BH53" s="86"/>
      <c r="BI53" s="86"/>
      <c r="BJ53" s="202"/>
      <c r="BK53" s="202"/>
      <c r="BL53" s="202"/>
      <c r="BM53" s="86"/>
      <c r="BN53" s="86"/>
      <c r="BO53" s="86"/>
      <c r="BP53" s="86"/>
      <c r="BQ53" s="86"/>
      <c r="BR53" s="86"/>
      <c r="BS53" s="86"/>
      <c r="BT53" s="86"/>
      <c r="BU53" s="86"/>
      <c r="BV53" s="86"/>
      <c r="BW53" s="86"/>
      <c r="BX53" s="86"/>
      <c r="BY53" s="86"/>
      <c r="BZ53" s="86"/>
      <c r="CA53" s="86"/>
      <c r="CB53" s="86"/>
      <c r="CC53" s="86"/>
      <c r="CD53" s="86"/>
      <c r="CE53" s="86"/>
      <c r="CF53" s="86"/>
      <c r="CG53" s="86"/>
      <c r="CH53" s="86"/>
      <c r="CI53" s="86"/>
      <c r="CJ53" s="86"/>
      <c r="CK53" s="86"/>
      <c r="CL53" s="86"/>
      <c r="CM53" s="86"/>
      <c r="CN53" s="86"/>
      <c r="CO53" s="86"/>
    </row>
    <row r="54" spans="8:93" s="227" customFormat="1" x14ac:dyDescent="0.3">
      <c r="H54" s="237"/>
      <c r="J54" s="238"/>
      <c r="K54" s="199"/>
      <c r="L54" s="86"/>
      <c r="M54" s="86"/>
      <c r="N54" s="86"/>
      <c r="O54" s="202"/>
      <c r="P54" s="86"/>
      <c r="Q54" s="86"/>
      <c r="R54" s="86"/>
      <c r="S54" s="86"/>
      <c r="T54" s="86"/>
      <c r="U54" s="86"/>
      <c r="V54" s="86"/>
      <c r="W54" s="86"/>
      <c r="X54" s="86"/>
      <c r="Y54" s="86"/>
      <c r="Z54" s="86"/>
      <c r="AA54" s="86"/>
      <c r="AB54" s="86"/>
      <c r="AC54" s="86"/>
      <c r="AD54" s="86"/>
      <c r="AE54" s="86"/>
      <c r="AF54" s="86"/>
      <c r="AG54" s="86"/>
      <c r="AH54" s="86"/>
      <c r="AI54" s="86"/>
      <c r="AJ54" s="86"/>
      <c r="AK54" s="86"/>
      <c r="AL54" s="199"/>
      <c r="AM54" s="86"/>
      <c r="AN54" s="86"/>
      <c r="AO54" s="86"/>
      <c r="AP54" s="225"/>
      <c r="AQ54" s="86"/>
      <c r="AR54" s="86"/>
      <c r="AS54" s="239"/>
      <c r="AT54" s="86"/>
      <c r="AU54" s="86"/>
      <c r="AV54" s="202"/>
      <c r="AW54" s="86"/>
      <c r="AX54" s="86"/>
      <c r="AY54" s="86"/>
      <c r="AZ54" s="86"/>
      <c r="BA54" s="86"/>
      <c r="BB54" s="86"/>
      <c r="BC54" s="86"/>
      <c r="BD54" s="86"/>
      <c r="BE54" s="86"/>
      <c r="BF54" s="86"/>
      <c r="BG54" s="86"/>
      <c r="BH54" s="86"/>
      <c r="BI54" s="86"/>
      <c r="BJ54" s="202"/>
      <c r="BK54" s="202"/>
      <c r="BL54" s="202"/>
      <c r="BM54" s="86"/>
      <c r="BN54" s="86"/>
      <c r="BO54" s="86"/>
      <c r="BP54" s="86"/>
      <c r="BQ54" s="86"/>
      <c r="BR54" s="86"/>
      <c r="BS54" s="86"/>
      <c r="BT54" s="86"/>
      <c r="BU54" s="86"/>
      <c r="BV54" s="86"/>
      <c r="BW54" s="86"/>
      <c r="BX54" s="86"/>
      <c r="BY54" s="86"/>
      <c r="BZ54" s="86"/>
      <c r="CA54" s="86"/>
      <c r="CB54" s="86"/>
      <c r="CC54" s="86"/>
      <c r="CD54" s="86"/>
      <c r="CE54" s="86"/>
      <c r="CF54" s="86"/>
      <c r="CG54" s="86"/>
      <c r="CH54" s="86"/>
      <c r="CI54" s="86"/>
      <c r="CJ54" s="86"/>
      <c r="CK54" s="86"/>
      <c r="CL54" s="86"/>
      <c r="CM54" s="86"/>
      <c r="CN54" s="86"/>
      <c r="CO54" s="86"/>
    </row>
    <row r="55" spans="8:93" s="227" customFormat="1" x14ac:dyDescent="0.3">
      <c r="H55" s="237"/>
      <c r="J55" s="238"/>
      <c r="K55" s="199"/>
      <c r="L55" s="86"/>
      <c r="M55" s="86"/>
      <c r="N55" s="86"/>
      <c r="O55" s="202"/>
      <c r="P55" s="86"/>
      <c r="Q55" s="86"/>
      <c r="R55" s="86"/>
      <c r="S55" s="86"/>
      <c r="T55" s="86"/>
      <c r="U55" s="86"/>
      <c r="V55" s="86"/>
      <c r="W55" s="86"/>
      <c r="X55" s="86"/>
      <c r="Y55" s="86"/>
      <c r="Z55" s="86"/>
      <c r="AA55" s="86"/>
      <c r="AB55" s="86"/>
      <c r="AC55" s="86"/>
      <c r="AD55" s="86"/>
      <c r="AE55" s="86"/>
      <c r="AF55" s="86"/>
      <c r="AG55" s="86"/>
      <c r="AH55" s="86"/>
      <c r="AI55" s="86"/>
      <c r="AJ55" s="86"/>
      <c r="AK55" s="86"/>
      <c r="AL55" s="199"/>
      <c r="AM55" s="86"/>
      <c r="AN55" s="86"/>
      <c r="AO55" s="86"/>
      <c r="AP55" s="225"/>
      <c r="AQ55" s="86"/>
      <c r="AR55" s="86"/>
      <c r="AS55" s="239"/>
      <c r="AT55" s="86"/>
      <c r="AU55" s="86"/>
      <c r="AV55" s="202"/>
      <c r="AW55" s="86"/>
      <c r="AX55" s="86"/>
      <c r="AY55" s="86"/>
      <c r="AZ55" s="86"/>
      <c r="BA55" s="86"/>
      <c r="BB55" s="86"/>
      <c r="BC55" s="86"/>
      <c r="BD55" s="86"/>
      <c r="BE55" s="86"/>
      <c r="BF55" s="86"/>
      <c r="BG55" s="86"/>
      <c r="BH55" s="86"/>
      <c r="BI55" s="86"/>
      <c r="BJ55" s="202"/>
      <c r="BK55" s="202"/>
      <c r="BL55" s="202"/>
      <c r="BM55" s="86"/>
      <c r="BN55" s="86"/>
      <c r="BO55" s="86"/>
      <c r="BP55" s="86"/>
      <c r="BQ55" s="86"/>
      <c r="BR55" s="86"/>
      <c r="BS55" s="86"/>
      <c r="BT55" s="86"/>
      <c r="BU55" s="86"/>
      <c r="BV55" s="86"/>
      <c r="BW55" s="86"/>
      <c r="BX55" s="86"/>
      <c r="BY55" s="86"/>
      <c r="BZ55" s="86"/>
      <c r="CA55" s="86"/>
      <c r="CB55" s="86"/>
      <c r="CC55" s="86"/>
      <c r="CD55" s="86"/>
      <c r="CE55" s="86"/>
      <c r="CF55" s="86"/>
      <c r="CG55" s="86"/>
      <c r="CH55" s="86"/>
      <c r="CI55" s="86"/>
      <c r="CJ55" s="86"/>
      <c r="CK55" s="86"/>
      <c r="CL55" s="86"/>
      <c r="CM55" s="86"/>
      <c r="CN55" s="86"/>
      <c r="CO55" s="86"/>
    </row>
    <row r="56" spans="8:93" s="227" customFormat="1" x14ac:dyDescent="0.3">
      <c r="H56" s="237"/>
      <c r="J56" s="238"/>
      <c r="K56" s="199"/>
      <c r="L56" s="86"/>
      <c r="M56" s="86"/>
      <c r="N56" s="86"/>
      <c r="O56" s="202"/>
      <c r="P56" s="86"/>
      <c r="Q56" s="86"/>
      <c r="R56" s="86"/>
      <c r="S56" s="86"/>
      <c r="T56" s="86"/>
      <c r="U56" s="86"/>
      <c r="V56" s="86"/>
      <c r="W56" s="86"/>
      <c r="X56" s="86"/>
      <c r="Y56" s="86"/>
      <c r="Z56" s="86"/>
      <c r="AA56" s="86"/>
      <c r="AB56" s="86"/>
      <c r="AC56" s="86"/>
      <c r="AD56" s="86"/>
      <c r="AE56" s="86"/>
      <c r="AF56" s="86"/>
      <c r="AG56" s="86"/>
      <c r="AH56" s="86"/>
      <c r="AI56" s="86"/>
      <c r="AJ56" s="86"/>
      <c r="AK56" s="86"/>
      <c r="AL56" s="199"/>
      <c r="AM56" s="86"/>
      <c r="AN56" s="86"/>
      <c r="AO56" s="86"/>
      <c r="AP56" s="225"/>
      <c r="AQ56" s="86"/>
      <c r="AR56" s="86"/>
      <c r="AS56" s="239"/>
      <c r="AT56" s="86"/>
      <c r="AU56" s="86"/>
      <c r="AV56" s="202"/>
      <c r="AW56" s="86"/>
      <c r="AX56" s="86"/>
      <c r="AY56" s="86"/>
      <c r="AZ56" s="86"/>
      <c r="BA56" s="86"/>
      <c r="BB56" s="86"/>
      <c r="BC56" s="86"/>
      <c r="BD56" s="86"/>
      <c r="BE56" s="86"/>
      <c r="BF56" s="86"/>
      <c r="BG56" s="86"/>
      <c r="BH56" s="86"/>
      <c r="BI56" s="86"/>
      <c r="BJ56" s="202"/>
      <c r="BK56" s="202"/>
      <c r="BL56" s="202"/>
      <c r="BM56" s="86"/>
      <c r="BN56" s="86"/>
      <c r="BO56" s="86"/>
      <c r="BP56" s="86"/>
      <c r="BQ56" s="86"/>
      <c r="BR56" s="86"/>
      <c r="BS56" s="86"/>
      <c r="BT56" s="86"/>
      <c r="BU56" s="86"/>
      <c r="BV56" s="86"/>
      <c r="BW56" s="86"/>
      <c r="BX56" s="86"/>
      <c r="BY56" s="86"/>
      <c r="BZ56" s="86"/>
      <c r="CA56" s="86"/>
      <c r="CB56" s="86"/>
      <c r="CC56" s="86"/>
      <c r="CD56" s="86"/>
      <c r="CE56" s="86"/>
      <c r="CF56" s="86"/>
      <c r="CG56" s="86"/>
      <c r="CH56" s="86"/>
      <c r="CI56" s="86"/>
      <c r="CJ56" s="86"/>
      <c r="CK56" s="86"/>
      <c r="CL56" s="86"/>
      <c r="CM56" s="86"/>
      <c r="CN56" s="86"/>
      <c r="CO56" s="86"/>
    </row>
    <row r="57" spans="8:93" s="227" customFormat="1" x14ac:dyDescent="0.3">
      <c r="H57" s="237"/>
      <c r="J57" s="238"/>
      <c r="K57" s="199"/>
      <c r="L57" s="86"/>
      <c r="M57" s="86"/>
      <c r="N57" s="86"/>
      <c r="O57" s="202"/>
      <c r="P57" s="86"/>
      <c r="Q57" s="86"/>
      <c r="R57" s="86"/>
      <c r="S57" s="86"/>
      <c r="T57" s="86"/>
      <c r="U57" s="86"/>
      <c r="V57" s="86"/>
      <c r="W57" s="86"/>
      <c r="X57" s="86"/>
      <c r="Y57" s="86"/>
      <c r="Z57" s="86"/>
      <c r="AA57" s="86"/>
      <c r="AB57" s="86"/>
      <c r="AC57" s="86"/>
      <c r="AD57" s="86"/>
      <c r="AE57" s="86"/>
      <c r="AF57" s="86"/>
      <c r="AG57" s="86"/>
      <c r="AH57" s="86"/>
      <c r="AI57" s="86"/>
      <c r="AJ57" s="86"/>
      <c r="AK57" s="86"/>
      <c r="AL57" s="199"/>
      <c r="AM57" s="86"/>
      <c r="AN57" s="86"/>
      <c r="AO57" s="86"/>
      <c r="AP57" s="225"/>
      <c r="AQ57" s="86"/>
      <c r="AR57" s="86"/>
      <c r="AS57" s="239"/>
      <c r="AT57" s="86"/>
      <c r="AU57" s="86"/>
      <c r="AV57" s="202"/>
      <c r="AW57" s="86"/>
      <c r="AX57" s="86"/>
      <c r="AY57" s="86"/>
      <c r="AZ57" s="86"/>
      <c r="BA57" s="86"/>
      <c r="BB57" s="86"/>
      <c r="BC57" s="86"/>
      <c r="BD57" s="86"/>
      <c r="BE57" s="86"/>
      <c r="BF57" s="86"/>
      <c r="BG57" s="86"/>
      <c r="BH57" s="86"/>
      <c r="BI57" s="86"/>
      <c r="BJ57" s="202"/>
      <c r="BK57" s="202"/>
      <c r="BL57" s="202"/>
      <c r="BM57" s="86"/>
      <c r="BN57" s="86"/>
      <c r="BO57" s="86"/>
      <c r="BP57" s="86"/>
      <c r="BQ57" s="86"/>
      <c r="BR57" s="86"/>
      <c r="BS57" s="86"/>
      <c r="BT57" s="86"/>
      <c r="BU57" s="86"/>
      <c r="BV57" s="86"/>
      <c r="BW57" s="86"/>
      <c r="BX57" s="86"/>
      <c r="BY57" s="86"/>
      <c r="BZ57" s="86"/>
      <c r="CA57" s="86"/>
      <c r="CB57" s="86"/>
      <c r="CC57" s="86"/>
      <c r="CD57" s="86"/>
      <c r="CE57" s="86"/>
      <c r="CF57" s="86"/>
      <c r="CG57" s="86"/>
      <c r="CH57" s="86"/>
      <c r="CI57" s="86"/>
      <c r="CJ57" s="86"/>
      <c r="CK57" s="86"/>
      <c r="CL57" s="86"/>
      <c r="CM57" s="86"/>
      <c r="CN57" s="86"/>
      <c r="CO57" s="86"/>
    </row>
    <row r="58" spans="8:93" s="227" customFormat="1" x14ac:dyDescent="0.3">
      <c r="H58" s="237"/>
      <c r="J58" s="238"/>
      <c r="K58" s="199"/>
      <c r="L58" s="86"/>
      <c r="M58" s="86"/>
      <c r="N58" s="86"/>
      <c r="O58" s="202"/>
      <c r="P58" s="86"/>
      <c r="Q58" s="86"/>
      <c r="R58" s="86"/>
      <c r="S58" s="86"/>
      <c r="T58" s="86"/>
      <c r="U58" s="86"/>
      <c r="V58" s="86"/>
      <c r="W58" s="86"/>
      <c r="X58" s="86"/>
      <c r="Y58" s="86"/>
      <c r="Z58" s="86"/>
      <c r="AA58" s="86"/>
      <c r="AB58" s="86"/>
      <c r="AC58" s="86"/>
      <c r="AD58" s="86"/>
      <c r="AE58" s="86"/>
      <c r="AF58" s="86"/>
      <c r="AG58" s="86"/>
      <c r="AH58" s="86"/>
      <c r="AI58" s="86"/>
      <c r="AJ58" s="86"/>
      <c r="AK58" s="86"/>
      <c r="AL58" s="199"/>
      <c r="AM58" s="86"/>
      <c r="AN58" s="86"/>
      <c r="AO58" s="86"/>
      <c r="AP58" s="225"/>
      <c r="AQ58" s="86"/>
      <c r="AR58" s="86"/>
      <c r="AS58" s="239"/>
      <c r="AT58" s="86"/>
      <c r="AU58" s="86"/>
      <c r="AV58" s="202"/>
      <c r="AW58" s="86"/>
      <c r="AX58" s="86"/>
      <c r="AY58" s="86"/>
      <c r="AZ58" s="86"/>
      <c r="BA58" s="86"/>
      <c r="BB58" s="86"/>
      <c r="BC58" s="86"/>
      <c r="BD58" s="86"/>
      <c r="BE58" s="86"/>
      <c r="BF58" s="86"/>
      <c r="BG58" s="86"/>
      <c r="BH58" s="86"/>
      <c r="BI58" s="86"/>
      <c r="BJ58" s="202"/>
      <c r="BK58" s="202"/>
      <c r="BL58" s="202"/>
      <c r="BM58" s="86"/>
      <c r="BN58" s="86"/>
      <c r="BO58" s="86"/>
      <c r="BP58" s="86"/>
      <c r="BQ58" s="86"/>
      <c r="BR58" s="86"/>
      <c r="BS58" s="86"/>
      <c r="BT58" s="86"/>
      <c r="BU58" s="86"/>
      <c r="BV58" s="86"/>
      <c r="BW58" s="86"/>
      <c r="BX58" s="86"/>
      <c r="BY58" s="86"/>
      <c r="BZ58" s="86"/>
      <c r="CA58" s="86"/>
      <c r="CB58" s="86"/>
      <c r="CC58" s="86"/>
      <c r="CD58" s="86"/>
      <c r="CE58" s="86"/>
      <c r="CF58" s="86"/>
      <c r="CG58" s="86"/>
      <c r="CH58" s="86"/>
      <c r="CI58" s="86"/>
      <c r="CJ58" s="86"/>
      <c r="CK58" s="86"/>
      <c r="CL58" s="86"/>
      <c r="CM58" s="86"/>
      <c r="CN58" s="86"/>
      <c r="CO58" s="86"/>
    </row>
    <row r="59" spans="8:93" s="227" customFormat="1" x14ac:dyDescent="0.3">
      <c r="H59" s="237"/>
      <c r="J59" s="238"/>
      <c r="K59" s="199"/>
      <c r="L59" s="86"/>
      <c r="M59" s="86"/>
      <c r="N59" s="86"/>
      <c r="O59" s="202"/>
      <c r="P59" s="86"/>
      <c r="Q59" s="86"/>
      <c r="R59" s="86"/>
      <c r="S59" s="86"/>
      <c r="T59" s="86"/>
      <c r="U59" s="86"/>
      <c r="V59" s="86"/>
      <c r="W59" s="86"/>
      <c r="X59" s="86"/>
      <c r="Y59" s="86"/>
      <c r="Z59" s="86"/>
      <c r="AA59" s="86"/>
      <c r="AB59" s="86"/>
      <c r="AC59" s="86"/>
      <c r="AD59" s="86"/>
      <c r="AE59" s="86"/>
      <c r="AF59" s="86"/>
      <c r="AG59" s="86"/>
      <c r="AH59" s="86"/>
      <c r="AI59" s="86"/>
      <c r="AJ59" s="86"/>
      <c r="AK59" s="86"/>
      <c r="AL59" s="199"/>
      <c r="AM59" s="86"/>
      <c r="AN59" s="86"/>
      <c r="AO59" s="86"/>
      <c r="AP59" s="225"/>
      <c r="AQ59" s="86"/>
      <c r="AR59" s="86"/>
      <c r="AS59" s="239"/>
      <c r="AT59" s="86"/>
      <c r="AU59" s="86"/>
      <c r="AV59" s="202"/>
      <c r="AW59" s="86"/>
      <c r="AX59" s="86"/>
      <c r="AY59" s="86"/>
      <c r="AZ59" s="86"/>
      <c r="BA59" s="86"/>
      <c r="BB59" s="86"/>
      <c r="BC59" s="86"/>
      <c r="BD59" s="86"/>
      <c r="BE59" s="86"/>
      <c r="BF59" s="86"/>
      <c r="BG59" s="86"/>
      <c r="BH59" s="86"/>
      <c r="BI59" s="86"/>
      <c r="BJ59" s="202"/>
      <c r="BK59" s="202"/>
      <c r="BL59" s="202"/>
      <c r="BM59" s="86"/>
      <c r="BN59" s="86"/>
      <c r="BO59" s="86"/>
      <c r="BP59" s="86"/>
      <c r="BQ59" s="86"/>
      <c r="BR59" s="86"/>
      <c r="BS59" s="86"/>
      <c r="BT59" s="86"/>
      <c r="BU59" s="86"/>
      <c r="BV59" s="86"/>
      <c r="BW59" s="86"/>
      <c r="BX59" s="86"/>
      <c r="BY59" s="86"/>
      <c r="BZ59" s="86"/>
      <c r="CA59" s="86"/>
      <c r="CB59" s="86"/>
      <c r="CC59" s="86"/>
      <c r="CD59" s="86"/>
      <c r="CE59" s="86"/>
      <c r="CF59" s="86"/>
      <c r="CG59" s="86"/>
      <c r="CH59" s="86"/>
      <c r="CI59" s="86"/>
      <c r="CJ59" s="86"/>
      <c r="CK59" s="86"/>
      <c r="CL59" s="86"/>
      <c r="CM59" s="86"/>
      <c r="CN59" s="86"/>
      <c r="CO59" s="86"/>
    </row>
    <row r="60" spans="8:93" x14ac:dyDescent="0.3">
      <c r="AS60" s="107"/>
    </row>
    <row r="61" spans="8:93" x14ac:dyDescent="0.3">
      <c r="AS61" s="107"/>
    </row>
    <row r="62" spans="8:93" x14ac:dyDescent="0.3">
      <c r="AS62" s="107"/>
    </row>
    <row r="63" spans="8:93" x14ac:dyDescent="0.3">
      <c r="AS63" s="107"/>
    </row>
    <row r="64" spans="8:93" x14ac:dyDescent="0.3">
      <c r="AS64" s="107"/>
    </row>
    <row r="65" spans="45:45" x14ac:dyDescent="0.3">
      <c r="AS65" s="107"/>
    </row>
    <row r="66" spans="45:45" x14ac:dyDescent="0.3">
      <c r="AS66" s="107"/>
    </row>
  </sheetData>
  <pageMargins left="0.7" right="0.7" top="0.75" bottom="0.75" header="0.3" footer="0.3"/>
  <pageSetup orientation="portrait" verticalDpi="0" r:id="rId1"/>
  <headerFooter>
    <oddFooter>&amp;L&amp;F&amp;C&amp;A&amp;R&amp;D&amp;T</oddFoot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FC7D08-0F31-46B6-97A1-D8FF5E26050E}">
  <sheetPr>
    <tabColor theme="2" tint="-0.499984740745262"/>
  </sheetPr>
  <dimension ref="B2:DQ66"/>
  <sheetViews>
    <sheetView zoomScale="80" zoomScaleNormal="80" workbookViewId="0"/>
  </sheetViews>
  <sheetFormatPr defaultColWidth="14.33203125" defaultRowHeight="14.4" x14ac:dyDescent="0.3"/>
  <cols>
    <col min="1" max="1" width="4.33203125" style="75" customWidth="1"/>
    <col min="2" max="7" width="14.33203125" style="75"/>
    <col min="8" max="8" width="14.33203125" style="76"/>
    <col min="9" max="9" width="14.33203125" style="75"/>
    <col min="10" max="10" width="14.33203125" style="77"/>
    <col min="11" max="11" width="14.33203125" style="78"/>
    <col min="12" max="12" width="15.6640625" style="79" customWidth="1"/>
    <col min="13" max="14" width="14.33203125" style="79"/>
    <col min="15" max="15" width="14.33203125" style="80"/>
    <col min="16" max="37" width="14.33203125" style="79"/>
    <col min="38" max="38" width="15.109375" style="78" bestFit="1" customWidth="1"/>
    <col min="39" max="41" width="14.33203125" style="79"/>
    <col min="42" max="42" width="14.33203125" style="81"/>
    <col min="43" max="47" width="14.33203125" style="79"/>
    <col min="48" max="48" width="14.33203125" style="80"/>
    <col min="49" max="61" width="14.33203125" style="79"/>
    <col min="62" max="62" width="14.33203125" style="80"/>
    <col min="63" max="63" width="16.33203125" style="80" bestFit="1" customWidth="1"/>
    <col min="64" max="64" width="14.33203125" style="80"/>
    <col min="65" max="93" width="14.33203125" style="79"/>
    <col min="94" max="16384" width="14.33203125" style="75"/>
  </cols>
  <sheetData>
    <row r="2" spans="2:121" x14ac:dyDescent="0.3">
      <c r="AY2" s="82" t="s">
        <v>90</v>
      </c>
      <c r="AZ2" s="83"/>
      <c r="BA2" s="83"/>
      <c r="BB2" s="84"/>
      <c r="BE2" s="82" t="s">
        <v>91</v>
      </c>
      <c r="BF2" s="85"/>
      <c r="BG2" s="86"/>
      <c r="BJ2" s="82" t="s">
        <v>153</v>
      </c>
      <c r="BK2" s="85"/>
      <c r="BN2" s="82" t="s">
        <v>92</v>
      </c>
      <c r="BO2" s="83"/>
      <c r="BP2" s="83"/>
      <c r="BQ2" s="84"/>
      <c r="BS2" s="82" t="s">
        <v>93</v>
      </c>
      <c r="BT2" s="84"/>
    </row>
    <row r="3" spans="2:121" s="87" customFormat="1" ht="28.8" x14ac:dyDescent="0.3">
      <c r="F3" s="88" t="s">
        <v>94</v>
      </c>
      <c r="H3" s="89"/>
      <c r="I3" s="90" t="s">
        <v>739</v>
      </c>
      <c r="J3" s="90" t="s">
        <v>95</v>
      </c>
      <c r="K3" s="90" t="s">
        <v>213</v>
      </c>
      <c r="L3" s="90" t="s">
        <v>214</v>
      </c>
      <c r="M3" s="91"/>
      <c r="N3" s="91"/>
      <c r="O3" s="92"/>
      <c r="P3" s="90" t="s">
        <v>736</v>
      </c>
      <c r="Q3" s="91"/>
      <c r="R3" s="91"/>
      <c r="S3" s="91"/>
      <c r="T3" s="91"/>
      <c r="U3" s="91"/>
      <c r="V3" s="91"/>
      <c r="W3" s="91"/>
      <c r="X3" s="91"/>
      <c r="Y3" s="91"/>
      <c r="Z3" s="91"/>
      <c r="AA3" s="91"/>
      <c r="AB3" s="93"/>
      <c r="AC3" s="93"/>
      <c r="AD3" s="93"/>
      <c r="AE3" s="93"/>
      <c r="AF3" s="93"/>
      <c r="AG3" s="90" t="s">
        <v>737</v>
      </c>
      <c r="AH3" s="90" t="s">
        <v>750</v>
      </c>
      <c r="AI3" s="90" t="s">
        <v>96</v>
      </c>
      <c r="AJ3" s="93"/>
      <c r="AK3" s="94"/>
      <c r="AL3" s="95"/>
      <c r="AM3" s="94"/>
      <c r="AN3" s="94"/>
      <c r="AO3" s="96"/>
      <c r="AP3" s="90" t="s">
        <v>97</v>
      </c>
      <c r="AQ3" s="96"/>
      <c r="AR3" s="91"/>
      <c r="AS3" s="91"/>
      <c r="AT3" s="91"/>
      <c r="AU3" s="91"/>
      <c r="AV3" s="92"/>
      <c r="AW3" s="91"/>
      <c r="AX3" s="91"/>
      <c r="AY3" s="97" t="s">
        <v>38</v>
      </c>
      <c r="AZ3" s="97" t="s">
        <v>222</v>
      </c>
      <c r="BA3" s="97" t="s">
        <v>98</v>
      </c>
      <c r="BB3" s="97" t="s">
        <v>223</v>
      </c>
      <c r="BD3" s="91"/>
      <c r="BE3" s="98" t="s">
        <v>38</v>
      </c>
      <c r="BF3" s="98" t="s">
        <v>222</v>
      </c>
      <c r="BG3" s="91"/>
      <c r="BH3" s="79"/>
      <c r="BI3" s="79"/>
      <c r="BJ3" s="97" t="s">
        <v>151</v>
      </c>
      <c r="BK3" s="97" t="s">
        <v>152</v>
      </c>
      <c r="BN3" s="97" t="s">
        <v>98</v>
      </c>
      <c r="BO3" s="97" t="s">
        <v>99</v>
      </c>
      <c r="BP3" s="97" t="s">
        <v>38</v>
      </c>
      <c r="BQ3" s="97" t="s">
        <v>222</v>
      </c>
      <c r="BR3" s="91"/>
      <c r="BS3" s="97" t="s">
        <v>38</v>
      </c>
      <c r="BT3" s="97" t="s">
        <v>222</v>
      </c>
      <c r="BU3" s="97" t="s">
        <v>100</v>
      </c>
      <c r="BV3" s="88" t="s">
        <v>101</v>
      </c>
      <c r="BW3" s="91"/>
      <c r="BX3" s="91"/>
      <c r="BY3" s="91"/>
      <c r="BZ3" s="91"/>
      <c r="CA3" s="91"/>
      <c r="CB3" s="91"/>
      <c r="CC3" s="91"/>
      <c r="CD3" s="91"/>
      <c r="CE3" s="91"/>
      <c r="CF3" s="91"/>
      <c r="CG3" s="91"/>
      <c r="CH3" s="91"/>
      <c r="CI3" s="91"/>
      <c r="CJ3" s="91"/>
      <c r="CK3" s="91"/>
      <c r="CL3" s="91"/>
      <c r="CM3" s="91"/>
      <c r="CN3" s="91"/>
      <c r="CO3" s="91"/>
    </row>
    <row r="4" spans="2:121" x14ac:dyDescent="0.3">
      <c r="F4" s="99">
        <f t="array" ref="F4">MAX(($F$12:$F$44&gt;0)*($B$12:$B$44))</f>
        <v>25</v>
      </c>
      <c r="I4" s="101">
        <f>AVERAGEIF(I12:I44,"&gt;0")</f>
        <v>20074.824000000004</v>
      </c>
      <c r="J4" s="100">
        <f>AVERAGEIF(J12:J44,"&gt;0")</f>
        <v>1.0000000000000004E-2</v>
      </c>
      <c r="K4" s="101">
        <f>AVERAGEIF(K12:K44,"&gt;0")</f>
        <v>3.9080872608191335</v>
      </c>
      <c r="L4" s="101">
        <f>AVERAGEIF(L12:L44,"&gt;0")</f>
        <v>3.9080872608191335</v>
      </c>
      <c r="P4" s="101">
        <f>AVERAGEIF(P12:P44,"&gt;0")</f>
        <v>78433.765716784823</v>
      </c>
      <c r="AG4" s="101">
        <f>AVERAGEIF(AG12:AG44,"&gt;0")</f>
        <v>138563.67125024251</v>
      </c>
      <c r="AH4" s="101" t="e">
        <f>AVERAGEIF(AH12:AH44,"&gt;0")</f>
        <v>#DIV/0!</v>
      </c>
      <c r="AI4" s="100" t="e">
        <f>AVERAGEIF(AI12:AI44,"&gt;0")</f>
        <v>#DIV/0!</v>
      </c>
      <c r="AP4" s="100" t="e">
        <f>AVERAGEIF(AP12:AP44,"&gt;0")</f>
        <v>#DIV/0!</v>
      </c>
      <c r="AY4" s="103" t="e">
        <f>IRR(BF11:BF44)</f>
        <v>#NUM!</v>
      </c>
      <c r="AZ4" s="104" t="e">
        <f>NPV(AY4,BF11:BF44)</f>
        <v>#NUM!</v>
      </c>
      <c r="BA4" s="103" t="e">
        <f>XIRR(BG11:BG44,E11:E44,1)</f>
        <v>#NUM!</v>
      </c>
      <c r="BB4" s="101" t="e">
        <f>XNPV(BA4,BG11:BG44,E11:E44)</f>
        <v>#NUM!</v>
      </c>
      <c r="BE4" s="103" t="e">
        <f>IRR(BE11:BE44)</f>
        <v>#NUM!</v>
      </c>
      <c r="BF4" s="105" t="e">
        <f>NPV(BE4,BE11:BE44)</f>
        <v>#NUM!</v>
      </c>
      <c r="BJ4" s="106" t="e">
        <f>AVERAGEIF(BM12:BM44,"&gt;0")</f>
        <v>#DIV/0!</v>
      </c>
      <c r="BK4" s="106">
        <f t="array" ref="BK4">MIN(IF(BM12:BM44&lt;&gt;0,BM12:BM44))</f>
        <v>-1.5950656523378124</v>
      </c>
      <c r="BN4" s="103" t="e">
        <f>XIRR(BP11:BP44,D11:D44,1)</f>
        <v>#NUM!</v>
      </c>
      <c r="BO4" s="106" t="e">
        <f>XNPV(BN4,BP11:BP44,D11:D44)</f>
        <v>#NUM!</v>
      </c>
      <c r="BP4" s="103" t="str">
        <f>IFERROR(IRR(BP11:BP44),"NEG IRR")</f>
        <v>NEG IRR</v>
      </c>
      <c r="BQ4" s="105" t="e">
        <f>NPV(BP4,BP11:BP44)</f>
        <v>#VALUE!</v>
      </c>
      <c r="BS4" s="103" t="e">
        <f>IRR(BO11:BO44)</f>
        <v>#NUM!</v>
      </c>
      <c r="BT4" s="105" t="e">
        <f>NPV(BS4,BO11:BO44)</f>
        <v>#NUM!</v>
      </c>
      <c r="BU4" s="105" t="e">
        <f>MATCH(1,$BU$12:$BU$44,0)</f>
        <v>#N/A</v>
      </c>
      <c r="BV4" s="99" t="e">
        <f t="array" ref="BV4">MAX(($BV$12:$BV$44&gt;0)*($B$12:$B$44))</f>
        <v>#VALUE!</v>
      </c>
    </row>
    <row r="5" spans="2:121" x14ac:dyDescent="0.3">
      <c r="H5" s="108"/>
      <c r="I5" s="102"/>
    </row>
    <row r="6" spans="2:121" x14ac:dyDescent="0.3">
      <c r="G6" s="109"/>
      <c r="H6" s="109"/>
      <c r="I6" s="109"/>
      <c r="K6" s="110"/>
      <c r="O6" s="112"/>
      <c r="P6" s="111"/>
      <c r="AS6" s="113"/>
      <c r="AV6" s="114"/>
    </row>
    <row r="7" spans="2:121" x14ac:dyDescent="0.3">
      <c r="G7" s="450" t="s">
        <v>102</v>
      </c>
      <c r="H7" s="451"/>
      <c r="I7" s="452"/>
      <c r="J7" s="453"/>
      <c r="K7" s="460" t="s">
        <v>103</v>
      </c>
      <c r="L7" s="461"/>
      <c r="M7" s="462"/>
      <c r="N7" s="463"/>
      <c r="O7" s="116"/>
      <c r="P7" s="116"/>
      <c r="Q7" s="117" t="s">
        <v>104</v>
      </c>
      <c r="R7" s="115"/>
      <c r="S7" s="115"/>
      <c r="T7" s="115"/>
      <c r="U7" s="115"/>
      <c r="V7" s="115"/>
      <c r="W7" s="115"/>
      <c r="X7" s="115"/>
      <c r="Y7" s="115"/>
      <c r="Z7" s="115"/>
      <c r="AA7" s="115"/>
      <c r="AB7" s="115"/>
      <c r="AC7" s="115"/>
      <c r="AD7" s="115"/>
      <c r="AE7" s="115"/>
      <c r="AF7" s="115"/>
      <c r="AG7" s="118"/>
      <c r="AH7" s="117" t="s">
        <v>105</v>
      </c>
      <c r="AI7" s="118"/>
      <c r="AJ7" s="105" t="s">
        <v>106</v>
      </c>
      <c r="AK7" s="105" t="s">
        <v>107</v>
      </c>
      <c r="AL7" s="119" t="s">
        <v>108</v>
      </c>
      <c r="AM7" s="105" t="s">
        <v>109</v>
      </c>
      <c r="AN7" s="120" t="s">
        <v>110</v>
      </c>
      <c r="AO7" s="121" t="s">
        <v>111</v>
      </c>
      <c r="AP7" s="123"/>
      <c r="AS7" s="425" t="s">
        <v>112</v>
      </c>
      <c r="AT7" s="426"/>
      <c r="AU7" s="427"/>
      <c r="AV7" s="430" t="s">
        <v>13</v>
      </c>
      <c r="AW7" s="431"/>
      <c r="AX7" s="432"/>
      <c r="AY7" s="124" t="s">
        <v>113</v>
      </c>
      <c r="AZ7" s="83"/>
      <c r="BA7" s="83"/>
      <c r="BB7" s="83"/>
      <c r="BC7" s="125" t="s">
        <v>114</v>
      </c>
      <c r="BD7" s="127" t="s">
        <v>110</v>
      </c>
      <c r="BE7" s="128" t="s">
        <v>115</v>
      </c>
      <c r="BF7" s="126"/>
      <c r="BG7" s="105" t="s">
        <v>116</v>
      </c>
      <c r="BH7" s="129" t="s">
        <v>117</v>
      </c>
      <c r="BI7" s="130"/>
      <c r="BJ7" s="131"/>
      <c r="BK7" s="131"/>
      <c r="BL7" s="131"/>
      <c r="BM7" s="132"/>
      <c r="BN7" s="133" t="s">
        <v>118</v>
      </c>
      <c r="BO7" s="133"/>
      <c r="BP7" s="134"/>
      <c r="BQ7" s="126"/>
      <c r="BR7" s="126"/>
      <c r="BS7" s="126"/>
      <c r="BT7" s="126"/>
      <c r="BU7" s="126"/>
      <c r="BV7" s="127"/>
      <c r="CI7" s="135"/>
      <c r="CS7" s="136"/>
      <c r="DD7" s="136"/>
      <c r="DJ7" s="136"/>
      <c r="DQ7" s="136"/>
    </row>
    <row r="8" spans="2:121" s="163" customFormat="1" ht="57.6" x14ac:dyDescent="0.3">
      <c r="B8" s="34" t="s">
        <v>51</v>
      </c>
      <c r="C8" s="137" t="s">
        <v>52</v>
      </c>
      <c r="D8" s="36" t="s">
        <v>56</v>
      </c>
      <c r="E8" s="138" t="s">
        <v>57</v>
      </c>
      <c r="F8" s="449" t="s">
        <v>119</v>
      </c>
      <c r="G8" s="142" t="s">
        <v>700</v>
      </c>
      <c r="H8" s="140" t="s">
        <v>208</v>
      </c>
      <c r="I8" s="141" t="s">
        <v>701</v>
      </c>
      <c r="J8" s="459" t="s">
        <v>212</v>
      </c>
      <c r="K8" s="464" t="s">
        <v>690</v>
      </c>
      <c r="L8" s="141" t="s">
        <v>691</v>
      </c>
      <c r="M8" s="141" t="s">
        <v>210</v>
      </c>
      <c r="N8" s="144" t="s">
        <v>211</v>
      </c>
      <c r="O8" s="143" t="s">
        <v>120</v>
      </c>
      <c r="P8" s="147" t="s">
        <v>121</v>
      </c>
      <c r="Q8" s="141" t="str">
        <f>Pyre_Inputs!L7</f>
        <v>Cost of Fresh Pyrethrum (incl. Transport)</v>
      </c>
      <c r="R8" s="141" t="str">
        <f>Pyre_Inputs!L8</f>
        <v>Electricity Costs</v>
      </c>
      <c r="S8" s="141" t="str">
        <f>Pyre_Inputs!L9</f>
        <v>Equipment O&amp;M</v>
      </c>
      <c r="T8" s="141" t="str">
        <f>Pyre_Inputs!L10</f>
        <v>Labor (Non-payroll)</v>
      </c>
      <c r="U8" s="141" t="str">
        <f>Pyre_Inputs!L11</f>
        <v>Payroll</v>
      </c>
      <c r="V8" s="141" t="str">
        <f>Pyre_Inputs!L12</f>
        <v>Insurances</v>
      </c>
      <c r="W8" s="141" t="str">
        <f>Pyre_Inputs!L13</f>
        <v>Equipment Leases</v>
      </c>
      <c r="X8" s="141" t="str">
        <f>Pyre_Inputs!L14</f>
        <v>Office and Admin Expenses</v>
      </c>
      <c r="Y8" s="141" t="str">
        <f>Pyre_Inputs!L15</f>
        <v xml:space="preserve">Distribution/Marketing Expenses </v>
      </c>
      <c r="Z8" s="145" t="str">
        <f>Pyre_Inputs!L16</f>
        <v>Utilities, Property Tax</v>
      </c>
      <c r="AA8" s="145" t="str">
        <f>Pyre_Inputs!L17</f>
        <v>Packaging</v>
      </c>
      <c r="AB8" s="141" t="str">
        <f>Pyre_Inputs!L18</f>
        <v>Other 1</v>
      </c>
      <c r="AC8" s="141" t="str">
        <f>Pyre_Inputs!L19</f>
        <v>Other 2</v>
      </c>
      <c r="AD8" s="141" t="str">
        <f>Pyre_Inputs!L20</f>
        <v>Other 3</v>
      </c>
      <c r="AE8" s="141" t="str">
        <f>Pyre_Inputs!L21</f>
        <v>Other 4</v>
      </c>
      <c r="AF8" s="141" t="str">
        <f>Pyre_Inputs!L22</f>
        <v>Other 5</v>
      </c>
      <c r="AG8" s="142" t="s">
        <v>122</v>
      </c>
      <c r="AH8" s="142" t="s">
        <v>105</v>
      </c>
      <c r="AI8" s="144" t="s">
        <v>123</v>
      </c>
      <c r="AJ8" s="139" t="s">
        <v>124</v>
      </c>
      <c r="AK8" s="139" t="s">
        <v>107</v>
      </c>
      <c r="AL8" s="146" t="s">
        <v>125</v>
      </c>
      <c r="AM8" s="147" t="s">
        <v>126</v>
      </c>
      <c r="AN8" s="147" t="s">
        <v>110</v>
      </c>
      <c r="AO8" s="148" t="s">
        <v>111</v>
      </c>
      <c r="AP8" s="149" t="s">
        <v>127</v>
      </c>
      <c r="AQ8" s="150"/>
      <c r="AR8" s="150"/>
      <c r="AS8" s="428" t="s">
        <v>128</v>
      </c>
      <c r="AT8" s="429" t="s">
        <v>129</v>
      </c>
      <c r="AU8" s="156" t="s">
        <v>130</v>
      </c>
      <c r="AV8" s="433" t="s">
        <v>215</v>
      </c>
      <c r="AW8" s="429" t="s">
        <v>131</v>
      </c>
      <c r="AX8" s="156" t="s">
        <v>132</v>
      </c>
      <c r="AY8" s="152" t="s">
        <v>133</v>
      </c>
      <c r="AZ8" s="152" t="s">
        <v>134</v>
      </c>
      <c r="BA8" s="152" t="s">
        <v>131</v>
      </c>
      <c r="BB8" s="151" t="s">
        <v>135</v>
      </c>
      <c r="BC8" s="153" t="s">
        <v>136</v>
      </c>
      <c r="BD8" s="155" t="s">
        <v>137</v>
      </c>
      <c r="BE8" s="156" t="s">
        <v>138</v>
      </c>
      <c r="BF8" s="154" t="s">
        <v>139</v>
      </c>
      <c r="BG8" s="42" t="s">
        <v>116</v>
      </c>
      <c r="BH8" s="157" t="s">
        <v>140</v>
      </c>
      <c r="BI8" s="158" t="s">
        <v>141</v>
      </c>
      <c r="BJ8" s="159" t="s">
        <v>142</v>
      </c>
      <c r="BK8" s="159" t="s">
        <v>63</v>
      </c>
      <c r="BL8" s="159" t="s">
        <v>131</v>
      </c>
      <c r="BM8" s="160" t="s">
        <v>143</v>
      </c>
      <c r="BN8" s="152" t="s">
        <v>144</v>
      </c>
      <c r="BO8" s="152" t="s">
        <v>145</v>
      </c>
      <c r="BP8" s="41" t="s">
        <v>146</v>
      </c>
      <c r="BQ8" s="161" t="s">
        <v>147</v>
      </c>
      <c r="BR8" s="161" t="s">
        <v>64</v>
      </c>
      <c r="BS8" s="161" t="s">
        <v>65</v>
      </c>
      <c r="BT8" s="161" t="s">
        <v>148</v>
      </c>
      <c r="BU8" s="161" t="s">
        <v>100</v>
      </c>
      <c r="BV8" s="144" t="s">
        <v>149</v>
      </c>
      <c r="BW8" s="162"/>
      <c r="BX8" s="162"/>
      <c r="BY8" s="162"/>
      <c r="BZ8" s="162"/>
      <c r="CA8" s="162"/>
      <c r="CB8" s="162"/>
      <c r="CC8" s="162"/>
      <c r="CD8" s="162"/>
      <c r="CE8" s="162"/>
      <c r="CF8" s="162"/>
      <c r="CG8" s="162"/>
      <c r="CH8" s="162"/>
      <c r="CI8" s="102"/>
      <c r="CJ8" s="162"/>
      <c r="CK8" s="162"/>
      <c r="CL8" s="162"/>
      <c r="CM8" s="162"/>
      <c r="CN8" s="162"/>
      <c r="CO8" s="162"/>
      <c r="CS8" s="164"/>
      <c r="DD8" s="75"/>
      <c r="DJ8" s="75"/>
      <c r="DQ8" s="75"/>
    </row>
    <row r="9" spans="2:121" s="163" customFormat="1" x14ac:dyDescent="0.3">
      <c r="B9" s="165"/>
      <c r="C9" s="166"/>
      <c r="D9" s="167"/>
      <c r="E9" s="170"/>
      <c r="F9" s="171"/>
      <c r="G9" s="172">
        <f>SUM(G12:G44)</f>
        <v>504899.99999999988</v>
      </c>
      <c r="H9" s="173"/>
      <c r="I9" s="172">
        <f>SUM(I12:I44)</f>
        <v>501870.60000000009</v>
      </c>
      <c r="J9" s="191"/>
      <c r="K9" s="174"/>
      <c r="L9" s="102"/>
      <c r="M9" s="102">
        <f t="shared" ref="M9:AH9" si="0">SUM(M12:M44)</f>
        <v>980422.07145981037</v>
      </c>
      <c r="N9" s="175">
        <f t="shared" si="0"/>
        <v>980422.07145981037</v>
      </c>
      <c r="O9" s="177">
        <f t="shared" si="0"/>
        <v>0</v>
      </c>
      <c r="P9" s="178">
        <f t="shared" si="0"/>
        <v>1960844.1429196207</v>
      </c>
      <c r="Q9" s="102">
        <f t="shared" si="0"/>
        <v>465062.38403747656</v>
      </c>
      <c r="R9" s="102">
        <f t="shared" si="0"/>
        <v>82913.979325538734</v>
      </c>
      <c r="S9" s="102">
        <f t="shared" si="0"/>
        <v>831221.42686929414</v>
      </c>
      <c r="T9" s="102">
        <f t="shared" si="0"/>
        <v>1251614.968794266</v>
      </c>
      <c r="U9" s="102">
        <f t="shared" si="0"/>
        <v>501173.11032744573</v>
      </c>
      <c r="V9" s="102">
        <f t="shared" si="0"/>
        <v>2605.3915072127552</v>
      </c>
      <c r="W9" s="102">
        <f t="shared" si="0"/>
        <v>0</v>
      </c>
      <c r="X9" s="102">
        <f t="shared" si="0"/>
        <v>9865.9662899378982</v>
      </c>
      <c r="Y9" s="102">
        <f t="shared" si="0"/>
        <v>9865.9662899378982</v>
      </c>
      <c r="Z9" s="102">
        <f t="shared" si="0"/>
        <v>304006.97511660011</v>
      </c>
      <c r="AA9" s="102">
        <f t="shared" si="0"/>
        <v>5761.6126983515624</v>
      </c>
      <c r="AB9" s="102">
        <f t="shared" si="0"/>
        <v>0</v>
      </c>
      <c r="AC9" s="102">
        <f t="shared" si="0"/>
        <v>0</v>
      </c>
      <c r="AD9" s="102">
        <f t="shared" si="0"/>
        <v>0</v>
      </c>
      <c r="AE9" s="102"/>
      <c r="AF9" s="102"/>
      <c r="AG9" s="178">
        <f t="shared" si="0"/>
        <v>3464091.7812560624</v>
      </c>
      <c r="AH9" s="176">
        <f t="shared" si="0"/>
        <v>-1503247.6383364408</v>
      </c>
      <c r="AI9" s="175"/>
      <c r="AJ9" s="178">
        <f t="shared" ref="AJ9:AO9" si="1">SUM(AJ12:AJ44)</f>
        <v>294308.52082412754</v>
      </c>
      <c r="AK9" s="178">
        <f t="shared" si="1"/>
        <v>-1797556.1591605686</v>
      </c>
      <c r="AL9" s="178">
        <f t="shared" si="1"/>
        <v>158089.21314278769</v>
      </c>
      <c r="AM9" s="178">
        <f t="shared" si="1"/>
        <v>-1955645.372303356</v>
      </c>
      <c r="AN9" s="178">
        <f t="shared" si="1"/>
        <v>0</v>
      </c>
      <c r="AO9" s="176">
        <f t="shared" si="1"/>
        <v>-1955645.372303356</v>
      </c>
      <c r="AP9" s="179"/>
      <c r="AQ9" s="162"/>
      <c r="AR9" s="162"/>
      <c r="AS9" s="180">
        <f>SUM(AS12:AS44)</f>
        <v>1960844.1429196207</v>
      </c>
      <c r="AT9" s="181">
        <f>SUM(AT12:AT44)</f>
        <v>3464091.7812560624</v>
      </c>
      <c r="AU9" s="183">
        <f>SUM(AU12:AU44)</f>
        <v>-1503247.6383364408</v>
      </c>
      <c r="AV9" s="180">
        <f t="shared" ref="AV9:BA9" si="2">SUM(AV10:AV44)</f>
        <v>294308.52082412766</v>
      </c>
      <c r="AW9" s="181">
        <f t="shared" si="2"/>
        <v>294308.52082412766</v>
      </c>
      <c r="AX9" s="183">
        <f t="shared" si="2"/>
        <v>-1797556.1591605684</v>
      </c>
      <c r="AY9" s="102">
        <f t="shared" si="2"/>
        <v>88292.556247238288</v>
      </c>
      <c r="AZ9" s="102">
        <f t="shared" si="2"/>
        <v>206015.96457688935</v>
      </c>
      <c r="BA9" s="102">
        <f t="shared" si="2"/>
        <v>294308.52082412766</v>
      </c>
      <c r="BB9" s="176">
        <f t="shared" ref="BB9:BL9" si="3">SUM(BB12:BB44)</f>
        <v>-1503247.6383364408</v>
      </c>
      <c r="BC9" s="180">
        <f>SUM(BC10:BC44)</f>
        <v>0</v>
      </c>
      <c r="BD9" s="182">
        <f>SUM(BD10:BD44)</f>
        <v>0</v>
      </c>
      <c r="BE9" s="183">
        <f>SUM(BE12:BE44)</f>
        <v>-1503247.6383364408</v>
      </c>
      <c r="BF9" s="183">
        <f>SUM(BF12:BF44)</f>
        <v>-1503247.6383364408</v>
      </c>
      <c r="BG9" s="182">
        <f>SUM(BG12:BG44)</f>
        <v>-1503247.6383364408</v>
      </c>
      <c r="BH9" s="180">
        <f t="shared" si="3"/>
        <v>1321176.6218222866</v>
      </c>
      <c r="BI9" s="181">
        <f t="shared" si="3"/>
        <v>1115160.6572453976</v>
      </c>
      <c r="BJ9" s="181">
        <f t="shared" si="3"/>
        <v>158089.21314278769</v>
      </c>
      <c r="BK9" s="181">
        <f t="shared" si="3"/>
        <v>206015.96457688892</v>
      </c>
      <c r="BL9" s="181">
        <f t="shared" si="3"/>
        <v>364105.17771967663</v>
      </c>
      <c r="BM9" s="182"/>
      <c r="BN9" s="180">
        <f t="shared" ref="BN9:BS9" si="4">SUM(BN10:BN44)</f>
        <v>-1867352.8160561174</v>
      </c>
      <c r="BO9" s="181">
        <f t="shared" si="4"/>
        <v>-1955645.3723033557</v>
      </c>
      <c r="BP9" s="181">
        <f t="shared" si="4"/>
        <v>-1955645.3723033557</v>
      </c>
      <c r="BQ9" s="181">
        <f t="shared" si="4"/>
        <v>0</v>
      </c>
      <c r="BR9" s="181">
        <f t="shared" si="4"/>
        <v>0</v>
      </c>
      <c r="BS9" s="181">
        <f t="shared" si="4"/>
        <v>0</v>
      </c>
      <c r="BT9" s="181"/>
      <c r="BU9" s="181"/>
      <c r="BV9" s="182" t="e">
        <f>SUM(BV11:BV44)</f>
        <v>#VALUE!</v>
      </c>
      <c r="BW9" s="162"/>
      <c r="BX9" s="162"/>
      <c r="BY9" s="162"/>
      <c r="BZ9" s="162"/>
      <c r="CA9" s="162"/>
      <c r="CB9" s="162"/>
      <c r="CC9" s="162"/>
      <c r="CD9" s="162"/>
      <c r="CE9" s="162"/>
      <c r="CF9" s="162"/>
      <c r="CG9" s="162"/>
      <c r="CH9" s="162"/>
      <c r="CI9" s="102"/>
      <c r="CJ9" s="162"/>
      <c r="CK9" s="162"/>
      <c r="CL9" s="162"/>
      <c r="CM9" s="162"/>
      <c r="CN9" s="162"/>
      <c r="CO9" s="162"/>
      <c r="CS9" s="164"/>
      <c r="DD9" s="75"/>
      <c r="DJ9" s="75"/>
      <c r="DQ9" s="75"/>
    </row>
    <row r="10" spans="2:121" s="163" customFormat="1" x14ac:dyDescent="0.3">
      <c r="B10" s="186"/>
      <c r="C10" s="187"/>
      <c r="D10" s="186"/>
      <c r="E10" s="169"/>
      <c r="F10" s="190"/>
      <c r="J10" s="191"/>
      <c r="K10" s="174"/>
      <c r="L10" s="102"/>
      <c r="M10" s="193"/>
      <c r="N10" s="194"/>
      <c r="O10" s="194"/>
      <c r="P10" s="195"/>
      <c r="Q10" s="162"/>
      <c r="R10" s="162"/>
      <c r="S10" s="162"/>
      <c r="T10" s="162"/>
      <c r="U10" s="162"/>
      <c r="V10" s="162"/>
      <c r="W10" s="162"/>
      <c r="X10" s="162"/>
      <c r="Y10" s="162"/>
      <c r="Z10" s="162"/>
      <c r="AA10" s="162"/>
      <c r="AB10" s="162"/>
      <c r="AC10" s="162"/>
      <c r="AD10" s="162"/>
      <c r="AE10" s="162"/>
      <c r="AF10" s="162"/>
      <c r="AG10" s="195"/>
      <c r="AH10" s="192"/>
      <c r="AI10" s="194"/>
      <c r="AJ10" s="195"/>
      <c r="AK10" s="195"/>
      <c r="AL10" s="195"/>
      <c r="AM10" s="195"/>
      <c r="AN10" s="195"/>
      <c r="AO10" s="192"/>
      <c r="AP10" s="179"/>
      <c r="AQ10" s="162"/>
      <c r="AR10" s="162"/>
      <c r="AS10" s="196"/>
      <c r="AT10" s="86"/>
      <c r="AU10" s="197"/>
      <c r="AV10" s="196"/>
      <c r="AW10" s="198"/>
      <c r="AX10" s="197"/>
      <c r="AY10" s="162"/>
      <c r="AZ10" s="162"/>
      <c r="BA10" s="79"/>
      <c r="BB10" s="196"/>
      <c r="BC10" s="196"/>
      <c r="BD10" s="200"/>
      <c r="BE10" s="197"/>
      <c r="BF10" s="200"/>
      <c r="BG10" s="200"/>
      <c r="BH10" s="196"/>
      <c r="BI10" s="86"/>
      <c r="BJ10" s="201"/>
      <c r="BK10" s="201"/>
      <c r="BL10" s="202"/>
      <c r="BM10" s="203"/>
      <c r="BN10" s="196"/>
      <c r="BO10" s="86"/>
      <c r="BP10" s="193"/>
      <c r="BQ10" s="86"/>
      <c r="BR10" s="86"/>
      <c r="BS10" s="86"/>
      <c r="BT10" s="86"/>
      <c r="BU10" s="86"/>
      <c r="BV10" s="175"/>
      <c r="BW10" s="162"/>
      <c r="BX10" s="162"/>
      <c r="BY10" s="162"/>
      <c r="BZ10" s="162"/>
      <c r="CA10" s="162"/>
      <c r="CB10" s="162"/>
      <c r="CC10" s="162"/>
      <c r="CD10" s="162"/>
      <c r="CE10" s="162"/>
      <c r="CF10" s="162"/>
      <c r="CG10" s="162"/>
      <c r="CH10" s="162"/>
      <c r="CI10" s="102"/>
      <c r="CJ10" s="162"/>
      <c r="CK10" s="162"/>
      <c r="CL10" s="162"/>
      <c r="CM10" s="162"/>
      <c r="CN10" s="162"/>
      <c r="CO10" s="162"/>
      <c r="CS10" s="164"/>
      <c r="DD10" s="75"/>
      <c r="DJ10" s="75"/>
      <c r="DQ10" s="75"/>
    </row>
    <row r="11" spans="2:121" s="163" customFormat="1" x14ac:dyDescent="0.3">
      <c r="B11" s="73">
        <v>0</v>
      </c>
      <c r="C11" s="74">
        <f>YEAR(D11)</f>
        <v>2021</v>
      </c>
      <c r="D11" s="205">
        <f>Fish_Inputs!G6</f>
        <v>44197</v>
      </c>
      <c r="E11" s="206">
        <f>EDATE(D11,12)-1</f>
        <v>44561</v>
      </c>
      <c r="F11" s="443">
        <v>0</v>
      </c>
      <c r="G11" s="172"/>
      <c r="H11" s="173"/>
      <c r="I11" s="102"/>
      <c r="J11" s="191"/>
      <c r="K11" s="174"/>
      <c r="L11" s="102"/>
      <c r="M11" s="102"/>
      <c r="N11" s="175"/>
      <c r="O11" s="207"/>
      <c r="P11" s="454"/>
      <c r="Q11" s="102"/>
      <c r="R11" s="102"/>
      <c r="S11" s="102"/>
      <c r="T11" s="102"/>
      <c r="U11" s="102"/>
      <c r="V11" s="102"/>
      <c r="W11" s="102"/>
      <c r="X11" s="102"/>
      <c r="Y11" s="102"/>
      <c r="Z11" s="193"/>
      <c r="AA11" s="193"/>
      <c r="AB11" s="102"/>
      <c r="AC11" s="102"/>
      <c r="AD11" s="102"/>
      <c r="AE11" s="102"/>
      <c r="AF11" s="102"/>
      <c r="AG11" s="340"/>
      <c r="AH11" s="176"/>
      <c r="AI11" s="175"/>
      <c r="AJ11" s="190"/>
      <c r="AK11" s="190"/>
      <c r="AL11" s="208"/>
      <c r="AM11" s="178"/>
      <c r="AN11" s="178"/>
      <c r="AO11" s="209"/>
      <c r="AP11" s="179"/>
      <c r="AQ11" s="162"/>
      <c r="AR11" s="162"/>
      <c r="AS11" s="196"/>
      <c r="AT11" s="86"/>
      <c r="AU11" s="197"/>
      <c r="AV11" s="680">
        <f>IF(B11=0,Pyre_Inputs!$C$29,0)</f>
        <v>294308.52082412766</v>
      </c>
      <c r="AW11" s="198">
        <f t="shared" ref="AW11:AW44" si="5">SUM(AV11:AV11)</f>
        <v>294308.52082412766</v>
      </c>
      <c r="AX11" s="197">
        <f t="shared" ref="AX11:AX44" si="6">AU11-AW11</f>
        <v>-294308.52082412766</v>
      </c>
      <c r="AY11" s="681">
        <f>IF(B11=0,Pyre_Inputs!$G$15+Pyre_Inputs!$G$16,0)</f>
        <v>88292.556247238288</v>
      </c>
      <c r="AZ11" s="681">
        <f>IF(B11=0,Pyre_Inputs!$G$14,0)</f>
        <v>206015.96457688935</v>
      </c>
      <c r="BA11" s="79">
        <f t="shared" ref="BA11:BA12" si="7">SUM(AY11:AZ11)</f>
        <v>294308.52082412766</v>
      </c>
      <c r="BB11" s="196">
        <f t="shared" ref="BB11:BB12" si="8">AX11+BA11</f>
        <v>0</v>
      </c>
      <c r="BC11" s="682">
        <f>Pyre_Inputs!$G$20*AVERAGE(BR11,BS11)</f>
        <v>0</v>
      </c>
      <c r="BD11" s="231">
        <f t="shared" ref="BD11:BD44" si="9">AN11</f>
        <v>0</v>
      </c>
      <c r="BE11" s="210">
        <f>AX11</f>
        <v>-294308.52082412766</v>
      </c>
      <c r="BF11" s="211">
        <f>AX11</f>
        <v>-294308.52082412766</v>
      </c>
      <c r="BG11" s="211">
        <f>AX11</f>
        <v>-294308.52082412766</v>
      </c>
      <c r="BH11" s="212"/>
      <c r="BI11" s="290">
        <f>Pyre_Inputs!G14</f>
        <v>206015.96457688935</v>
      </c>
      <c r="BJ11" s="201"/>
      <c r="BK11" s="201"/>
      <c r="BL11" s="202"/>
      <c r="BM11" s="203"/>
      <c r="BN11" s="196"/>
      <c r="BO11" s="683">
        <f>-Pyre_Inputs!G15</f>
        <v>-88292.556247238288</v>
      </c>
      <c r="BP11" s="683">
        <f>-Pyre_Inputs!G15</f>
        <v>-88292.556247238288</v>
      </c>
      <c r="BQ11" s="683">
        <f>BB11</f>
        <v>0</v>
      </c>
      <c r="BR11" s="86"/>
      <c r="BS11" s="683">
        <f t="shared" ref="BS11:BS44" si="10">BQ11+BR11</f>
        <v>0</v>
      </c>
      <c r="BT11" s="683">
        <f>-Pyre_Inputs!G15</f>
        <v>-88292.556247238288</v>
      </c>
      <c r="BU11" s="86"/>
      <c r="BV11" s="214" t="e">
        <f t="shared" ref="BV11:BV44" si="11">BP11/((1+$BP$4)^B11)</f>
        <v>#VALUE!</v>
      </c>
      <c r="BW11" s="162"/>
      <c r="BX11" s="162"/>
      <c r="BY11" s="162"/>
      <c r="BZ11" s="162"/>
      <c r="CA11" s="162"/>
      <c r="CB11" s="162"/>
      <c r="CC11" s="162"/>
      <c r="CD11" s="162"/>
      <c r="CE11" s="162"/>
      <c r="CF11" s="162"/>
      <c r="CG11" s="162"/>
      <c r="CH11" s="162"/>
      <c r="CI11" s="102"/>
      <c r="CJ11" s="162"/>
      <c r="CK11" s="162"/>
      <c r="CL11" s="162"/>
      <c r="CM11" s="162"/>
      <c r="CN11" s="162"/>
      <c r="CO11" s="162"/>
      <c r="CS11" s="164"/>
      <c r="DD11" s="75"/>
      <c r="DJ11" s="75"/>
      <c r="DQ11" s="75"/>
    </row>
    <row r="12" spans="2:121" s="162" customFormat="1" x14ac:dyDescent="0.3">
      <c r="B12" s="184">
        <f>B11+1</f>
        <v>1</v>
      </c>
      <c r="C12" s="346">
        <f t="shared" ref="C12:C44" si="12">YEAR(D12)</f>
        <v>2022</v>
      </c>
      <c r="D12" s="347">
        <f>EDATE(D11,12)</f>
        <v>44562</v>
      </c>
      <c r="E12" s="440">
        <f>EDATE(E11,12)</f>
        <v>44926</v>
      </c>
      <c r="F12" s="445">
        <f>IF(AND(B12&gt;0,B12&lt;=Pyre_Inputs!$J$17),1,0)</f>
        <v>1</v>
      </c>
      <c r="G12" s="447">
        <f>IF(F12=1,Pyre_Inputs!$G$31,0)</f>
        <v>20195.999999999985</v>
      </c>
      <c r="H12" s="348">
        <f>IF(AND(F11=0,F12=1),100%,IF(AND(F11=0,F12=0),100%,H11-Pyre_Inputs!$G$45))*F12</f>
        <v>1</v>
      </c>
      <c r="I12" s="216">
        <f>H12*G12</f>
        <v>20195.999999999985</v>
      </c>
      <c r="J12" s="219">
        <f>Pyre_Inputs!$J$11</f>
        <v>0.01</v>
      </c>
      <c r="K12" s="444">
        <f>IF(B12=1,Pyre_Inputs!$R$15,K11*(1+Pyre_CashFlows!J12))*F12</f>
        <v>3.4593170477911568</v>
      </c>
      <c r="L12" s="338">
        <f>IF(B12=1,Pyre_Inputs!$R$16,L11*(1+Pyre_CashFlows!J12))*F12</f>
        <v>3.4593170477911568</v>
      </c>
      <c r="M12" s="122">
        <f>K12*I12*Pyre_Inputs!$J$9</f>
        <v>34932.18354859508</v>
      </c>
      <c r="N12" s="222">
        <f>L12*I12*Pyre_Inputs!$J$10</f>
        <v>34932.18354859508</v>
      </c>
      <c r="O12" s="217">
        <f>BC11</f>
        <v>0</v>
      </c>
      <c r="P12" s="122">
        <f>SUM(M12:O12)+IF(B12=Pyre_Inputs!$J$17,Pyre_Inputs!$J$19,0)</f>
        <v>69864.367097190159</v>
      </c>
      <c r="Q12" s="218">
        <f>IF(B12=1,Pyre_Inputs!$O$7,Q11*(1+Pyre_Inputs!$N$23))*F12</f>
        <v>16466.349147485904</v>
      </c>
      <c r="R12" s="122">
        <f>IF(B12=1,Pyre_Inputs!$O$8,R11*(1+Pyre_Inputs!$N$23))*F12</f>
        <v>2935.7148194374872</v>
      </c>
      <c r="S12" s="122">
        <f>IF(B12=1,Pyre_Inputs!$O$9,S11*(1+Pyre_Inputs!$N$23))*F12</f>
        <v>29430.852082412766</v>
      </c>
      <c r="T12" s="122">
        <f>IF(B12=1,Pyre_Inputs!$O$10,T11*(1+Pyre_Inputs!$N$23))*F12</f>
        <v>44315.62255253319</v>
      </c>
      <c r="U12" s="122">
        <f>IF(B12=1,Pyre_Inputs!$O$11,U11*(1+Pyre_Inputs!$N$23))*F12</f>
        <v>17744.912728349518</v>
      </c>
      <c r="V12" s="122">
        <f>IF(B12=1,Pyre_Inputs!$O$12,V11*(1+Pyre_Inputs!$N$23))*F12</f>
        <v>92.248454607764188</v>
      </c>
      <c r="W12" s="122">
        <f>IF(B12=1,Pyre_Inputs!$O$13,W11*(1+Pyre_Inputs!$N$23))*F12</f>
        <v>0</v>
      </c>
      <c r="X12" s="122">
        <f>IF(B12=1,Pyre_Inputs!$O$14,X11*(1+Pyre_Inputs!$N$23))*F12</f>
        <v>349.32183548595083</v>
      </c>
      <c r="Y12" s="122">
        <f>IF(B12=1,Pyre_Inputs!$O$15,Y11*(1+Pyre_Inputs!$N$23))*F12</f>
        <v>349.32183548595083</v>
      </c>
      <c r="Z12" s="122">
        <f>IF(B12=1,Pyre_Inputs!$O$16,Z11*(1+Pyre_Inputs!$N$23))*F12</f>
        <v>10763.9</v>
      </c>
      <c r="AA12" s="122">
        <f>IF(B12=1,Pyre_Inputs!$O$17,AA11*(1+Pyre_Inputs!$N$23))*F12</f>
        <v>203.99999999999986</v>
      </c>
      <c r="AB12" s="181">
        <f>IF(B12=1,Pyre_Inputs!$O$18,AB11*(1+Pyre_Inputs!$N$23))*F12</f>
        <v>0</v>
      </c>
      <c r="AC12" s="482">
        <f>IF(B12=1,Pyre_Inputs!$O$19,AC11*(1+Pyre_Inputs!$N$23))*F12</f>
        <v>0</v>
      </c>
      <c r="AD12" s="122">
        <f>IF(B12=1,Pyre_Inputs!$O$20,AD11*(1+Pyre_Inputs!$N$23))*F12</f>
        <v>0</v>
      </c>
      <c r="AE12" s="122">
        <f>IF(B12=1,Pyre_Inputs!$O$21,AE11*(1+Pyre_Inputs!$N$23))*F12</f>
        <v>0</v>
      </c>
      <c r="AF12" s="132">
        <f>IF(B12=1,Pyre_Inputs!$O$22,AF11*(1+Pyre_Inputs!$N$23))*F12</f>
        <v>0</v>
      </c>
      <c r="AG12" s="132">
        <f>SUM(Q12:AF12)*F12</f>
        <v>122652.24345579853</v>
      </c>
      <c r="AH12" s="122">
        <f t="shared" ref="AH12:AH44" si="13">P12-AG12</f>
        <v>-52787.876358608366</v>
      </c>
      <c r="AI12" s="219">
        <f t="shared" ref="AI12:AI44" si="14">IFERROR(AH12/P12,0)</f>
        <v>-0.75557653424633131</v>
      </c>
      <c r="AJ12" s="220">
        <f>Deprec!O11</f>
        <v>11772.340832965107</v>
      </c>
      <c r="AK12" s="122">
        <f t="shared" ref="AK12" si="15">AH12-AJ12</f>
        <v>-64560.217191573473</v>
      </c>
      <c r="AL12" s="221">
        <f>BJ12</f>
        <v>24651.436603450398</v>
      </c>
      <c r="AM12" s="122">
        <f>AK12-AL12</f>
        <v>-89211.653795023871</v>
      </c>
      <c r="AN12" s="438">
        <f>IF(AM12&lt;0,0,(AM12*Pyre_Inputs!$J$14))</f>
        <v>0</v>
      </c>
      <c r="AO12" s="122">
        <f>AM12-AN12</f>
        <v>-89211.653795023871</v>
      </c>
      <c r="AP12" s="123">
        <f t="shared" ref="AP12:AP44" si="16">IFERROR(AO12/P12,0)</f>
        <v>-1.2769263861063709</v>
      </c>
      <c r="AQ12" s="185"/>
      <c r="AR12" s="185"/>
      <c r="AS12" s="218">
        <f t="shared" ref="AS12:AS44" si="17">P12</f>
        <v>69864.367097190159</v>
      </c>
      <c r="AT12" s="122">
        <f t="shared" ref="AT12:AT44" si="18">AG12</f>
        <v>122652.24345579853</v>
      </c>
      <c r="AU12" s="438">
        <f>AS12-AT12</f>
        <v>-52787.876358608366</v>
      </c>
      <c r="AV12" s="218">
        <f>IF(B12=0,Pyre_Inputs!$C$29,0)</f>
        <v>0</v>
      </c>
      <c r="AW12" s="435">
        <f t="shared" si="5"/>
        <v>0</v>
      </c>
      <c r="AX12" s="438">
        <f t="shared" si="6"/>
        <v>-52787.876358608366</v>
      </c>
      <c r="AY12" s="184">
        <f>IF(B12=0,Pyre_Inputs!$G$15+Pyre_Inputs!$G$16,0)</f>
        <v>0</v>
      </c>
      <c r="AZ12" s="185">
        <f>IF(B12=0,Pyre_Inputs!$G$14,0)</f>
        <v>0</v>
      </c>
      <c r="BA12" s="132">
        <f t="shared" si="7"/>
        <v>0</v>
      </c>
      <c r="BB12" s="218">
        <f t="shared" si="8"/>
        <v>-52787.876358608366</v>
      </c>
      <c r="BC12" s="218">
        <f>Pyre_Inputs!$G$20*AVERAGE(BR12,BS12)</f>
        <v>0</v>
      </c>
      <c r="BD12" s="132">
        <f t="shared" si="9"/>
        <v>0</v>
      </c>
      <c r="BE12" s="132">
        <f t="shared" ref="BE12:BE44" si="19">BG12+BD12-O12</f>
        <v>-52787.876358608366</v>
      </c>
      <c r="BF12" s="122">
        <f t="shared" ref="BF12:BF44" si="20">BG12-O12</f>
        <v>-52787.876358608366</v>
      </c>
      <c r="BG12" s="438">
        <f t="shared" ref="BG12:BG44" si="21">BB12-BD12</f>
        <v>-52787.876358608366</v>
      </c>
      <c r="BH12" s="122">
        <f>BI11</f>
        <v>206015.96457688935</v>
      </c>
      <c r="BI12" s="122">
        <f>BH12-BK12</f>
        <v>194256.88340837212</v>
      </c>
      <c r="BJ12" s="122">
        <f>-Debt_Calc!BA10</f>
        <v>24651.436603450398</v>
      </c>
      <c r="BK12" s="122">
        <f>Debt_Calc!BB10</f>
        <v>11759.081168517245</v>
      </c>
      <c r="BL12" s="122">
        <f t="shared" ref="BL12:BL44" si="22">SUM(BJ12:BK12)</f>
        <v>36410.517771967643</v>
      </c>
      <c r="BM12" s="217">
        <f>IFERROR(BG12/BL12,0)</f>
        <v>-1.4497974648207175</v>
      </c>
      <c r="BN12" s="122">
        <f>BG12-BL12</f>
        <v>-89198.394130576009</v>
      </c>
      <c r="BO12" s="122">
        <f t="shared" ref="BO12:BO44" si="23">BN12+BD12</f>
        <v>-89198.394130576009</v>
      </c>
      <c r="BP12" s="122">
        <f>BN12+BR12</f>
        <v>-89198.394130576009</v>
      </c>
      <c r="BQ12" s="122">
        <f t="shared" ref="BQ12:BQ44" si="24">BN12-BP12</f>
        <v>0</v>
      </c>
      <c r="BR12" s="122">
        <f t="shared" ref="BR12:BR44" si="25">BS11</f>
        <v>0</v>
      </c>
      <c r="BS12" s="122">
        <f t="shared" si="10"/>
        <v>0</v>
      </c>
      <c r="BT12" s="122">
        <f t="shared" ref="BT12:BT44" si="26">BP12+BT11</f>
        <v>-177490.9503778143</v>
      </c>
      <c r="BU12" s="122">
        <f>IF(BU11&gt;=1,2,IF(BT12&gt;0,1,0))</f>
        <v>0</v>
      </c>
      <c r="BV12" s="222" t="e">
        <f t="shared" si="11"/>
        <v>#VALUE!</v>
      </c>
      <c r="BW12" s="102"/>
      <c r="BX12" s="102"/>
      <c r="BY12" s="102"/>
      <c r="BZ12" s="102"/>
      <c r="CA12" s="102"/>
      <c r="CI12" s="102"/>
      <c r="CS12" s="349"/>
      <c r="CT12" s="102"/>
      <c r="CU12" s="102"/>
      <c r="CV12" s="102"/>
      <c r="CW12" s="102"/>
      <c r="CX12" s="102"/>
      <c r="CY12" s="102"/>
      <c r="CZ12" s="102"/>
      <c r="DA12" s="102"/>
      <c r="DB12" s="102"/>
      <c r="DC12" s="102"/>
      <c r="DD12" s="79"/>
      <c r="DJ12" s="79"/>
      <c r="DQ12" s="79"/>
    </row>
    <row r="13" spans="2:121" s="193" customFormat="1" x14ac:dyDescent="0.3">
      <c r="B13" s="192">
        <f t="shared" ref="B13:B44" si="27">B12+1</f>
        <v>2</v>
      </c>
      <c r="C13" s="350">
        <f t="shared" si="12"/>
        <v>2023</v>
      </c>
      <c r="D13" s="351">
        <f t="shared" ref="D13:E28" si="28">EDATE(D12,12)</f>
        <v>44927</v>
      </c>
      <c r="E13" s="441">
        <f t="shared" si="28"/>
        <v>45291</v>
      </c>
      <c r="F13" s="445">
        <f>IF(AND(B13&gt;0,B13&lt;=Pyre_Inputs!$J$17),1,0)</f>
        <v>1</v>
      </c>
      <c r="G13" s="447">
        <f>IF(F13=1,Pyre_Inputs!$G$31,0)</f>
        <v>20195.999999999985</v>
      </c>
      <c r="H13" s="348">
        <f>IF(AND(F12=0,F13=1),100%,IF(AND(F12=0,F13=0),100%,H12-Pyre_Inputs!$G$45))*F13</f>
        <v>0.99950000000000006</v>
      </c>
      <c r="I13" s="216">
        <f t="shared" ref="I13:I44" si="29">H13*G13</f>
        <v>20185.901999999987</v>
      </c>
      <c r="J13" s="219">
        <f>Pyre_Inputs!$J$11</f>
        <v>0.01</v>
      </c>
      <c r="K13" s="444">
        <f>IF(B13=1,Pyre_Inputs!$R$15,K12*(1+Pyre_CashFlows!J13))*F13</f>
        <v>3.4939102182690682</v>
      </c>
      <c r="L13" s="338">
        <f>IF(B13=1,Pyre_Inputs!$R$16,L12*(1+Pyre_CashFlows!J13))*F13</f>
        <v>3.4939102182690682</v>
      </c>
      <c r="M13" s="122">
        <f>K13*I13*Pyre_Inputs!$J$9</f>
        <v>35263.864631388991</v>
      </c>
      <c r="N13" s="222">
        <f>L13*I13*Pyre_Inputs!$J$10</f>
        <v>35263.864631388991</v>
      </c>
      <c r="O13" s="423">
        <f t="shared" ref="O13:O44" si="30">BC12</f>
        <v>0</v>
      </c>
      <c r="P13" s="122">
        <f>SUM(M13:O13)+IF(B13=Pyre_Inputs!$J$17,Pyre_Inputs!$J$19,0)</f>
        <v>70527.729262777983</v>
      </c>
      <c r="Q13" s="218">
        <f>IF(B13=1,Pyre_Inputs!$O$7,Q12*(1+Pyre_Inputs!$N$23))*F13</f>
        <v>16631.012638960761</v>
      </c>
      <c r="R13" s="122">
        <f>IF(B13=1,Pyre_Inputs!$O$8,R12*(1+Pyre_Inputs!$N$23))*F13</f>
        <v>2965.0719676318622</v>
      </c>
      <c r="S13" s="122">
        <f>IF(B13=1,Pyre_Inputs!$O$9,S12*(1+Pyre_Inputs!$N$23))*F13</f>
        <v>29725.160603236895</v>
      </c>
      <c r="T13" s="122">
        <f>IF(B13=1,Pyre_Inputs!$O$10,T12*(1+Pyre_Inputs!$N$23))*F13</f>
        <v>44758.77877805852</v>
      </c>
      <c r="U13" s="122">
        <f>IF(B13=1,Pyre_Inputs!$O$11,U12*(1+Pyre_Inputs!$N$23))*F13</f>
        <v>17922.361855633015</v>
      </c>
      <c r="V13" s="122">
        <f>IF(B13=1,Pyre_Inputs!$O$12,V12*(1+Pyre_Inputs!$N$23))*F13</f>
        <v>93.170939153841829</v>
      </c>
      <c r="W13" s="122">
        <f>IF(B13=1,Pyre_Inputs!$O$13,W12*(1+Pyre_Inputs!$N$23))*F13</f>
        <v>0</v>
      </c>
      <c r="X13" s="122">
        <f>IF(B13=1,Pyre_Inputs!$O$14,X12*(1+Pyre_Inputs!$N$23))*F13</f>
        <v>352.81505384081032</v>
      </c>
      <c r="Y13" s="122">
        <f>IF(B13=1,Pyre_Inputs!$O$15,Y12*(1+Pyre_Inputs!$N$23))*F13</f>
        <v>352.81505384081032</v>
      </c>
      <c r="Z13" s="122">
        <f>IF(B13=1,Pyre_Inputs!$O$16,Z12*(1+Pyre_Inputs!$N$23))*F13</f>
        <v>10871.538999999999</v>
      </c>
      <c r="AA13" s="122">
        <f>IF(B13=1,Pyre_Inputs!$O$17,AA12*(1+Pyre_Inputs!$N$23))*F13</f>
        <v>206.03999999999985</v>
      </c>
      <c r="AB13" s="181">
        <f>IF(B13=1,Pyre_Inputs!$O$18,AB12*(1+Pyre_Inputs!$N$23))*F13</f>
        <v>0</v>
      </c>
      <c r="AC13" s="482">
        <f>IF(B13=1,Pyre_Inputs!$O$19,AC12*(1+Pyre_Inputs!$N$23))*F13</f>
        <v>0</v>
      </c>
      <c r="AD13" s="122">
        <f>IF(B13=1,Pyre_Inputs!$O$20,AD12*(1+Pyre_Inputs!$N$23))*F13</f>
        <v>0</v>
      </c>
      <c r="AE13" s="122">
        <f>IF(B13=1,Pyre_Inputs!$O$21,AE12*(1+Pyre_Inputs!$N$23))*F13</f>
        <v>0</v>
      </c>
      <c r="AF13" s="132">
        <f>IF(B13=1,Pyre_Inputs!$O$22,AF12*(1+Pyre_Inputs!$N$23))*F13</f>
        <v>0</v>
      </c>
      <c r="AG13" s="200">
        <f t="shared" ref="AG13:AG44" si="31">SUM(Q13:AF13)*F13</f>
        <v>123878.76589035652</v>
      </c>
      <c r="AH13" s="86">
        <f t="shared" si="13"/>
        <v>-53351.036627578535</v>
      </c>
      <c r="AI13" s="225">
        <f t="shared" si="14"/>
        <v>-0.75645476162714498</v>
      </c>
      <c r="AJ13" s="220">
        <f>Deprec!O12</f>
        <v>11772.340832965107</v>
      </c>
      <c r="AK13" s="122">
        <f t="shared" ref="AK13:AK44" si="32">AH13-AJ13</f>
        <v>-65123.377460543641</v>
      </c>
      <c r="AL13" s="221">
        <f t="shared" ref="AL13:AL44" si="33">BJ13</f>
        <v>23244.369706785979</v>
      </c>
      <c r="AM13" s="122">
        <f t="shared" ref="AM13:AM44" si="34">AK13-AL13</f>
        <v>-88367.747167329624</v>
      </c>
      <c r="AN13" s="438">
        <f>IF(AM13&lt;0,0,(AM13*Pyre_Inputs!$J$14))</f>
        <v>0</v>
      </c>
      <c r="AO13" s="86">
        <f t="shared" ref="AO13:AO44" si="35">AM13-AN13</f>
        <v>-88367.747167329624</v>
      </c>
      <c r="AP13" s="226">
        <f t="shared" si="16"/>
        <v>-1.2529504081732428</v>
      </c>
      <c r="AS13" s="196">
        <f t="shared" si="17"/>
        <v>70527.729262777983</v>
      </c>
      <c r="AT13" s="86">
        <f t="shared" si="18"/>
        <v>123878.76589035652</v>
      </c>
      <c r="AU13" s="197">
        <f t="shared" ref="AU13:AU44" si="36">AS13-AT13</f>
        <v>-53351.036627578535</v>
      </c>
      <c r="AV13" s="218">
        <f>IF(B13=0,Pyre_Inputs!$C$29,0)</f>
        <v>0</v>
      </c>
      <c r="AW13" s="198">
        <f t="shared" si="5"/>
        <v>0</v>
      </c>
      <c r="AX13" s="197">
        <f t="shared" si="6"/>
        <v>-53351.036627578535</v>
      </c>
      <c r="AY13" s="184">
        <f>IF(B13=0,Pyre_Inputs!$G$15+Pyre_Inputs!$G$16,0)</f>
        <v>0</v>
      </c>
      <c r="AZ13" s="185">
        <f>IF(B13=0,Pyre_Inputs!$G$14,0)</f>
        <v>0</v>
      </c>
      <c r="BA13" s="132">
        <f t="shared" ref="BA13:BA44" si="37">SUM(AY13:AZ13)</f>
        <v>0</v>
      </c>
      <c r="BB13" s="218">
        <f t="shared" ref="BB13:BB44" si="38">AX13+BA13</f>
        <v>-53351.036627578535</v>
      </c>
      <c r="BC13" s="218">
        <f>Pyre_Inputs!$G$20*AVERAGE(BR13,BS13)</f>
        <v>0</v>
      </c>
      <c r="BD13" s="200">
        <f t="shared" si="9"/>
        <v>0</v>
      </c>
      <c r="BE13" s="200">
        <f t="shared" si="19"/>
        <v>-53351.036627578535</v>
      </c>
      <c r="BF13" s="86">
        <f t="shared" si="20"/>
        <v>-53351.036627578535</v>
      </c>
      <c r="BG13" s="197">
        <f t="shared" si="21"/>
        <v>-53351.036627578535</v>
      </c>
      <c r="BH13" s="86">
        <f t="shared" ref="BH13:BH44" si="39">BI12</f>
        <v>194256.88340837212</v>
      </c>
      <c r="BI13" s="86">
        <f t="shared" ref="BI13:BI44" si="40">BH13-BK13</f>
        <v>181090.73534319046</v>
      </c>
      <c r="BJ13" s="122">
        <f>-Debt_Calc!BA11</f>
        <v>23244.369706785979</v>
      </c>
      <c r="BK13" s="122">
        <f>Debt_Calc!BB11</f>
        <v>13166.148065181656</v>
      </c>
      <c r="BL13" s="86">
        <f t="shared" si="22"/>
        <v>36410.517771967636</v>
      </c>
      <c r="BM13" s="423">
        <f t="shared" ref="BM13:BM44" si="41">IFERROR(BG13/BL13,0)</f>
        <v>-1.4652644316047974</v>
      </c>
      <c r="BN13" s="86">
        <f t="shared" ref="BN13:BN44" si="42">BG13-BL13</f>
        <v>-89761.554399546178</v>
      </c>
      <c r="BO13" s="86">
        <f t="shared" si="23"/>
        <v>-89761.554399546178</v>
      </c>
      <c r="BP13" s="86">
        <f t="shared" ref="BP13:BP44" si="43">BN13+BR13</f>
        <v>-89761.554399546178</v>
      </c>
      <c r="BQ13" s="86">
        <f t="shared" si="24"/>
        <v>0</v>
      </c>
      <c r="BR13" s="86">
        <f t="shared" si="25"/>
        <v>0</v>
      </c>
      <c r="BS13" s="86">
        <f t="shared" si="10"/>
        <v>0</v>
      </c>
      <c r="BT13" s="86">
        <f t="shared" si="26"/>
        <v>-267252.50477736047</v>
      </c>
      <c r="BU13" s="86">
        <f t="shared" ref="BU13:BU44" si="44">IF(BU12&gt;=1,2,IF(BT13&gt;0,1,0))</f>
        <v>0</v>
      </c>
      <c r="BV13" s="214" t="e">
        <f t="shared" si="11"/>
        <v>#VALUE!</v>
      </c>
      <c r="BW13" s="102"/>
      <c r="BX13" s="102"/>
      <c r="BY13" s="102"/>
      <c r="BZ13" s="102"/>
      <c r="CA13" s="102"/>
      <c r="CI13" s="102"/>
      <c r="CS13" s="102"/>
      <c r="CT13" s="102"/>
      <c r="CU13" s="102"/>
      <c r="CV13" s="102"/>
      <c r="CW13" s="102"/>
      <c r="CX13" s="102"/>
      <c r="CY13" s="102"/>
      <c r="CZ13" s="102"/>
      <c r="DA13" s="102"/>
      <c r="DB13" s="102"/>
      <c r="DC13" s="102"/>
      <c r="DD13" s="86"/>
      <c r="DJ13" s="86"/>
      <c r="DQ13" s="86"/>
    </row>
    <row r="14" spans="2:121" s="193" customFormat="1" x14ac:dyDescent="0.3">
      <c r="B14" s="192">
        <f t="shared" si="27"/>
        <v>3</v>
      </c>
      <c r="C14" s="350">
        <f t="shared" si="12"/>
        <v>2024</v>
      </c>
      <c r="D14" s="351">
        <f t="shared" si="28"/>
        <v>45292</v>
      </c>
      <c r="E14" s="441">
        <f>EDATE(E13,12)</f>
        <v>45657</v>
      </c>
      <c r="F14" s="445">
        <f>IF(AND(B14&gt;0,B14&lt;=Pyre_Inputs!$J$17),1,0)</f>
        <v>1</v>
      </c>
      <c r="G14" s="447">
        <f>IF(F14=1,Pyre_Inputs!$G$31,0)</f>
        <v>20195.999999999985</v>
      </c>
      <c r="H14" s="348">
        <f>IF(AND(F13=0,F14=1),100%,IF(AND(F13=0,F14=0),100%,H13-Pyre_Inputs!$G$45))*F14</f>
        <v>0.99900000000000011</v>
      </c>
      <c r="I14" s="216">
        <f t="shared" si="29"/>
        <v>20175.803999999989</v>
      </c>
      <c r="J14" s="219">
        <f>Pyre_Inputs!$J$11</f>
        <v>0.01</v>
      </c>
      <c r="K14" s="444">
        <f>IF(B14=1,Pyre_Inputs!$R$15,K13*(1+Pyre_CashFlows!J14))*F14</f>
        <v>3.528849320451759</v>
      </c>
      <c r="L14" s="338">
        <f>IF(B14=1,Pyre_Inputs!$R$16,L13*(1+Pyre_CashFlows!J14))*F14</f>
        <v>3.528849320451759</v>
      </c>
      <c r="M14" s="122">
        <f>K14*I14*Pyre_Inputs!$J$9</f>
        <v>35598.686117483921</v>
      </c>
      <c r="N14" s="222">
        <f>L14*I14*Pyre_Inputs!$J$10</f>
        <v>35598.686117483921</v>
      </c>
      <c r="O14" s="423">
        <f t="shared" si="30"/>
        <v>0</v>
      </c>
      <c r="P14" s="122">
        <f>SUM(M14:O14)+IF(B14=Pyre_Inputs!$J$17,Pyre_Inputs!$J$19,0)</f>
        <v>71197.372234967843</v>
      </c>
      <c r="Q14" s="218">
        <f>IF(B14=1,Pyre_Inputs!$O$7,Q13*(1+Pyre_Inputs!$N$23))*F14</f>
        <v>16797.322765350367</v>
      </c>
      <c r="R14" s="122">
        <f>IF(B14=1,Pyre_Inputs!$O$8,R13*(1+Pyre_Inputs!$N$23))*F14</f>
        <v>2994.7226873081809</v>
      </c>
      <c r="S14" s="122">
        <f>IF(B14=1,Pyre_Inputs!$O$9,S13*(1+Pyre_Inputs!$N$23))*F14</f>
        <v>30022.412209269263</v>
      </c>
      <c r="T14" s="122">
        <f>IF(B14=1,Pyre_Inputs!$O$10,T13*(1+Pyre_Inputs!$N$23))*F14</f>
        <v>45206.366565839104</v>
      </c>
      <c r="U14" s="122">
        <f>IF(B14=1,Pyre_Inputs!$O$11,U13*(1+Pyre_Inputs!$N$23))*F14</f>
        <v>18101.585474189345</v>
      </c>
      <c r="V14" s="122">
        <f>IF(B14=1,Pyre_Inputs!$O$12,V13*(1+Pyre_Inputs!$N$23))*F14</f>
        <v>94.102648545380248</v>
      </c>
      <c r="W14" s="122">
        <f>IF(B14=1,Pyre_Inputs!$O$13,W13*(1+Pyre_Inputs!$N$23))*F14</f>
        <v>0</v>
      </c>
      <c r="X14" s="122">
        <f>IF(B14=1,Pyre_Inputs!$O$14,X13*(1+Pyre_Inputs!$N$23))*F14</f>
        <v>356.34320437921843</v>
      </c>
      <c r="Y14" s="122">
        <f>IF(B14=1,Pyre_Inputs!$O$15,Y13*(1+Pyre_Inputs!$N$23))*F14</f>
        <v>356.34320437921843</v>
      </c>
      <c r="Z14" s="122">
        <f>IF(B14=1,Pyre_Inputs!$O$16,Z13*(1+Pyre_Inputs!$N$23))*F14</f>
        <v>10980.254389999998</v>
      </c>
      <c r="AA14" s="122">
        <f>IF(B14=1,Pyre_Inputs!$O$17,AA13*(1+Pyre_Inputs!$N$23))*F14</f>
        <v>208.10039999999984</v>
      </c>
      <c r="AB14" s="181">
        <f>IF(B14=1,Pyre_Inputs!$O$18,AB13*(1+Pyre_Inputs!$N$23))*F14</f>
        <v>0</v>
      </c>
      <c r="AC14" s="482">
        <f>IF(B14=1,Pyre_Inputs!$O$19,AC13*(1+Pyre_Inputs!$N$23))*F14</f>
        <v>0</v>
      </c>
      <c r="AD14" s="122">
        <f>IF(B14=1,Pyre_Inputs!$O$20,AD13*(1+Pyre_Inputs!$N$23))*F14</f>
        <v>0</v>
      </c>
      <c r="AE14" s="122">
        <f>IF(B14=1,Pyre_Inputs!$O$21,AE13*(1+Pyre_Inputs!$N$23))*F14</f>
        <v>0</v>
      </c>
      <c r="AF14" s="132">
        <f>IF(B14=1,Pyre_Inputs!$O$22,AF13*(1+Pyre_Inputs!$N$23))*F14</f>
        <v>0</v>
      </c>
      <c r="AG14" s="200">
        <f t="shared" si="31"/>
        <v>125117.55354926006</v>
      </c>
      <c r="AH14" s="86">
        <f t="shared" si="13"/>
        <v>-53920.181314292218</v>
      </c>
      <c r="AI14" s="225">
        <f t="shared" si="14"/>
        <v>-0.75733386811444547</v>
      </c>
      <c r="AJ14" s="220">
        <f>Deprec!O13</f>
        <v>11772.340832965107</v>
      </c>
      <c r="AK14" s="122">
        <f t="shared" si="32"/>
        <v>-65692.522147257318</v>
      </c>
      <c r="AL14" s="221">
        <f t="shared" si="33"/>
        <v>21668.936147512799</v>
      </c>
      <c r="AM14" s="122">
        <f t="shared" si="34"/>
        <v>-87361.458294770113</v>
      </c>
      <c r="AN14" s="438">
        <f>IF(AM14&lt;0,0,(AM14*Pyre_Inputs!$J$14))</f>
        <v>0</v>
      </c>
      <c r="AO14" s="86">
        <f t="shared" si="35"/>
        <v>-87361.458294770113</v>
      </c>
      <c r="AP14" s="226">
        <f t="shared" si="16"/>
        <v>-1.2270320596448003</v>
      </c>
      <c r="AS14" s="196">
        <f t="shared" si="17"/>
        <v>71197.372234967843</v>
      </c>
      <c r="AT14" s="86">
        <f t="shared" si="18"/>
        <v>125117.55354926006</v>
      </c>
      <c r="AU14" s="197">
        <f t="shared" si="36"/>
        <v>-53920.181314292218</v>
      </c>
      <c r="AV14" s="218">
        <f>IF(B14=0,Pyre_Inputs!$C$29,0)</f>
        <v>0</v>
      </c>
      <c r="AW14" s="198">
        <f t="shared" si="5"/>
        <v>0</v>
      </c>
      <c r="AX14" s="197">
        <f t="shared" si="6"/>
        <v>-53920.181314292218</v>
      </c>
      <c r="AY14" s="184">
        <f>IF(B14=0,Pyre_Inputs!$G$15+Pyre_Inputs!$G$16,0)</f>
        <v>0</v>
      </c>
      <c r="AZ14" s="185">
        <f>IF(B14=0,Pyre_Inputs!$G$14,0)</f>
        <v>0</v>
      </c>
      <c r="BA14" s="132">
        <f t="shared" si="37"/>
        <v>0</v>
      </c>
      <c r="BB14" s="218">
        <f t="shared" si="38"/>
        <v>-53920.181314292218</v>
      </c>
      <c r="BC14" s="218">
        <f>Pyre_Inputs!$G$20*AVERAGE(BR14,BS14)</f>
        <v>0</v>
      </c>
      <c r="BD14" s="200">
        <f t="shared" si="9"/>
        <v>0</v>
      </c>
      <c r="BE14" s="200">
        <f t="shared" si="19"/>
        <v>-53920.181314292218</v>
      </c>
      <c r="BF14" s="86">
        <f t="shared" si="20"/>
        <v>-53920.181314292218</v>
      </c>
      <c r="BG14" s="197">
        <f t="shared" si="21"/>
        <v>-53920.181314292218</v>
      </c>
      <c r="BH14" s="86">
        <f t="shared" si="39"/>
        <v>181090.73534319046</v>
      </c>
      <c r="BI14" s="86">
        <f t="shared" si="40"/>
        <v>166349.15371873562</v>
      </c>
      <c r="BJ14" s="122">
        <f>-Debt_Calc!BA12</f>
        <v>21668.936147512799</v>
      </c>
      <c r="BK14" s="122">
        <f>Debt_Calc!BB12</f>
        <v>14741.581624454851</v>
      </c>
      <c r="BL14" s="86">
        <f t="shared" si="22"/>
        <v>36410.51777196765</v>
      </c>
      <c r="BM14" s="423">
        <f t="shared" si="41"/>
        <v>-1.4808957579780755</v>
      </c>
      <c r="BN14" s="86">
        <f t="shared" si="42"/>
        <v>-90330.699086259876</v>
      </c>
      <c r="BO14" s="86">
        <f t="shared" si="23"/>
        <v>-90330.699086259876</v>
      </c>
      <c r="BP14" s="86">
        <f t="shared" si="43"/>
        <v>-90330.699086259876</v>
      </c>
      <c r="BQ14" s="86">
        <f t="shared" si="24"/>
        <v>0</v>
      </c>
      <c r="BR14" s="86">
        <f t="shared" si="25"/>
        <v>0</v>
      </c>
      <c r="BS14" s="86">
        <f t="shared" si="10"/>
        <v>0</v>
      </c>
      <c r="BT14" s="86">
        <f t="shared" si="26"/>
        <v>-357583.20386362035</v>
      </c>
      <c r="BU14" s="86">
        <f t="shared" si="44"/>
        <v>0</v>
      </c>
      <c r="BV14" s="214" t="e">
        <f t="shared" si="11"/>
        <v>#VALUE!</v>
      </c>
      <c r="BW14" s="102"/>
      <c r="BX14" s="102"/>
      <c r="BY14" s="102"/>
      <c r="BZ14" s="102"/>
      <c r="CA14" s="102"/>
      <c r="CI14" s="102"/>
      <c r="CS14" s="102"/>
      <c r="CT14" s="102"/>
      <c r="CU14" s="102"/>
      <c r="CV14" s="102"/>
      <c r="CW14" s="102"/>
      <c r="CX14" s="102"/>
      <c r="CY14" s="102"/>
      <c r="CZ14" s="102"/>
      <c r="DA14" s="102"/>
      <c r="DB14" s="102"/>
      <c r="DC14" s="102"/>
      <c r="DD14" s="86"/>
      <c r="DJ14" s="86"/>
      <c r="DQ14" s="86"/>
    </row>
    <row r="15" spans="2:121" s="86" customFormat="1" x14ac:dyDescent="0.3">
      <c r="B15" s="192">
        <f t="shared" si="27"/>
        <v>4</v>
      </c>
      <c r="C15" s="350">
        <f t="shared" si="12"/>
        <v>2025</v>
      </c>
      <c r="D15" s="351">
        <f t="shared" si="28"/>
        <v>45658</v>
      </c>
      <c r="E15" s="441">
        <f t="shared" si="28"/>
        <v>46022</v>
      </c>
      <c r="F15" s="445">
        <f>IF(AND(B15&gt;0,B15&lt;=Pyre_Inputs!$J$17),1,0)</f>
        <v>1</v>
      </c>
      <c r="G15" s="447">
        <f>IF(F15=1,Pyre_Inputs!$G$31,0)</f>
        <v>20195.999999999985</v>
      </c>
      <c r="H15" s="348">
        <f>IF(AND(F14=0,F15=1),100%,IF(AND(F14=0,F15=0),100%,H14-Pyre_Inputs!$G$45))*F15</f>
        <v>0.99850000000000017</v>
      </c>
      <c r="I15" s="216">
        <f t="shared" si="29"/>
        <v>20165.705999999987</v>
      </c>
      <c r="J15" s="219">
        <f>Pyre_Inputs!$J$11</f>
        <v>0.01</v>
      </c>
      <c r="K15" s="444">
        <f>IF(B15=1,Pyre_Inputs!$R$15,K14*(1+Pyre_CashFlows!J15))*F15</f>
        <v>3.5641378136562767</v>
      </c>
      <c r="L15" s="338">
        <f>IF(B15=1,Pyre_Inputs!$R$16,L14*(1+Pyre_CashFlows!J15))*F15</f>
        <v>3.5641378136562767</v>
      </c>
      <c r="M15" s="122">
        <f>K15*I15*Pyre_Inputs!$J$9</f>
        <v>35936.677646837605</v>
      </c>
      <c r="N15" s="222">
        <f>L15*I15*Pyre_Inputs!$J$10</f>
        <v>35936.677646837605</v>
      </c>
      <c r="O15" s="423">
        <f t="shared" si="30"/>
        <v>0</v>
      </c>
      <c r="P15" s="122">
        <f>SUM(M15:O15)+IF(B15=Pyre_Inputs!$J$17,Pyre_Inputs!$J$19,0)</f>
        <v>71873.355293675209</v>
      </c>
      <c r="Q15" s="218">
        <f>IF(B15=1,Pyre_Inputs!$O$7,Q14*(1+Pyre_Inputs!$N$23))*F15</f>
        <v>16965.295993003871</v>
      </c>
      <c r="R15" s="122">
        <f>IF(B15=1,Pyre_Inputs!$O$8,R14*(1+Pyre_Inputs!$N$23))*F15</f>
        <v>3024.6699141812628</v>
      </c>
      <c r="S15" s="122">
        <f>IF(B15=1,Pyre_Inputs!$O$9,S14*(1+Pyre_Inputs!$N$23))*F15</f>
        <v>30322.636331361955</v>
      </c>
      <c r="T15" s="122">
        <f>IF(B15=1,Pyre_Inputs!$O$10,T14*(1+Pyre_Inputs!$N$23))*F15</f>
        <v>45658.430231497492</v>
      </c>
      <c r="U15" s="122">
        <f>IF(B15=1,Pyre_Inputs!$O$11,U14*(1+Pyre_Inputs!$N$23))*F15</f>
        <v>18282.60132893124</v>
      </c>
      <c r="V15" s="122">
        <f>IF(B15=1,Pyre_Inputs!$O$12,V14*(1+Pyre_Inputs!$N$23))*F15</f>
        <v>95.043675030834052</v>
      </c>
      <c r="W15" s="122">
        <f>IF(B15=1,Pyre_Inputs!$O$13,W14*(1+Pyre_Inputs!$N$23))*F15</f>
        <v>0</v>
      </c>
      <c r="X15" s="122">
        <f>IF(B15=1,Pyre_Inputs!$O$14,X14*(1+Pyre_Inputs!$N$23))*F15</f>
        <v>359.90663642301064</v>
      </c>
      <c r="Y15" s="122">
        <f>IF(B15=1,Pyre_Inputs!$O$15,Y14*(1+Pyre_Inputs!$N$23))*F15</f>
        <v>359.90663642301064</v>
      </c>
      <c r="Z15" s="122">
        <f>IF(B15=1,Pyre_Inputs!$O$16,Z14*(1+Pyre_Inputs!$N$23))*F15</f>
        <v>11090.056933899998</v>
      </c>
      <c r="AA15" s="122">
        <f>IF(B15=1,Pyre_Inputs!$O$17,AA14*(1+Pyre_Inputs!$N$23))*F15</f>
        <v>210.18140399999984</v>
      </c>
      <c r="AB15" s="181">
        <f>IF(B15=1,Pyre_Inputs!$O$18,AB14*(1+Pyre_Inputs!$N$23))*F15</f>
        <v>0</v>
      </c>
      <c r="AC15" s="482">
        <f>IF(B15=1,Pyre_Inputs!$O$19,AC14*(1+Pyre_Inputs!$N$23))*F15</f>
        <v>0</v>
      </c>
      <c r="AD15" s="122">
        <f>IF(B15=1,Pyre_Inputs!$O$20,AD14*(1+Pyre_Inputs!$N$23))*F15</f>
        <v>0</v>
      </c>
      <c r="AE15" s="122">
        <f>IF(B15=1,Pyre_Inputs!$O$21,AE14*(1+Pyre_Inputs!$N$23))*F15</f>
        <v>0</v>
      </c>
      <c r="AF15" s="132">
        <f>IF(B15=1,Pyre_Inputs!$O$22,AF14*(1+Pyre_Inputs!$N$23))*F15</f>
        <v>0</v>
      </c>
      <c r="AG15" s="200">
        <f t="shared" si="31"/>
        <v>126368.72908475266</v>
      </c>
      <c r="AH15" s="86">
        <f t="shared" si="13"/>
        <v>-54495.373791077451</v>
      </c>
      <c r="AI15" s="225">
        <f t="shared" si="14"/>
        <v>-0.75821385502887462</v>
      </c>
      <c r="AJ15" s="220">
        <f>Deprec!O14</f>
        <v>11772.340832965107</v>
      </c>
      <c r="AK15" s="122">
        <f t="shared" si="32"/>
        <v>-66267.714624042565</v>
      </c>
      <c r="AL15" s="221">
        <f t="shared" si="33"/>
        <v>19904.989525239216</v>
      </c>
      <c r="AM15" s="122">
        <f t="shared" si="34"/>
        <v>-86172.704149281781</v>
      </c>
      <c r="AN15" s="438">
        <f>IF(AM15&lt;0,0,(AM15*Pyre_Inputs!$J$14))</f>
        <v>0</v>
      </c>
      <c r="AO15" s="86">
        <f t="shared" si="35"/>
        <v>-86172.704149281781</v>
      </c>
      <c r="AP15" s="226">
        <f t="shared" si="16"/>
        <v>-1.1989520149320885</v>
      </c>
      <c r="AS15" s="196">
        <f t="shared" si="17"/>
        <v>71873.355293675209</v>
      </c>
      <c r="AT15" s="86">
        <f t="shared" si="18"/>
        <v>126368.72908475266</v>
      </c>
      <c r="AU15" s="197">
        <f t="shared" si="36"/>
        <v>-54495.373791077451</v>
      </c>
      <c r="AV15" s="218">
        <f>IF(B15=0,Pyre_Inputs!$C$29,0)</f>
        <v>0</v>
      </c>
      <c r="AW15" s="198">
        <f t="shared" si="5"/>
        <v>0</v>
      </c>
      <c r="AX15" s="197">
        <f t="shared" si="6"/>
        <v>-54495.373791077451</v>
      </c>
      <c r="AY15" s="184">
        <f>IF(B15=0,Pyre_Inputs!$G$15+Pyre_Inputs!$G$16,0)</f>
        <v>0</v>
      </c>
      <c r="AZ15" s="185">
        <f>IF(B15=0,Pyre_Inputs!$G$14,0)</f>
        <v>0</v>
      </c>
      <c r="BA15" s="132">
        <f t="shared" si="37"/>
        <v>0</v>
      </c>
      <c r="BB15" s="218">
        <f t="shared" si="38"/>
        <v>-54495.373791077451</v>
      </c>
      <c r="BC15" s="218">
        <f>Pyre_Inputs!$G$20*AVERAGE(BR15,BS15)</f>
        <v>0</v>
      </c>
      <c r="BD15" s="200">
        <f t="shared" si="9"/>
        <v>0</v>
      </c>
      <c r="BE15" s="200">
        <f t="shared" si="19"/>
        <v>-54495.373791077451</v>
      </c>
      <c r="BF15" s="86">
        <f t="shared" si="20"/>
        <v>-54495.373791077451</v>
      </c>
      <c r="BG15" s="197">
        <f t="shared" si="21"/>
        <v>-54495.373791077451</v>
      </c>
      <c r="BH15" s="86">
        <f t="shared" si="39"/>
        <v>166349.15371873562</v>
      </c>
      <c r="BI15" s="86">
        <f t="shared" si="40"/>
        <v>149843.62547200717</v>
      </c>
      <c r="BJ15" s="122">
        <f>-Debt_Calc!BA13</f>
        <v>19904.989525239216</v>
      </c>
      <c r="BK15" s="122">
        <f>Debt_Calc!BB13</f>
        <v>16505.528246728434</v>
      </c>
      <c r="BL15" s="86">
        <f t="shared" si="22"/>
        <v>36410.51777196765</v>
      </c>
      <c r="BM15" s="423">
        <f t="shared" si="41"/>
        <v>-1.4966931844356599</v>
      </c>
      <c r="BN15" s="86">
        <f t="shared" si="42"/>
        <v>-90905.891563045094</v>
      </c>
      <c r="BO15" s="86">
        <f t="shared" si="23"/>
        <v>-90905.891563045094</v>
      </c>
      <c r="BP15" s="86">
        <f t="shared" si="43"/>
        <v>-90905.891563045094</v>
      </c>
      <c r="BQ15" s="86">
        <f t="shared" si="24"/>
        <v>0</v>
      </c>
      <c r="BR15" s="86">
        <f t="shared" si="25"/>
        <v>0</v>
      </c>
      <c r="BS15" s="86">
        <f t="shared" si="10"/>
        <v>0</v>
      </c>
      <c r="BT15" s="86">
        <f t="shared" si="26"/>
        <v>-448489.09542666544</v>
      </c>
      <c r="BU15" s="86">
        <f t="shared" si="44"/>
        <v>0</v>
      </c>
      <c r="BV15" s="214" t="e">
        <f t="shared" si="11"/>
        <v>#VALUE!</v>
      </c>
    </row>
    <row r="16" spans="2:121" s="86" customFormat="1" x14ac:dyDescent="0.3">
      <c r="B16" s="192">
        <f t="shared" si="27"/>
        <v>5</v>
      </c>
      <c r="C16" s="350">
        <f t="shared" si="12"/>
        <v>2026</v>
      </c>
      <c r="D16" s="351">
        <f t="shared" si="28"/>
        <v>46023</v>
      </c>
      <c r="E16" s="441">
        <f t="shared" si="28"/>
        <v>46387</v>
      </c>
      <c r="F16" s="445">
        <f>IF(AND(B16&gt;0,B16&lt;=Pyre_Inputs!$J$17),1,0)</f>
        <v>1</v>
      </c>
      <c r="G16" s="447">
        <f>IF(F16=1,Pyre_Inputs!$G$31,0)</f>
        <v>20195.999999999985</v>
      </c>
      <c r="H16" s="348">
        <f>IF(AND(F15=0,F16=1),100%,IF(AND(F15=0,F16=0),100%,H15-Pyre_Inputs!$G$45))*F16</f>
        <v>0.99800000000000022</v>
      </c>
      <c r="I16" s="216">
        <f t="shared" si="29"/>
        <v>20155.607999999989</v>
      </c>
      <c r="J16" s="219">
        <f>Pyre_Inputs!$J$11</f>
        <v>0.01</v>
      </c>
      <c r="K16" s="444">
        <f>IF(B16=1,Pyre_Inputs!$R$15,K15*(1+Pyre_CashFlows!J16))*F16</f>
        <v>3.5997791917928397</v>
      </c>
      <c r="L16" s="338">
        <f>IF(B16=1,Pyre_Inputs!$R$16,L15*(1+Pyre_CashFlows!J16))*F16</f>
        <v>3.5997791917928397</v>
      </c>
      <c r="M16" s="122">
        <f>K16*I16*Pyre_Inputs!$J$9</f>
        <v>36277.869138166629</v>
      </c>
      <c r="N16" s="222">
        <f>L16*I16*Pyre_Inputs!$J$10</f>
        <v>36277.869138166629</v>
      </c>
      <c r="O16" s="423">
        <f t="shared" si="30"/>
        <v>0</v>
      </c>
      <c r="P16" s="122">
        <f>SUM(M16:O16)+IF(B16=Pyre_Inputs!$J$17,Pyre_Inputs!$J$19,0)</f>
        <v>72555.738276333257</v>
      </c>
      <c r="Q16" s="218">
        <f>IF(B16=1,Pyre_Inputs!$O$7,Q15*(1+Pyre_Inputs!$N$23))*F16</f>
        <v>17134.948952933908</v>
      </c>
      <c r="R16" s="122">
        <f>IF(B16=1,Pyre_Inputs!$O$8,R15*(1+Pyre_Inputs!$N$23))*F16</f>
        <v>3054.9166133230756</v>
      </c>
      <c r="S16" s="122">
        <f>IF(B16=1,Pyre_Inputs!$O$9,S15*(1+Pyre_Inputs!$N$23))*F16</f>
        <v>30625.862694675576</v>
      </c>
      <c r="T16" s="122">
        <f>IF(B16=1,Pyre_Inputs!$O$10,T15*(1+Pyre_Inputs!$N$23))*F16</f>
        <v>46115.014533812464</v>
      </c>
      <c r="U16" s="122">
        <f>IF(B16=1,Pyre_Inputs!$O$11,U15*(1+Pyre_Inputs!$N$23))*F16</f>
        <v>18465.427342220552</v>
      </c>
      <c r="V16" s="122">
        <f>IF(B16=1,Pyre_Inputs!$O$12,V15*(1+Pyre_Inputs!$N$23))*F16</f>
        <v>95.994111781142394</v>
      </c>
      <c r="W16" s="122">
        <f>IF(B16=1,Pyre_Inputs!$O$13,W15*(1+Pyre_Inputs!$N$23))*F16</f>
        <v>0</v>
      </c>
      <c r="X16" s="122">
        <f>IF(B16=1,Pyre_Inputs!$O$14,X15*(1+Pyre_Inputs!$N$23))*F16</f>
        <v>363.50570278724075</v>
      </c>
      <c r="Y16" s="122">
        <f>IF(B16=1,Pyre_Inputs!$O$15,Y15*(1+Pyre_Inputs!$N$23))*F16</f>
        <v>363.50570278724075</v>
      </c>
      <c r="Z16" s="122">
        <f>IF(B16=1,Pyre_Inputs!$O$16,Z15*(1+Pyre_Inputs!$N$23))*F16</f>
        <v>11200.957503238998</v>
      </c>
      <c r="AA16" s="122">
        <f>IF(B16=1,Pyre_Inputs!$O$17,AA15*(1+Pyre_Inputs!$N$23))*F16</f>
        <v>212.28321803999984</v>
      </c>
      <c r="AB16" s="181">
        <f>IF(B16=1,Pyre_Inputs!$O$18,AB15*(1+Pyre_Inputs!$N$23))*F16</f>
        <v>0</v>
      </c>
      <c r="AC16" s="482">
        <f>IF(B16=1,Pyre_Inputs!$O$19,AC15*(1+Pyre_Inputs!$N$23))*F16</f>
        <v>0</v>
      </c>
      <c r="AD16" s="122">
        <f>IF(B16=1,Pyre_Inputs!$O$20,AD15*(1+Pyre_Inputs!$N$23))*F16</f>
        <v>0</v>
      </c>
      <c r="AE16" s="122">
        <f>IF(B16=1,Pyre_Inputs!$O$21,AE15*(1+Pyre_Inputs!$N$23))*F16</f>
        <v>0</v>
      </c>
      <c r="AF16" s="132">
        <f>IF(B16=1,Pyre_Inputs!$O$22,AF15*(1+Pyre_Inputs!$N$23))*F16</f>
        <v>0</v>
      </c>
      <c r="AG16" s="200">
        <f t="shared" si="31"/>
        <v>127632.41637560019</v>
      </c>
      <c r="AH16" s="86">
        <f t="shared" si="13"/>
        <v>-55076.678099266937</v>
      </c>
      <c r="AI16" s="225">
        <f t="shared" si="14"/>
        <v>-0.75909472369371833</v>
      </c>
      <c r="AJ16" s="220">
        <f>Deprec!O15</f>
        <v>11772.340832965107</v>
      </c>
      <c r="AK16" s="122">
        <f t="shared" si="32"/>
        <v>-66849.018932232051</v>
      </c>
      <c r="AL16" s="221">
        <f t="shared" si="33"/>
        <v>17929.97276371621</v>
      </c>
      <c r="AM16" s="122">
        <f t="shared" si="34"/>
        <v>-84778.991695948265</v>
      </c>
      <c r="AN16" s="438">
        <f>IF(AM16&lt;0,0,(AM16*Pyre_Inputs!$J$14))</f>
        <v>0</v>
      </c>
      <c r="AO16" s="86">
        <f t="shared" si="35"/>
        <v>-84778.991695948265</v>
      </c>
      <c r="AP16" s="226">
        <f t="shared" si="16"/>
        <v>-1.168467080757444</v>
      </c>
      <c r="AS16" s="196">
        <f t="shared" si="17"/>
        <v>72555.738276333257</v>
      </c>
      <c r="AT16" s="86">
        <f t="shared" si="18"/>
        <v>127632.41637560019</v>
      </c>
      <c r="AU16" s="197">
        <f t="shared" si="36"/>
        <v>-55076.678099266937</v>
      </c>
      <c r="AV16" s="218">
        <f>IF(B16=0,Pyre_Inputs!$C$29,0)</f>
        <v>0</v>
      </c>
      <c r="AW16" s="198">
        <f t="shared" si="5"/>
        <v>0</v>
      </c>
      <c r="AX16" s="197">
        <f t="shared" si="6"/>
        <v>-55076.678099266937</v>
      </c>
      <c r="AY16" s="184">
        <f>IF(B16=0,Pyre_Inputs!$G$15+Pyre_Inputs!$G$16,0)</f>
        <v>0</v>
      </c>
      <c r="AZ16" s="185">
        <f>IF(B16=0,Pyre_Inputs!$G$14,0)</f>
        <v>0</v>
      </c>
      <c r="BA16" s="132">
        <f t="shared" si="37"/>
        <v>0</v>
      </c>
      <c r="BB16" s="218">
        <f t="shared" si="38"/>
        <v>-55076.678099266937</v>
      </c>
      <c r="BC16" s="218">
        <f>Pyre_Inputs!$G$20*AVERAGE(BR16,BS16)</f>
        <v>0</v>
      </c>
      <c r="BD16" s="200">
        <f t="shared" si="9"/>
        <v>0</v>
      </c>
      <c r="BE16" s="200">
        <f t="shared" si="19"/>
        <v>-55076.678099266937</v>
      </c>
      <c r="BF16" s="86">
        <f t="shared" si="20"/>
        <v>-55076.678099266937</v>
      </c>
      <c r="BG16" s="197">
        <f t="shared" si="21"/>
        <v>-55076.678099266937</v>
      </c>
      <c r="BH16" s="86">
        <f t="shared" si="39"/>
        <v>149843.62547200717</v>
      </c>
      <c r="BI16" s="86">
        <f t="shared" si="40"/>
        <v>131363.08046375573</v>
      </c>
      <c r="BJ16" s="122">
        <f>-Debt_Calc!BA14</f>
        <v>17929.97276371621</v>
      </c>
      <c r="BK16" s="122">
        <f>Debt_Calc!BB14</f>
        <v>18480.54500825144</v>
      </c>
      <c r="BL16" s="86">
        <f t="shared" si="22"/>
        <v>36410.51777196765</v>
      </c>
      <c r="BM16" s="423">
        <f t="shared" si="41"/>
        <v>-1.5126584698465977</v>
      </c>
      <c r="BN16" s="86">
        <f t="shared" si="42"/>
        <v>-91487.19587123458</v>
      </c>
      <c r="BO16" s="86">
        <f t="shared" si="23"/>
        <v>-91487.19587123458</v>
      </c>
      <c r="BP16" s="86">
        <f t="shared" si="43"/>
        <v>-91487.19587123458</v>
      </c>
      <c r="BQ16" s="86">
        <f t="shared" si="24"/>
        <v>0</v>
      </c>
      <c r="BR16" s="86">
        <f t="shared" si="25"/>
        <v>0</v>
      </c>
      <c r="BS16" s="86">
        <f t="shared" si="10"/>
        <v>0</v>
      </c>
      <c r="BT16" s="86">
        <f t="shared" si="26"/>
        <v>-539976.29129790002</v>
      </c>
      <c r="BU16" s="86">
        <f t="shared" si="44"/>
        <v>0</v>
      </c>
      <c r="BV16" s="214" t="e">
        <f t="shared" si="11"/>
        <v>#VALUE!</v>
      </c>
    </row>
    <row r="17" spans="2:74" s="86" customFormat="1" x14ac:dyDescent="0.3">
      <c r="B17" s="192">
        <f t="shared" si="27"/>
        <v>6</v>
      </c>
      <c r="C17" s="350">
        <f t="shared" si="12"/>
        <v>2027</v>
      </c>
      <c r="D17" s="351">
        <f t="shared" si="28"/>
        <v>46388</v>
      </c>
      <c r="E17" s="441">
        <f t="shared" si="28"/>
        <v>46752</v>
      </c>
      <c r="F17" s="445">
        <f>IF(AND(B17&gt;0,B17&lt;=Pyre_Inputs!$J$17),1,0)</f>
        <v>1</v>
      </c>
      <c r="G17" s="447">
        <f>IF(F17=1,Pyre_Inputs!$G$31,0)</f>
        <v>20195.999999999985</v>
      </c>
      <c r="H17" s="348">
        <f>IF(AND(F16=0,F17=1),100%,IF(AND(F16=0,F17=0),100%,H16-Pyre_Inputs!$G$45))*F17</f>
        <v>0.99750000000000028</v>
      </c>
      <c r="I17" s="216">
        <f t="shared" si="29"/>
        <v>20145.509999999991</v>
      </c>
      <c r="J17" s="219">
        <f>Pyre_Inputs!$J$11</f>
        <v>0.01</v>
      </c>
      <c r="K17" s="444">
        <f>IF(B17=1,Pyre_Inputs!$R$15,K16*(1+Pyre_CashFlows!J17))*F17</f>
        <v>3.6357769837107683</v>
      </c>
      <c r="L17" s="338">
        <f>IF(B17=1,Pyre_Inputs!$R$16,L16*(1+Pyre_CashFlows!J17))*F17</f>
        <v>3.6357769837107683</v>
      </c>
      <c r="M17" s="122">
        <f>K17*I17*Pyre_Inputs!$J$9</f>
        <v>36622.290791557542</v>
      </c>
      <c r="N17" s="222">
        <f>L17*I17*Pyre_Inputs!$J$10</f>
        <v>36622.290791557542</v>
      </c>
      <c r="O17" s="423">
        <f t="shared" si="30"/>
        <v>0</v>
      </c>
      <c r="P17" s="122">
        <f>SUM(M17:O17)+IF(B17=Pyre_Inputs!$J$17,Pyre_Inputs!$J$19,0)</f>
        <v>73244.581583115083</v>
      </c>
      <c r="Q17" s="218">
        <f>IF(B17=1,Pyre_Inputs!$O$7,Q16*(1+Pyre_Inputs!$N$23))*F17</f>
        <v>17306.298442463249</v>
      </c>
      <c r="R17" s="122">
        <f>IF(B17=1,Pyre_Inputs!$O$8,R16*(1+Pyre_Inputs!$N$23))*F17</f>
        <v>3085.4657794563063</v>
      </c>
      <c r="S17" s="122">
        <f>IF(B17=1,Pyre_Inputs!$O$9,S16*(1+Pyre_Inputs!$N$23))*F17</f>
        <v>30932.121321622333</v>
      </c>
      <c r="T17" s="122">
        <f>IF(B17=1,Pyre_Inputs!$O$10,T16*(1+Pyre_Inputs!$N$23))*F17</f>
        <v>46576.164679150592</v>
      </c>
      <c r="U17" s="122">
        <f>IF(B17=1,Pyre_Inputs!$O$11,U16*(1+Pyre_Inputs!$N$23))*F17</f>
        <v>18650.081615642757</v>
      </c>
      <c r="V17" s="122">
        <f>IF(B17=1,Pyre_Inputs!$O$12,V16*(1+Pyre_Inputs!$N$23))*F17</f>
        <v>96.954052898953819</v>
      </c>
      <c r="W17" s="122">
        <f>IF(B17=1,Pyre_Inputs!$O$13,W16*(1+Pyre_Inputs!$N$23))*F17</f>
        <v>0</v>
      </c>
      <c r="X17" s="122">
        <f>IF(B17=1,Pyre_Inputs!$O$14,X16*(1+Pyre_Inputs!$N$23))*F17</f>
        <v>367.14075981511314</v>
      </c>
      <c r="Y17" s="122">
        <f>IF(B17=1,Pyre_Inputs!$O$15,Y16*(1+Pyre_Inputs!$N$23))*F17</f>
        <v>367.14075981511314</v>
      </c>
      <c r="Z17" s="122">
        <f>IF(B17=1,Pyre_Inputs!$O$16,Z16*(1+Pyre_Inputs!$N$23))*F17</f>
        <v>11312.967078271389</v>
      </c>
      <c r="AA17" s="122">
        <f>IF(B17=1,Pyre_Inputs!$O$17,AA16*(1+Pyre_Inputs!$N$23))*F17</f>
        <v>214.40605022039983</v>
      </c>
      <c r="AB17" s="181">
        <f>IF(B17=1,Pyre_Inputs!$O$18,AB16*(1+Pyre_Inputs!$N$23))*F17</f>
        <v>0</v>
      </c>
      <c r="AC17" s="482">
        <f>IF(B17=1,Pyre_Inputs!$O$19,AC16*(1+Pyre_Inputs!$N$23))*F17</f>
        <v>0</v>
      </c>
      <c r="AD17" s="122">
        <f>IF(B17=1,Pyre_Inputs!$O$20,AD16*(1+Pyre_Inputs!$N$23))*F17</f>
        <v>0</v>
      </c>
      <c r="AE17" s="122">
        <f>IF(B17=1,Pyre_Inputs!$O$21,AE16*(1+Pyre_Inputs!$N$23))*F17</f>
        <v>0</v>
      </c>
      <c r="AF17" s="132">
        <f>IF(B17=1,Pyre_Inputs!$O$22,AF16*(1+Pyre_Inputs!$N$23))*F17</f>
        <v>0</v>
      </c>
      <c r="AG17" s="200">
        <f t="shared" si="31"/>
        <v>128908.74053935622</v>
      </c>
      <c r="AH17" s="86">
        <f t="shared" si="13"/>
        <v>-55664.158956241139</v>
      </c>
      <c r="AI17" s="225">
        <f t="shared" si="14"/>
        <v>-0.75997647543491842</v>
      </c>
      <c r="AJ17" s="220">
        <f>Deprec!O16</f>
        <v>11772.340832965107</v>
      </c>
      <c r="AK17" s="122">
        <f t="shared" si="32"/>
        <v>-67436.499789206253</v>
      </c>
      <c r="AL17" s="221">
        <f t="shared" si="33"/>
        <v>15718.62965443939</v>
      </c>
      <c r="AM17" s="122">
        <f t="shared" si="34"/>
        <v>-83155.129443645637</v>
      </c>
      <c r="AN17" s="438">
        <f>IF(AM17&lt;0,0,(AM17*Pyre_Inputs!$J$14))</f>
        <v>0</v>
      </c>
      <c r="AO17" s="86">
        <f t="shared" si="35"/>
        <v>-83155.129443645637</v>
      </c>
      <c r="AP17" s="226">
        <f t="shared" si="16"/>
        <v>-1.1353075906274985</v>
      </c>
      <c r="AS17" s="196">
        <f t="shared" si="17"/>
        <v>73244.581583115083</v>
      </c>
      <c r="AT17" s="86">
        <f t="shared" si="18"/>
        <v>128908.74053935622</v>
      </c>
      <c r="AU17" s="197">
        <f t="shared" si="36"/>
        <v>-55664.158956241139</v>
      </c>
      <c r="AV17" s="218">
        <f>IF(B17=0,Pyre_Inputs!$C$29,0)</f>
        <v>0</v>
      </c>
      <c r="AW17" s="198">
        <f t="shared" si="5"/>
        <v>0</v>
      </c>
      <c r="AX17" s="197">
        <f t="shared" si="6"/>
        <v>-55664.158956241139</v>
      </c>
      <c r="AY17" s="184">
        <f>IF(B17=0,Pyre_Inputs!$G$15+Pyre_Inputs!$G$16,0)</f>
        <v>0</v>
      </c>
      <c r="AZ17" s="185">
        <f>IF(B17=0,Pyre_Inputs!$G$14,0)</f>
        <v>0</v>
      </c>
      <c r="BA17" s="132">
        <f t="shared" si="37"/>
        <v>0</v>
      </c>
      <c r="BB17" s="218">
        <f t="shared" si="38"/>
        <v>-55664.158956241139</v>
      </c>
      <c r="BC17" s="218">
        <f>Pyre_Inputs!$G$20*AVERAGE(BR17,BS17)</f>
        <v>0</v>
      </c>
      <c r="BD17" s="200">
        <f t="shared" si="9"/>
        <v>0</v>
      </c>
      <c r="BE17" s="200">
        <f t="shared" si="19"/>
        <v>-55664.158956241139</v>
      </c>
      <c r="BF17" s="86">
        <f t="shared" si="20"/>
        <v>-55664.158956241139</v>
      </c>
      <c r="BG17" s="197">
        <f t="shared" si="21"/>
        <v>-55664.158956241139</v>
      </c>
      <c r="BH17" s="86">
        <f t="shared" si="39"/>
        <v>131363.08046375573</v>
      </c>
      <c r="BI17" s="86">
        <f t="shared" si="40"/>
        <v>110671.19234622747</v>
      </c>
      <c r="BJ17" s="122">
        <f>-Debt_Calc!BA15</f>
        <v>15718.62965443939</v>
      </c>
      <c r="BK17" s="122">
        <f>Debt_Calc!BB15</f>
        <v>20691.888117528266</v>
      </c>
      <c r="BL17" s="86">
        <f t="shared" si="22"/>
        <v>36410.517771967658</v>
      </c>
      <c r="BM17" s="423">
        <f t="shared" si="41"/>
        <v>-1.5287933916473113</v>
      </c>
      <c r="BN17" s="86">
        <f t="shared" si="42"/>
        <v>-92074.676728208797</v>
      </c>
      <c r="BO17" s="86">
        <f t="shared" si="23"/>
        <v>-92074.676728208797</v>
      </c>
      <c r="BP17" s="86">
        <f t="shared" si="43"/>
        <v>-92074.676728208797</v>
      </c>
      <c r="BQ17" s="86">
        <f t="shared" si="24"/>
        <v>0</v>
      </c>
      <c r="BR17" s="86">
        <f t="shared" si="25"/>
        <v>0</v>
      </c>
      <c r="BS17" s="86">
        <f t="shared" si="10"/>
        <v>0</v>
      </c>
      <c r="BT17" s="86">
        <f t="shared" si="26"/>
        <v>-632050.96802610881</v>
      </c>
      <c r="BU17" s="86">
        <f t="shared" si="44"/>
        <v>0</v>
      </c>
      <c r="BV17" s="214" t="e">
        <f t="shared" si="11"/>
        <v>#VALUE!</v>
      </c>
    </row>
    <row r="18" spans="2:74" s="86" customFormat="1" x14ac:dyDescent="0.3">
      <c r="B18" s="192">
        <f t="shared" si="27"/>
        <v>7</v>
      </c>
      <c r="C18" s="350">
        <f t="shared" si="12"/>
        <v>2028</v>
      </c>
      <c r="D18" s="351">
        <f t="shared" si="28"/>
        <v>46753</v>
      </c>
      <c r="E18" s="441">
        <f t="shared" si="28"/>
        <v>47118</v>
      </c>
      <c r="F18" s="445">
        <f>IF(AND(B18&gt;0,B18&lt;=Pyre_Inputs!$J$17),1,0)</f>
        <v>1</v>
      </c>
      <c r="G18" s="447">
        <f>IF(F18=1,Pyre_Inputs!$G$31,0)</f>
        <v>20195.999999999985</v>
      </c>
      <c r="H18" s="348">
        <f>IF(AND(F17=0,F18=1),100%,IF(AND(F17=0,F18=0),100%,H17-Pyre_Inputs!$G$45))*F18</f>
        <v>0.99700000000000033</v>
      </c>
      <c r="I18" s="216">
        <f t="shared" si="29"/>
        <v>20135.411999999993</v>
      </c>
      <c r="J18" s="219">
        <f>Pyre_Inputs!$J$11</f>
        <v>0.01</v>
      </c>
      <c r="K18" s="444">
        <f>IF(B18=1,Pyre_Inputs!$R$15,K17*(1+Pyre_CashFlows!J18))*F18</f>
        <v>3.6721347535478759</v>
      </c>
      <c r="L18" s="338">
        <f>IF(B18=1,Pyre_Inputs!$R$16,L17*(1+Pyre_CashFlows!J18))*F18</f>
        <v>3.6721347535478759</v>
      </c>
      <c r="M18" s="122">
        <f>K18*I18*Pyre_Inputs!$J$9</f>
        <v>36969.97309110246</v>
      </c>
      <c r="N18" s="222">
        <f>L18*I18*Pyre_Inputs!$J$10</f>
        <v>36969.97309110246</v>
      </c>
      <c r="O18" s="423">
        <f t="shared" si="30"/>
        <v>0</v>
      </c>
      <c r="P18" s="122">
        <f>SUM(M18:O18)+IF(B18=Pyre_Inputs!$J$17,Pyre_Inputs!$J$19,0)</f>
        <v>73939.94618220492</v>
      </c>
      <c r="Q18" s="218">
        <f>IF(B18=1,Pyre_Inputs!$O$7,Q17*(1+Pyre_Inputs!$N$23))*F18</f>
        <v>17479.361426887881</v>
      </c>
      <c r="R18" s="122">
        <f>IF(B18=1,Pyre_Inputs!$O$8,R17*(1+Pyre_Inputs!$N$23))*F18</f>
        <v>3116.3204372508694</v>
      </c>
      <c r="S18" s="122">
        <f>IF(B18=1,Pyre_Inputs!$O$9,S17*(1+Pyre_Inputs!$N$23))*F18</f>
        <v>31241.442534838556</v>
      </c>
      <c r="T18" s="122">
        <f>IF(B18=1,Pyre_Inputs!$O$10,T17*(1+Pyre_Inputs!$N$23))*F18</f>
        <v>47041.926325942099</v>
      </c>
      <c r="U18" s="122">
        <f>IF(B18=1,Pyre_Inputs!$O$11,U17*(1+Pyre_Inputs!$N$23))*F18</f>
        <v>18836.582431799186</v>
      </c>
      <c r="V18" s="122">
        <f>IF(B18=1,Pyre_Inputs!$O$12,V17*(1+Pyre_Inputs!$N$23))*F18</f>
        <v>97.923593427943359</v>
      </c>
      <c r="W18" s="122">
        <f>IF(B18=1,Pyre_Inputs!$O$13,W17*(1+Pyre_Inputs!$N$23))*F18</f>
        <v>0</v>
      </c>
      <c r="X18" s="122">
        <f>IF(B18=1,Pyre_Inputs!$O$14,X17*(1+Pyre_Inputs!$N$23))*F18</f>
        <v>370.81216741326426</v>
      </c>
      <c r="Y18" s="122">
        <f>IF(B18=1,Pyre_Inputs!$O$15,Y17*(1+Pyre_Inputs!$N$23))*F18</f>
        <v>370.81216741326426</v>
      </c>
      <c r="Z18" s="122">
        <f>IF(B18=1,Pyre_Inputs!$O$16,Z17*(1+Pyre_Inputs!$N$23))*F18</f>
        <v>11426.096749054102</v>
      </c>
      <c r="AA18" s="122">
        <f>IF(B18=1,Pyre_Inputs!$O$17,AA17*(1+Pyre_Inputs!$N$23))*F18</f>
        <v>216.55011072260385</v>
      </c>
      <c r="AB18" s="181">
        <f>IF(B18=1,Pyre_Inputs!$O$18,AB17*(1+Pyre_Inputs!$N$23))*F18</f>
        <v>0</v>
      </c>
      <c r="AC18" s="482">
        <f>IF(B18=1,Pyre_Inputs!$O$19,AC17*(1+Pyre_Inputs!$N$23))*F18</f>
        <v>0</v>
      </c>
      <c r="AD18" s="122">
        <f>IF(B18=1,Pyre_Inputs!$O$20,AD17*(1+Pyre_Inputs!$N$23))*F18</f>
        <v>0</v>
      </c>
      <c r="AE18" s="122">
        <f>IF(B18=1,Pyre_Inputs!$O$21,AE17*(1+Pyre_Inputs!$N$23))*F18</f>
        <v>0</v>
      </c>
      <c r="AF18" s="132">
        <f>IF(B18=1,Pyre_Inputs!$O$22,AF17*(1+Pyre_Inputs!$N$23))*F18</f>
        <v>0</v>
      </c>
      <c r="AG18" s="200">
        <f t="shared" si="31"/>
        <v>130197.82794474979</v>
      </c>
      <c r="AH18" s="86">
        <f t="shared" si="13"/>
        <v>-56257.881762544872</v>
      </c>
      <c r="AI18" s="225">
        <f t="shared" si="14"/>
        <v>-0.76085911158107422</v>
      </c>
      <c r="AJ18" s="220">
        <f>Deprec!O17</f>
        <v>11772.340832965107</v>
      </c>
      <c r="AK18" s="122">
        <f t="shared" si="32"/>
        <v>-68030.222595509986</v>
      </c>
      <c r="AL18" s="221">
        <f t="shared" si="33"/>
        <v>13242.68188416568</v>
      </c>
      <c r="AM18" s="122">
        <f t="shared" si="34"/>
        <v>-81272.904479675664</v>
      </c>
      <c r="AN18" s="438">
        <f>IF(AM18&lt;0,0,(AM18*Pyre_Inputs!$J$14))</f>
        <v>0</v>
      </c>
      <c r="AO18" s="86">
        <f t="shared" si="35"/>
        <v>-81272.904479675664</v>
      </c>
      <c r="AP18" s="226">
        <f t="shared" si="16"/>
        <v>-1.0991745149421757</v>
      </c>
      <c r="AS18" s="196">
        <f t="shared" si="17"/>
        <v>73939.94618220492</v>
      </c>
      <c r="AT18" s="86">
        <f t="shared" si="18"/>
        <v>130197.82794474979</v>
      </c>
      <c r="AU18" s="197">
        <f t="shared" si="36"/>
        <v>-56257.881762544872</v>
      </c>
      <c r="AV18" s="218">
        <f>IF(B18=0,Pyre_Inputs!$C$29,0)</f>
        <v>0</v>
      </c>
      <c r="AW18" s="198">
        <f t="shared" si="5"/>
        <v>0</v>
      </c>
      <c r="AX18" s="197">
        <f t="shared" si="6"/>
        <v>-56257.881762544872</v>
      </c>
      <c r="AY18" s="184">
        <f>IF(B18=0,Pyre_Inputs!$G$15+Pyre_Inputs!$G$16,0)</f>
        <v>0</v>
      </c>
      <c r="AZ18" s="185">
        <f>IF(B18=0,Pyre_Inputs!$G$14,0)</f>
        <v>0</v>
      </c>
      <c r="BA18" s="132">
        <f t="shared" si="37"/>
        <v>0</v>
      </c>
      <c r="BB18" s="218">
        <f t="shared" si="38"/>
        <v>-56257.881762544872</v>
      </c>
      <c r="BC18" s="218">
        <f>Pyre_Inputs!$G$20*AVERAGE(BR18,BS18)</f>
        <v>0</v>
      </c>
      <c r="BD18" s="200">
        <f t="shared" si="9"/>
        <v>0</v>
      </c>
      <c r="BE18" s="200">
        <f t="shared" si="19"/>
        <v>-56257.881762544872</v>
      </c>
      <c r="BF18" s="86">
        <f t="shared" si="20"/>
        <v>-56257.881762544872</v>
      </c>
      <c r="BG18" s="197">
        <f t="shared" si="21"/>
        <v>-56257.881762544872</v>
      </c>
      <c r="BH18" s="86">
        <f t="shared" si="39"/>
        <v>110671.19234622747</v>
      </c>
      <c r="BI18" s="86">
        <f t="shared" si="40"/>
        <v>87503.356458425493</v>
      </c>
      <c r="BJ18" s="122">
        <f>-Debt_Calc!BA16</f>
        <v>13242.68188416568</v>
      </c>
      <c r="BK18" s="122">
        <f>Debt_Calc!BB16</f>
        <v>23167.835887801986</v>
      </c>
      <c r="BL18" s="86">
        <f t="shared" si="22"/>
        <v>36410.517771967665</v>
      </c>
      <c r="BM18" s="423">
        <f t="shared" si="41"/>
        <v>-1.5450997460370537</v>
      </c>
      <c r="BN18" s="86">
        <f t="shared" si="42"/>
        <v>-92668.399534512544</v>
      </c>
      <c r="BO18" s="86">
        <f t="shared" si="23"/>
        <v>-92668.399534512544</v>
      </c>
      <c r="BP18" s="86">
        <f t="shared" si="43"/>
        <v>-92668.399534512544</v>
      </c>
      <c r="BQ18" s="86">
        <f t="shared" si="24"/>
        <v>0</v>
      </c>
      <c r="BR18" s="86">
        <f t="shared" si="25"/>
        <v>0</v>
      </c>
      <c r="BS18" s="86">
        <f t="shared" si="10"/>
        <v>0</v>
      </c>
      <c r="BT18" s="86">
        <f t="shared" si="26"/>
        <v>-724719.36756062135</v>
      </c>
      <c r="BU18" s="86">
        <f t="shared" si="44"/>
        <v>0</v>
      </c>
      <c r="BV18" s="214" t="e">
        <f t="shared" si="11"/>
        <v>#VALUE!</v>
      </c>
    </row>
    <row r="19" spans="2:74" s="86" customFormat="1" x14ac:dyDescent="0.3">
      <c r="B19" s="192">
        <f t="shared" si="27"/>
        <v>8</v>
      </c>
      <c r="C19" s="350">
        <f t="shared" si="12"/>
        <v>2029</v>
      </c>
      <c r="D19" s="351">
        <f t="shared" si="28"/>
        <v>47119</v>
      </c>
      <c r="E19" s="441">
        <f t="shared" si="28"/>
        <v>47483</v>
      </c>
      <c r="F19" s="445">
        <f>IF(AND(B19&gt;0,B19&lt;=Pyre_Inputs!$J$17),1,0)</f>
        <v>1</v>
      </c>
      <c r="G19" s="447">
        <f>IF(F19=1,Pyre_Inputs!$G$31,0)</f>
        <v>20195.999999999985</v>
      </c>
      <c r="H19" s="348">
        <f>IF(AND(F18=0,F19=1),100%,IF(AND(F18=0,F19=0),100%,H18-Pyre_Inputs!$G$45))*F19</f>
        <v>0.99650000000000039</v>
      </c>
      <c r="I19" s="216">
        <f t="shared" si="29"/>
        <v>20125.313999999995</v>
      </c>
      <c r="J19" s="219">
        <f>Pyre_Inputs!$J$11</f>
        <v>0.01</v>
      </c>
      <c r="K19" s="444">
        <f>IF(B19=1,Pyre_Inputs!$R$15,K18*(1+Pyre_CashFlows!J19))*F19</f>
        <v>3.7088561010833545</v>
      </c>
      <c r="L19" s="338">
        <f>IF(B19=1,Pyre_Inputs!$R$16,L18*(1+Pyre_CashFlows!J19))*F19</f>
        <v>3.7088561010833545</v>
      </c>
      <c r="M19" s="122">
        <f>K19*I19*Pyre_Inputs!$J$9</f>
        <v>37320.946807559114</v>
      </c>
      <c r="N19" s="222">
        <f>L19*I19*Pyre_Inputs!$J$10</f>
        <v>37320.946807559114</v>
      </c>
      <c r="O19" s="423">
        <f t="shared" si="30"/>
        <v>0</v>
      </c>
      <c r="P19" s="122">
        <f>SUM(M19:O19)+IF(B19=Pyre_Inputs!$J$17,Pyre_Inputs!$J$19,0)</f>
        <v>74641.893615118228</v>
      </c>
      <c r="Q19" s="218">
        <f>IF(B19=1,Pyre_Inputs!$O$7,Q18*(1+Pyre_Inputs!$N$23))*F19</f>
        <v>17654.155041156759</v>
      </c>
      <c r="R19" s="122">
        <f>IF(B19=1,Pyre_Inputs!$O$8,R18*(1+Pyre_Inputs!$N$23))*F19</f>
        <v>3147.4836416233779</v>
      </c>
      <c r="S19" s="122">
        <f>IF(B19=1,Pyre_Inputs!$O$9,S18*(1+Pyre_Inputs!$N$23))*F19</f>
        <v>31553.856960186942</v>
      </c>
      <c r="T19" s="122">
        <f>IF(B19=1,Pyre_Inputs!$O$10,T18*(1+Pyre_Inputs!$N$23))*F19</f>
        <v>47512.345589201519</v>
      </c>
      <c r="U19" s="122">
        <f>IF(B19=1,Pyre_Inputs!$O$11,U18*(1+Pyre_Inputs!$N$23))*F19</f>
        <v>19024.948256117179</v>
      </c>
      <c r="V19" s="122">
        <f>IF(B19=1,Pyre_Inputs!$O$12,V18*(1+Pyre_Inputs!$N$23))*F19</f>
        <v>98.902829362222789</v>
      </c>
      <c r="W19" s="122">
        <f>IF(B19=1,Pyre_Inputs!$O$13,W18*(1+Pyre_Inputs!$N$23))*F19</f>
        <v>0</v>
      </c>
      <c r="X19" s="122">
        <f>IF(B19=1,Pyre_Inputs!$O$14,X18*(1+Pyre_Inputs!$N$23))*F19</f>
        <v>374.52028908739692</v>
      </c>
      <c r="Y19" s="122">
        <f>IF(B19=1,Pyre_Inputs!$O$15,Y18*(1+Pyre_Inputs!$N$23))*F19</f>
        <v>374.52028908739692</v>
      </c>
      <c r="Z19" s="122">
        <f>IF(B19=1,Pyre_Inputs!$O$16,Z18*(1+Pyre_Inputs!$N$23))*F19</f>
        <v>11540.357716544644</v>
      </c>
      <c r="AA19" s="122">
        <f>IF(B19=1,Pyre_Inputs!$O$17,AA18*(1+Pyre_Inputs!$N$23))*F19</f>
        <v>218.7156118298299</v>
      </c>
      <c r="AB19" s="181">
        <f>IF(B19=1,Pyre_Inputs!$O$18,AB18*(1+Pyre_Inputs!$N$23))*F19</f>
        <v>0</v>
      </c>
      <c r="AC19" s="482">
        <f>IF(B19=1,Pyre_Inputs!$O$19,AC18*(1+Pyre_Inputs!$N$23))*F19</f>
        <v>0</v>
      </c>
      <c r="AD19" s="122">
        <f>IF(B19=1,Pyre_Inputs!$O$20,AD18*(1+Pyre_Inputs!$N$23))*F19</f>
        <v>0</v>
      </c>
      <c r="AE19" s="122">
        <f>IF(B19=1,Pyre_Inputs!$O$21,AE18*(1+Pyre_Inputs!$N$23))*F19</f>
        <v>0</v>
      </c>
      <c r="AF19" s="132">
        <f>IF(B19=1,Pyre_Inputs!$O$22,AF18*(1+Pyre_Inputs!$N$23))*F19</f>
        <v>0</v>
      </c>
      <c r="AG19" s="200">
        <f t="shared" si="31"/>
        <v>131499.80622419727</v>
      </c>
      <c r="AH19" s="86">
        <f t="shared" si="13"/>
        <v>-56857.912609079038</v>
      </c>
      <c r="AI19" s="225">
        <f t="shared" si="14"/>
        <v>-0.76174263346345272</v>
      </c>
      <c r="AJ19" s="220">
        <f>Deprec!O18</f>
        <v>11772.340832965107</v>
      </c>
      <c r="AK19" s="122">
        <f t="shared" si="32"/>
        <v>-68630.253442044137</v>
      </c>
      <c r="AL19" s="221">
        <f t="shared" si="33"/>
        <v>10470.467416222642</v>
      </c>
      <c r="AM19" s="122">
        <f t="shared" si="34"/>
        <v>-79100.720858266781</v>
      </c>
      <c r="AN19" s="438">
        <f>IF(AM19&lt;0,0,(AM19*Pyre_Inputs!$J$14))</f>
        <v>0</v>
      </c>
      <c r="AO19" s="86">
        <f t="shared" si="35"/>
        <v>-79100.720858266781</v>
      </c>
      <c r="AP19" s="226">
        <f t="shared" si="16"/>
        <v>-1.0597362557029963</v>
      </c>
      <c r="AS19" s="196">
        <f t="shared" si="17"/>
        <v>74641.893615118228</v>
      </c>
      <c r="AT19" s="86">
        <f t="shared" si="18"/>
        <v>131499.80622419727</v>
      </c>
      <c r="AU19" s="197">
        <f t="shared" si="36"/>
        <v>-56857.912609079038</v>
      </c>
      <c r="AV19" s="218">
        <f>IF(B19=0,Pyre_Inputs!$C$29,0)</f>
        <v>0</v>
      </c>
      <c r="AW19" s="198">
        <f t="shared" si="5"/>
        <v>0</v>
      </c>
      <c r="AX19" s="197">
        <f t="shared" si="6"/>
        <v>-56857.912609079038</v>
      </c>
      <c r="AY19" s="184">
        <f>IF(B19=0,Pyre_Inputs!$G$15+Pyre_Inputs!$G$16,0)</f>
        <v>0</v>
      </c>
      <c r="AZ19" s="185">
        <f>IF(B19=0,Pyre_Inputs!$G$14,0)</f>
        <v>0</v>
      </c>
      <c r="BA19" s="132">
        <f t="shared" si="37"/>
        <v>0</v>
      </c>
      <c r="BB19" s="218">
        <f t="shared" si="38"/>
        <v>-56857.912609079038</v>
      </c>
      <c r="BC19" s="218">
        <f>Pyre_Inputs!$G$20*AVERAGE(BR19,BS19)</f>
        <v>0</v>
      </c>
      <c r="BD19" s="200">
        <f t="shared" si="9"/>
        <v>0</v>
      </c>
      <c r="BE19" s="200">
        <f t="shared" si="19"/>
        <v>-56857.912609079038</v>
      </c>
      <c r="BF19" s="86">
        <f t="shared" si="20"/>
        <v>-56857.912609079038</v>
      </c>
      <c r="BG19" s="197">
        <f t="shared" si="21"/>
        <v>-56857.912609079038</v>
      </c>
      <c r="BH19" s="86">
        <f t="shared" si="39"/>
        <v>87503.356458425493</v>
      </c>
      <c r="BI19" s="86">
        <f t="shared" si="40"/>
        <v>61563.306102680457</v>
      </c>
      <c r="BJ19" s="122">
        <f>-Debt_Calc!BA17</f>
        <v>10470.467416222642</v>
      </c>
      <c r="BK19" s="122">
        <f>Debt_Calc!BB17</f>
        <v>25940.050355745036</v>
      </c>
      <c r="BL19" s="86">
        <f t="shared" si="22"/>
        <v>36410.517771967679</v>
      </c>
      <c r="BM19" s="423">
        <f t="shared" si="41"/>
        <v>-1.5615793481754257</v>
      </c>
      <c r="BN19" s="86">
        <f t="shared" si="42"/>
        <v>-93268.430381046725</v>
      </c>
      <c r="BO19" s="86">
        <f t="shared" si="23"/>
        <v>-93268.430381046725</v>
      </c>
      <c r="BP19" s="86">
        <f t="shared" si="43"/>
        <v>-93268.430381046725</v>
      </c>
      <c r="BQ19" s="86">
        <f t="shared" si="24"/>
        <v>0</v>
      </c>
      <c r="BR19" s="86">
        <f t="shared" si="25"/>
        <v>0</v>
      </c>
      <c r="BS19" s="86">
        <f t="shared" si="10"/>
        <v>0</v>
      </c>
      <c r="BT19" s="86">
        <f t="shared" si="26"/>
        <v>-817987.79794166808</v>
      </c>
      <c r="BU19" s="86">
        <f t="shared" si="44"/>
        <v>0</v>
      </c>
      <c r="BV19" s="214" t="e">
        <f t="shared" si="11"/>
        <v>#VALUE!</v>
      </c>
    </row>
    <row r="20" spans="2:74" s="86" customFormat="1" x14ac:dyDescent="0.3">
      <c r="B20" s="192">
        <f t="shared" si="27"/>
        <v>9</v>
      </c>
      <c r="C20" s="350">
        <f t="shared" si="12"/>
        <v>2030</v>
      </c>
      <c r="D20" s="351">
        <f t="shared" si="28"/>
        <v>47484</v>
      </c>
      <c r="E20" s="441">
        <f t="shared" si="28"/>
        <v>47848</v>
      </c>
      <c r="F20" s="445">
        <f>IF(AND(B20&gt;0,B20&lt;=Pyre_Inputs!$J$17),1,0)</f>
        <v>1</v>
      </c>
      <c r="G20" s="447">
        <f>IF(F20=1,Pyre_Inputs!$G$31,0)</f>
        <v>20195.999999999985</v>
      </c>
      <c r="H20" s="348">
        <f>IF(AND(F19=0,F20=1),100%,IF(AND(F19=0,F20=0),100%,H19-Pyre_Inputs!$G$45))*F20</f>
        <v>0.99600000000000044</v>
      </c>
      <c r="I20" s="216">
        <f t="shared" si="29"/>
        <v>20115.215999999993</v>
      </c>
      <c r="J20" s="219">
        <f>Pyre_Inputs!$J$11</f>
        <v>0.01</v>
      </c>
      <c r="K20" s="444">
        <f>IF(B20=1,Pyre_Inputs!$R$15,K19*(1+Pyre_CashFlows!J20))*F20</f>
        <v>3.7459446620941881</v>
      </c>
      <c r="L20" s="338">
        <f>IF(B20=1,Pyre_Inputs!$R$16,L19*(1+Pyre_CashFlows!J20))*F20</f>
        <v>3.7459446620941881</v>
      </c>
      <c r="M20" s="122">
        <f>K20*I20*Pyre_Inputs!$J$9</f>
        <v>37675.243001035793</v>
      </c>
      <c r="N20" s="222">
        <f>L20*I20*Pyre_Inputs!$J$10</f>
        <v>37675.243001035793</v>
      </c>
      <c r="O20" s="423">
        <f t="shared" si="30"/>
        <v>0</v>
      </c>
      <c r="P20" s="122">
        <f>SUM(M20:O20)+IF(B20=Pyre_Inputs!$J$17,Pyre_Inputs!$J$19,0)</f>
        <v>75350.486002071586</v>
      </c>
      <c r="Q20" s="218">
        <f>IF(B20=1,Pyre_Inputs!$O$7,Q19*(1+Pyre_Inputs!$N$23))*F20</f>
        <v>17830.696591568325</v>
      </c>
      <c r="R20" s="122">
        <f>IF(B20=1,Pyre_Inputs!$O$8,R19*(1+Pyre_Inputs!$N$23))*F20</f>
        <v>3178.9584780396117</v>
      </c>
      <c r="S20" s="122">
        <f>IF(B20=1,Pyre_Inputs!$O$9,S19*(1+Pyre_Inputs!$N$23))*F20</f>
        <v>31869.395529788813</v>
      </c>
      <c r="T20" s="122">
        <f>IF(B20=1,Pyre_Inputs!$O$10,T19*(1+Pyre_Inputs!$N$23))*F20</f>
        <v>47987.469045093538</v>
      </c>
      <c r="U20" s="122">
        <f>IF(B20=1,Pyre_Inputs!$O$11,U19*(1+Pyre_Inputs!$N$23))*F20</f>
        <v>19215.197738678351</v>
      </c>
      <c r="V20" s="122">
        <f>IF(B20=1,Pyre_Inputs!$O$12,V19*(1+Pyre_Inputs!$N$23))*F20</f>
        <v>99.891857655845016</v>
      </c>
      <c r="W20" s="122">
        <f>IF(B20=1,Pyre_Inputs!$O$13,W19*(1+Pyre_Inputs!$N$23))*F20</f>
        <v>0</v>
      </c>
      <c r="X20" s="122">
        <f>IF(B20=1,Pyre_Inputs!$O$14,X19*(1+Pyre_Inputs!$N$23))*F20</f>
        <v>378.26549197827092</v>
      </c>
      <c r="Y20" s="122">
        <f>IF(B20=1,Pyre_Inputs!$O$15,Y19*(1+Pyre_Inputs!$N$23))*F20</f>
        <v>378.26549197827092</v>
      </c>
      <c r="Z20" s="122">
        <f>IF(B20=1,Pyre_Inputs!$O$16,Z19*(1+Pyre_Inputs!$N$23))*F20</f>
        <v>11655.761293710091</v>
      </c>
      <c r="AA20" s="122">
        <f>IF(B20=1,Pyre_Inputs!$O$17,AA19*(1+Pyre_Inputs!$N$23))*F20</f>
        <v>220.9027679481282</v>
      </c>
      <c r="AB20" s="181">
        <f>IF(B20=1,Pyre_Inputs!$O$18,AB19*(1+Pyre_Inputs!$N$23))*F20</f>
        <v>0</v>
      </c>
      <c r="AC20" s="482">
        <f>IF(B20=1,Pyre_Inputs!$O$19,AC19*(1+Pyre_Inputs!$N$23))*F20</f>
        <v>0</v>
      </c>
      <c r="AD20" s="122">
        <f>IF(B20=1,Pyre_Inputs!$O$20,AD19*(1+Pyre_Inputs!$N$23))*F20</f>
        <v>0</v>
      </c>
      <c r="AE20" s="122">
        <f>IF(B20=1,Pyre_Inputs!$O$21,AE19*(1+Pyre_Inputs!$N$23))*F20</f>
        <v>0</v>
      </c>
      <c r="AF20" s="132">
        <f>IF(B20=1,Pyre_Inputs!$O$22,AF19*(1+Pyre_Inputs!$N$23))*F20</f>
        <v>0</v>
      </c>
      <c r="AG20" s="200">
        <f t="shared" si="31"/>
        <v>132814.80428643926</v>
      </c>
      <c r="AH20" s="86">
        <f t="shared" si="13"/>
        <v>-57464.318284367677</v>
      </c>
      <c r="AI20" s="225">
        <f t="shared" si="14"/>
        <v>-0.76262704241599488</v>
      </c>
      <c r="AJ20" s="220">
        <f>Deprec!O19</f>
        <v>11772.340832965107</v>
      </c>
      <c r="AK20" s="122">
        <f t="shared" si="32"/>
        <v>-69236.659117332776</v>
      </c>
      <c r="AL20" s="221">
        <f t="shared" si="33"/>
        <v>7366.5356012865213</v>
      </c>
      <c r="AM20" s="122">
        <f t="shared" si="34"/>
        <v>-76603.194718619299</v>
      </c>
      <c r="AN20" s="438">
        <f>IF(AM20&lt;0,0,(AM20*Pyre_Inputs!$J$14))</f>
        <v>0</v>
      </c>
      <c r="AO20" s="86">
        <f t="shared" si="35"/>
        <v>-76603.194718619299</v>
      </c>
      <c r="AP20" s="226">
        <f t="shared" si="16"/>
        <v>-1.0166250913964014</v>
      </c>
      <c r="AS20" s="196">
        <f t="shared" si="17"/>
        <v>75350.486002071586</v>
      </c>
      <c r="AT20" s="86">
        <f t="shared" si="18"/>
        <v>132814.80428643926</v>
      </c>
      <c r="AU20" s="197">
        <f t="shared" si="36"/>
        <v>-57464.318284367677</v>
      </c>
      <c r="AV20" s="218">
        <f>IF(B20=0,Pyre_Inputs!$C$29,0)</f>
        <v>0</v>
      </c>
      <c r="AW20" s="198">
        <f t="shared" si="5"/>
        <v>0</v>
      </c>
      <c r="AX20" s="197">
        <f t="shared" si="6"/>
        <v>-57464.318284367677</v>
      </c>
      <c r="AY20" s="184">
        <f>IF(B20=0,Pyre_Inputs!$G$15+Pyre_Inputs!$G$16,0)</f>
        <v>0</v>
      </c>
      <c r="AZ20" s="185">
        <f>IF(B20=0,Pyre_Inputs!$G$14,0)</f>
        <v>0</v>
      </c>
      <c r="BA20" s="132">
        <f t="shared" si="37"/>
        <v>0</v>
      </c>
      <c r="BB20" s="218">
        <f t="shared" si="38"/>
        <v>-57464.318284367677</v>
      </c>
      <c r="BC20" s="218">
        <f>Pyre_Inputs!$G$20*AVERAGE(BR20,BS20)</f>
        <v>0</v>
      </c>
      <c r="BD20" s="200">
        <f t="shared" si="9"/>
        <v>0</v>
      </c>
      <c r="BE20" s="200">
        <f t="shared" si="19"/>
        <v>-57464.318284367677</v>
      </c>
      <c r="BF20" s="86">
        <f t="shared" si="20"/>
        <v>-57464.318284367677</v>
      </c>
      <c r="BG20" s="197">
        <f t="shared" si="21"/>
        <v>-57464.318284367677</v>
      </c>
      <c r="BH20" s="86">
        <f t="shared" si="39"/>
        <v>61563.306102680457</v>
      </c>
      <c r="BI20" s="86">
        <f t="shared" si="40"/>
        <v>32519.323931999279</v>
      </c>
      <c r="BJ20" s="122">
        <f>-Debt_Calc!BA18</f>
        <v>7366.5356012865213</v>
      </c>
      <c r="BK20" s="122">
        <f>Debt_Calc!BB18</f>
        <v>29043.982170681178</v>
      </c>
      <c r="BL20" s="86">
        <f t="shared" si="22"/>
        <v>36410.517771967701</v>
      </c>
      <c r="BM20" s="423">
        <f t="shared" si="41"/>
        <v>-1.5782340323819619</v>
      </c>
      <c r="BN20" s="86">
        <f t="shared" si="42"/>
        <v>-93874.836056335378</v>
      </c>
      <c r="BO20" s="86">
        <f t="shared" si="23"/>
        <v>-93874.836056335378</v>
      </c>
      <c r="BP20" s="86">
        <f t="shared" si="43"/>
        <v>-93874.836056335378</v>
      </c>
      <c r="BQ20" s="86">
        <f t="shared" si="24"/>
        <v>0</v>
      </c>
      <c r="BR20" s="86">
        <f t="shared" si="25"/>
        <v>0</v>
      </c>
      <c r="BS20" s="86">
        <f t="shared" si="10"/>
        <v>0</v>
      </c>
      <c r="BT20" s="86">
        <f t="shared" si="26"/>
        <v>-911862.63399800344</v>
      </c>
      <c r="BU20" s="86">
        <f t="shared" si="44"/>
        <v>0</v>
      </c>
      <c r="BV20" s="214" t="e">
        <f t="shared" si="11"/>
        <v>#VALUE!</v>
      </c>
    </row>
    <row r="21" spans="2:74" s="86" customFormat="1" x14ac:dyDescent="0.3">
      <c r="B21" s="192">
        <f t="shared" si="27"/>
        <v>10</v>
      </c>
      <c r="C21" s="350">
        <f t="shared" si="12"/>
        <v>2031</v>
      </c>
      <c r="D21" s="351">
        <f t="shared" si="28"/>
        <v>47849</v>
      </c>
      <c r="E21" s="441">
        <f t="shared" si="28"/>
        <v>48213</v>
      </c>
      <c r="F21" s="445">
        <f>IF(AND(B21&gt;0,B21&lt;=Pyre_Inputs!$J$17),1,0)</f>
        <v>1</v>
      </c>
      <c r="G21" s="447">
        <f>IF(F21=1,Pyre_Inputs!$G$31,0)</f>
        <v>20195.999999999985</v>
      </c>
      <c r="H21" s="348">
        <f>IF(AND(F20=0,F21=1),100%,IF(AND(F20=0,F21=0),100%,H20-Pyre_Inputs!$G$45))*F21</f>
        <v>0.9955000000000005</v>
      </c>
      <c r="I21" s="216">
        <f t="shared" si="29"/>
        <v>20105.117999999995</v>
      </c>
      <c r="J21" s="219">
        <f>Pyre_Inputs!$J$11</f>
        <v>0.01</v>
      </c>
      <c r="K21" s="444">
        <f>IF(B21=1,Pyre_Inputs!$R$15,K20*(1+Pyre_CashFlows!J21))*F21</f>
        <v>3.7834041087151298</v>
      </c>
      <c r="L21" s="338">
        <f>IF(B21=1,Pyre_Inputs!$R$16,L20*(1+Pyre_CashFlows!J21))*F21</f>
        <v>3.7834041087151298</v>
      </c>
      <c r="M21" s="122">
        <f>K21*I21*Pyre_Inputs!$J$9</f>
        <v>38032.893023701246</v>
      </c>
      <c r="N21" s="222">
        <f>L21*I21*Pyre_Inputs!$J$10</f>
        <v>38032.893023701246</v>
      </c>
      <c r="O21" s="423">
        <f t="shared" si="30"/>
        <v>0</v>
      </c>
      <c r="P21" s="122">
        <f>SUM(M21:O21)+IF(B21=Pyre_Inputs!$J$17,Pyre_Inputs!$J$19,0)</f>
        <v>76065.786047402493</v>
      </c>
      <c r="Q21" s="218">
        <f>IF(B21=1,Pyre_Inputs!$O$7,Q20*(1+Pyre_Inputs!$N$23))*F21</f>
        <v>18009.003557484008</v>
      </c>
      <c r="R21" s="122">
        <f>IF(B21=1,Pyre_Inputs!$O$8,R20*(1+Pyre_Inputs!$N$23))*F21</f>
        <v>3210.7480628200078</v>
      </c>
      <c r="S21" s="122">
        <f>IF(B21=1,Pyre_Inputs!$O$9,S20*(1+Pyre_Inputs!$N$23))*F21</f>
        <v>32188.089485086701</v>
      </c>
      <c r="T21" s="122">
        <f>IF(B21=1,Pyre_Inputs!$O$10,T20*(1+Pyre_Inputs!$N$23))*F21</f>
        <v>48467.343735544477</v>
      </c>
      <c r="U21" s="122">
        <f>IF(B21=1,Pyre_Inputs!$O$11,U20*(1+Pyre_Inputs!$N$23))*F21</f>
        <v>19407.349716065135</v>
      </c>
      <c r="V21" s="122">
        <f>IF(B21=1,Pyre_Inputs!$O$12,V20*(1+Pyre_Inputs!$N$23))*F21</f>
        <v>100.89077623240347</v>
      </c>
      <c r="W21" s="122">
        <f>IF(B21=1,Pyre_Inputs!$O$13,W20*(1+Pyre_Inputs!$N$23))*F21</f>
        <v>0</v>
      </c>
      <c r="X21" s="122">
        <f>IF(B21=1,Pyre_Inputs!$O$14,X20*(1+Pyre_Inputs!$N$23))*F21</f>
        <v>382.04814689805363</v>
      </c>
      <c r="Y21" s="122">
        <f>IF(B21=1,Pyre_Inputs!$O$15,Y20*(1+Pyre_Inputs!$N$23))*F21</f>
        <v>382.04814689805363</v>
      </c>
      <c r="Z21" s="122">
        <f>IF(B21=1,Pyre_Inputs!$O$16,Z20*(1+Pyre_Inputs!$N$23))*F21</f>
        <v>11772.318906647191</v>
      </c>
      <c r="AA21" s="122">
        <f>IF(B21=1,Pyre_Inputs!$O$17,AA20*(1+Pyre_Inputs!$N$23))*F21</f>
        <v>223.1117956276095</v>
      </c>
      <c r="AB21" s="181">
        <f>IF(B21=1,Pyre_Inputs!$O$18,AB20*(1+Pyre_Inputs!$N$23))*F21</f>
        <v>0</v>
      </c>
      <c r="AC21" s="482">
        <f>IF(B21=1,Pyre_Inputs!$O$19,AC20*(1+Pyre_Inputs!$N$23))*F21</f>
        <v>0</v>
      </c>
      <c r="AD21" s="122">
        <f>IF(B21=1,Pyre_Inputs!$O$20,AD20*(1+Pyre_Inputs!$N$23))*F21</f>
        <v>0</v>
      </c>
      <c r="AE21" s="122">
        <f>IF(B21=1,Pyre_Inputs!$O$21,AE20*(1+Pyre_Inputs!$N$23))*F21</f>
        <v>0</v>
      </c>
      <c r="AF21" s="132">
        <f>IF(B21=1,Pyre_Inputs!$O$22,AF20*(1+Pyre_Inputs!$N$23))*F21</f>
        <v>0</v>
      </c>
      <c r="AG21" s="200">
        <f t="shared" si="31"/>
        <v>134142.95232930363</v>
      </c>
      <c r="AH21" s="86">
        <f t="shared" si="13"/>
        <v>-58077.16628190114</v>
      </c>
      <c r="AI21" s="225">
        <f t="shared" si="14"/>
        <v>-0.76351233977531963</v>
      </c>
      <c r="AJ21" s="220">
        <f>Deprec!O20</f>
        <v>11772.340832965107</v>
      </c>
      <c r="AK21" s="122">
        <f t="shared" si="32"/>
        <v>-69849.507114866254</v>
      </c>
      <c r="AL21" s="221">
        <f t="shared" si="33"/>
        <v>3891.1938399684368</v>
      </c>
      <c r="AM21" s="122">
        <f t="shared" si="34"/>
        <v>-73740.700954834698</v>
      </c>
      <c r="AN21" s="438">
        <f>IF(AM21&lt;0,0,(AM21*Pyre_Inputs!$J$14))</f>
        <v>0</v>
      </c>
      <c r="AO21" s="86">
        <f t="shared" si="35"/>
        <v>-73740.700954834698</v>
      </c>
      <c r="AP21" s="226">
        <f t="shared" si="16"/>
        <v>-0.96943323387049662</v>
      </c>
      <c r="AS21" s="196">
        <f t="shared" si="17"/>
        <v>76065.786047402493</v>
      </c>
      <c r="AT21" s="86">
        <f t="shared" si="18"/>
        <v>134142.95232930363</v>
      </c>
      <c r="AU21" s="197">
        <f t="shared" si="36"/>
        <v>-58077.16628190114</v>
      </c>
      <c r="AV21" s="218">
        <f>IF(B21=0,Pyre_Inputs!$C$29,0)</f>
        <v>0</v>
      </c>
      <c r="AW21" s="198">
        <f t="shared" si="5"/>
        <v>0</v>
      </c>
      <c r="AX21" s="197">
        <f t="shared" si="6"/>
        <v>-58077.16628190114</v>
      </c>
      <c r="AY21" s="184">
        <f>IF(B21=0,Pyre_Inputs!$G$15+Pyre_Inputs!$G$16,0)</f>
        <v>0</v>
      </c>
      <c r="AZ21" s="185">
        <f>IF(B21=0,Pyre_Inputs!$G$14,0)</f>
        <v>0</v>
      </c>
      <c r="BA21" s="132">
        <f t="shared" si="37"/>
        <v>0</v>
      </c>
      <c r="BB21" s="218">
        <f t="shared" si="38"/>
        <v>-58077.16628190114</v>
      </c>
      <c r="BC21" s="218">
        <f>Pyre_Inputs!$G$20*AVERAGE(BR21,BS21)</f>
        <v>0</v>
      </c>
      <c r="BD21" s="200">
        <f t="shared" si="9"/>
        <v>0</v>
      </c>
      <c r="BE21" s="200">
        <f t="shared" si="19"/>
        <v>-58077.16628190114</v>
      </c>
      <c r="BF21" s="86">
        <f t="shared" si="20"/>
        <v>-58077.16628190114</v>
      </c>
      <c r="BG21" s="197">
        <f t="shared" si="21"/>
        <v>-58077.16628190114</v>
      </c>
      <c r="BH21" s="86">
        <f t="shared" si="39"/>
        <v>32519.323931999279</v>
      </c>
      <c r="BI21" s="86">
        <f t="shared" si="40"/>
        <v>3.637978807091713E-11</v>
      </c>
      <c r="BJ21" s="122">
        <f>-Debt_Calc!BA19</f>
        <v>3891.1938399684368</v>
      </c>
      <c r="BK21" s="122">
        <f>Debt_Calc!BB19</f>
        <v>32519.323931999243</v>
      </c>
      <c r="BL21" s="86">
        <f t="shared" si="22"/>
        <v>36410.517771967679</v>
      </c>
      <c r="BM21" s="423">
        <f t="shared" si="41"/>
        <v>-1.5950656523378124</v>
      </c>
      <c r="BN21" s="86">
        <f t="shared" si="42"/>
        <v>-94487.684053868812</v>
      </c>
      <c r="BO21" s="86">
        <f t="shared" si="23"/>
        <v>-94487.684053868812</v>
      </c>
      <c r="BP21" s="86">
        <f t="shared" si="43"/>
        <v>-94487.684053868812</v>
      </c>
      <c r="BQ21" s="86">
        <f t="shared" si="24"/>
        <v>0</v>
      </c>
      <c r="BR21" s="86">
        <f t="shared" si="25"/>
        <v>0</v>
      </c>
      <c r="BS21" s="86">
        <f t="shared" si="10"/>
        <v>0</v>
      </c>
      <c r="BT21" s="86">
        <f t="shared" si="26"/>
        <v>-1006350.3180518723</v>
      </c>
      <c r="BU21" s="86">
        <f t="shared" si="44"/>
        <v>0</v>
      </c>
      <c r="BV21" s="214" t="e">
        <f t="shared" si="11"/>
        <v>#VALUE!</v>
      </c>
    </row>
    <row r="22" spans="2:74" s="86" customFormat="1" x14ac:dyDescent="0.3">
      <c r="B22" s="192">
        <f t="shared" si="27"/>
        <v>11</v>
      </c>
      <c r="C22" s="350">
        <f t="shared" si="12"/>
        <v>2032</v>
      </c>
      <c r="D22" s="351">
        <f t="shared" si="28"/>
        <v>48214</v>
      </c>
      <c r="E22" s="441">
        <f t="shared" si="28"/>
        <v>48579</v>
      </c>
      <c r="F22" s="445">
        <f>IF(AND(B22&gt;0,B22&lt;=Pyre_Inputs!$J$17),1,0)</f>
        <v>1</v>
      </c>
      <c r="G22" s="447">
        <f>IF(F22=1,Pyre_Inputs!$G$31,0)</f>
        <v>20195.999999999985</v>
      </c>
      <c r="H22" s="348">
        <f>IF(AND(F21=0,F22=1),100%,IF(AND(F21=0,F22=0),100%,H21-Pyre_Inputs!$G$45))*F22</f>
        <v>0.99500000000000055</v>
      </c>
      <c r="I22" s="216">
        <f t="shared" si="29"/>
        <v>20095.019999999997</v>
      </c>
      <c r="J22" s="219">
        <f>Pyre_Inputs!$J$11</f>
        <v>0.01</v>
      </c>
      <c r="K22" s="444">
        <f>IF(B22=1,Pyre_Inputs!$R$15,K21*(1+Pyre_CashFlows!J22))*F22</f>
        <v>3.8212381498022809</v>
      </c>
      <c r="L22" s="338">
        <f>IF(B22=1,Pyre_Inputs!$R$16,L21*(1+Pyre_CashFlows!J22))*F22</f>
        <v>3.8212381498022809</v>
      </c>
      <c r="M22" s="122">
        <f>K22*I22*Pyre_Inputs!$J$9</f>
        <v>38393.928522519913</v>
      </c>
      <c r="N22" s="222">
        <f>L22*I22*Pyre_Inputs!$J$10</f>
        <v>38393.928522519913</v>
      </c>
      <c r="O22" s="423">
        <f t="shared" si="30"/>
        <v>0</v>
      </c>
      <c r="P22" s="122">
        <f>SUM(M22:O22)+IF(B22=Pyre_Inputs!$J$17,Pyre_Inputs!$J$19,0)</f>
        <v>76787.857045039826</v>
      </c>
      <c r="Q22" s="218">
        <f>IF(B22=1,Pyre_Inputs!$O$7,Q21*(1+Pyre_Inputs!$N$23))*F22</f>
        <v>18189.093593058849</v>
      </c>
      <c r="R22" s="122">
        <f>IF(B22=1,Pyre_Inputs!$O$8,R21*(1+Pyre_Inputs!$N$23))*F22</f>
        <v>3242.8555434482078</v>
      </c>
      <c r="S22" s="122">
        <f>IF(B22=1,Pyre_Inputs!$O$9,S21*(1+Pyre_Inputs!$N$23))*F22</f>
        <v>32509.970379937567</v>
      </c>
      <c r="T22" s="122">
        <f>IF(B22=1,Pyre_Inputs!$O$10,T21*(1+Pyre_Inputs!$N$23))*F22</f>
        <v>48952.017172899919</v>
      </c>
      <c r="U22" s="122">
        <f>IF(B22=1,Pyre_Inputs!$O$11,U21*(1+Pyre_Inputs!$N$23))*F22</f>
        <v>19601.423213225786</v>
      </c>
      <c r="V22" s="122">
        <f>IF(B22=1,Pyre_Inputs!$O$12,V21*(1+Pyre_Inputs!$N$23))*F22</f>
        <v>101.8996839947275</v>
      </c>
      <c r="W22" s="122">
        <f>IF(B22=1,Pyre_Inputs!$O$13,W21*(1+Pyre_Inputs!$N$23))*F22</f>
        <v>0</v>
      </c>
      <c r="X22" s="122">
        <f>IF(B22=1,Pyre_Inputs!$O$14,X21*(1+Pyre_Inputs!$N$23))*F22</f>
        <v>385.86862836703415</v>
      </c>
      <c r="Y22" s="122">
        <f>IF(B22=1,Pyre_Inputs!$O$15,Y21*(1+Pyre_Inputs!$N$23))*F22</f>
        <v>385.86862836703415</v>
      </c>
      <c r="Z22" s="122">
        <f>IF(B22=1,Pyre_Inputs!$O$16,Z21*(1+Pyre_Inputs!$N$23))*F22</f>
        <v>11890.042095713663</v>
      </c>
      <c r="AA22" s="122">
        <f>IF(B22=1,Pyre_Inputs!$O$17,AA21*(1+Pyre_Inputs!$N$23))*F22</f>
        <v>225.3429135838856</v>
      </c>
      <c r="AB22" s="181">
        <f>IF(B22=1,Pyre_Inputs!$O$18,AB21*(1+Pyre_Inputs!$N$23))*F22</f>
        <v>0</v>
      </c>
      <c r="AC22" s="482">
        <f>IF(B22=1,Pyre_Inputs!$O$19,AC21*(1+Pyre_Inputs!$N$23))*F22</f>
        <v>0</v>
      </c>
      <c r="AD22" s="122">
        <f>IF(B22=1,Pyre_Inputs!$O$20,AD21*(1+Pyre_Inputs!$N$23))*F22</f>
        <v>0</v>
      </c>
      <c r="AE22" s="122">
        <f>IF(B22=1,Pyre_Inputs!$O$21,AE21*(1+Pyre_Inputs!$N$23))*F22</f>
        <v>0</v>
      </c>
      <c r="AF22" s="132">
        <f>IF(B22=1,Pyre_Inputs!$O$22,AF21*(1+Pyre_Inputs!$N$23))*F22</f>
        <v>0</v>
      </c>
      <c r="AG22" s="200">
        <f t="shared" si="31"/>
        <v>135484.38185259668</v>
      </c>
      <c r="AH22" s="86">
        <f t="shared" si="13"/>
        <v>-58696.524807556852</v>
      </c>
      <c r="AI22" s="225">
        <f t="shared" si="14"/>
        <v>-0.76439852688073417</v>
      </c>
      <c r="AJ22" s="220">
        <f>Deprec!O21</f>
        <v>11772.340832965107</v>
      </c>
      <c r="AK22" s="122">
        <f t="shared" si="32"/>
        <v>-70468.865640521952</v>
      </c>
      <c r="AL22" s="221">
        <f t="shared" si="33"/>
        <v>4.3531288515384224E-12</v>
      </c>
      <c r="AM22" s="122">
        <f t="shared" si="34"/>
        <v>-70468.865640521952</v>
      </c>
      <c r="AN22" s="438">
        <f>IF(AM22&lt;0,0,(AM22*Pyre_Inputs!$J$14))</f>
        <v>0</v>
      </c>
      <c r="AO22" s="86">
        <f t="shared" si="35"/>
        <v>-70468.865640521952</v>
      </c>
      <c r="AP22" s="226">
        <f t="shared" si="16"/>
        <v>-0.9177084548561959</v>
      </c>
      <c r="AS22" s="196">
        <f t="shared" si="17"/>
        <v>76787.857045039826</v>
      </c>
      <c r="AT22" s="86">
        <f t="shared" si="18"/>
        <v>135484.38185259668</v>
      </c>
      <c r="AU22" s="197">
        <f t="shared" si="36"/>
        <v>-58696.524807556852</v>
      </c>
      <c r="AV22" s="218">
        <f>IF(B22=0,Pyre_Inputs!$C$29,0)</f>
        <v>0</v>
      </c>
      <c r="AW22" s="198">
        <f t="shared" si="5"/>
        <v>0</v>
      </c>
      <c r="AX22" s="197">
        <f t="shared" si="6"/>
        <v>-58696.524807556852</v>
      </c>
      <c r="AY22" s="184">
        <f>IF(B22=0,Pyre_Inputs!$G$15+Pyre_Inputs!$G$16,0)</f>
        <v>0</v>
      </c>
      <c r="AZ22" s="185">
        <f>IF(B22=0,Pyre_Inputs!$G$14,0)</f>
        <v>0</v>
      </c>
      <c r="BA22" s="132">
        <f t="shared" si="37"/>
        <v>0</v>
      </c>
      <c r="BB22" s="218">
        <f t="shared" si="38"/>
        <v>-58696.524807556852</v>
      </c>
      <c r="BC22" s="218">
        <f>Pyre_Inputs!$G$20*AVERAGE(BR22,BS22)</f>
        <v>0</v>
      </c>
      <c r="BD22" s="200">
        <f t="shared" si="9"/>
        <v>0</v>
      </c>
      <c r="BE22" s="200">
        <f t="shared" si="19"/>
        <v>-58696.524807556852</v>
      </c>
      <c r="BF22" s="86">
        <f t="shared" si="20"/>
        <v>-58696.524807556852</v>
      </c>
      <c r="BG22" s="197">
        <f t="shared" si="21"/>
        <v>-58696.524807556852</v>
      </c>
      <c r="BH22" s="86">
        <f t="shared" si="39"/>
        <v>3.637978807091713E-11</v>
      </c>
      <c r="BI22" s="86">
        <f t="shared" si="40"/>
        <v>4.0732916922455554E-11</v>
      </c>
      <c r="BJ22" s="122">
        <f>-Debt_Calc!BA20</f>
        <v>4.3531288515384224E-12</v>
      </c>
      <c r="BK22" s="122">
        <f>Debt_Calc!BB20</f>
        <v>-4.3531288515384224E-12</v>
      </c>
      <c r="BL22" s="86">
        <f t="shared" si="22"/>
        <v>0</v>
      </c>
      <c r="BM22" s="423">
        <f t="shared" si="41"/>
        <v>0</v>
      </c>
      <c r="BN22" s="86">
        <f t="shared" si="42"/>
        <v>-58696.524807556852</v>
      </c>
      <c r="BO22" s="86">
        <f t="shared" si="23"/>
        <v>-58696.524807556852</v>
      </c>
      <c r="BP22" s="86">
        <f t="shared" si="43"/>
        <v>-58696.524807556852</v>
      </c>
      <c r="BQ22" s="86">
        <f t="shared" si="24"/>
        <v>0</v>
      </c>
      <c r="BR22" s="86">
        <f t="shared" si="25"/>
        <v>0</v>
      </c>
      <c r="BS22" s="86">
        <f t="shared" si="10"/>
        <v>0</v>
      </c>
      <c r="BT22" s="86">
        <f t="shared" si="26"/>
        <v>-1065046.8428594291</v>
      </c>
      <c r="BU22" s="86">
        <f t="shared" si="44"/>
        <v>0</v>
      </c>
      <c r="BV22" s="214" t="e">
        <f t="shared" si="11"/>
        <v>#VALUE!</v>
      </c>
    </row>
    <row r="23" spans="2:74" s="86" customFormat="1" x14ac:dyDescent="0.3">
      <c r="B23" s="192">
        <f t="shared" si="27"/>
        <v>12</v>
      </c>
      <c r="C23" s="350">
        <f t="shared" si="12"/>
        <v>2033</v>
      </c>
      <c r="D23" s="351">
        <f t="shared" si="28"/>
        <v>48580</v>
      </c>
      <c r="E23" s="441">
        <f t="shared" si="28"/>
        <v>48944</v>
      </c>
      <c r="F23" s="445">
        <f>IF(AND(B23&gt;0,B23&lt;=Pyre_Inputs!$J$17),1,0)</f>
        <v>1</v>
      </c>
      <c r="G23" s="447">
        <f>IF(F23=1,Pyre_Inputs!$G$31,0)</f>
        <v>20195.999999999985</v>
      </c>
      <c r="H23" s="348">
        <f>IF(AND(F22=0,F23=1),100%,IF(AND(F22=0,F23=0),100%,H22-Pyre_Inputs!$G$45))*F23</f>
        <v>0.99450000000000061</v>
      </c>
      <c r="I23" s="216">
        <f t="shared" si="29"/>
        <v>20084.921999999999</v>
      </c>
      <c r="J23" s="219">
        <f>Pyre_Inputs!$J$11</f>
        <v>0.01</v>
      </c>
      <c r="K23" s="444">
        <f>IF(B23=1,Pyre_Inputs!$R$15,K22*(1+Pyre_CashFlows!J23))*F23</f>
        <v>3.8594505313003036</v>
      </c>
      <c r="L23" s="338">
        <f>IF(B23=1,Pyre_Inputs!$R$16,L22*(1+Pyre_CashFlows!J23))*F23</f>
        <v>3.8594505313003036</v>
      </c>
      <c r="M23" s="122">
        <f>K23*I23*Pyre_Inputs!$J$9</f>
        <v>38758.381442012578</v>
      </c>
      <c r="N23" s="222">
        <f>L23*I23*Pyre_Inputs!$J$10</f>
        <v>38758.381442012578</v>
      </c>
      <c r="O23" s="423">
        <f t="shared" si="30"/>
        <v>0</v>
      </c>
      <c r="P23" s="122">
        <f>SUM(M23:O23)+IF(B23=Pyre_Inputs!$J$17,Pyre_Inputs!$J$19,0)</f>
        <v>77516.762884025156</v>
      </c>
      <c r="Q23" s="218">
        <f>IF(B23=1,Pyre_Inputs!$O$7,Q22*(1+Pyre_Inputs!$N$23))*F23</f>
        <v>18370.984528989437</v>
      </c>
      <c r="R23" s="122">
        <f>IF(B23=1,Pyre_Inputs!$O$8,R22*(1+Pyre_Inputs!$N$23))*F23</f>
        <v>3275.2840988826897</v>
      </c>
      <c r="S23" s="122">
        <f>IF(B23=1,Pyre_Inputs!$O$9,S22*(1+Pyre_Inputs!$N$23))*F23</f>
        <v>32835.070083736944</v>
      </c>
      <c r="T23" s="122">
        <f>IF(B23=1,Pyre_Inputs!$O$10,T22*(1+Pyre_Inputs!$N$23))*F23</f>
        <v>49441.537344628916</v>
      </c>
      <c r="U23" s="122">
        <f>IF(B23=1,Pyre_Inputs!$O$11,U22*(1+Pyre_Inputs!$N$23))*F23</f>
        <v>19797.437445358042</v>
      </c>
      <c r="V23" s="122">
        <f>IF(B23=1,Pyre_Inputs!$O$12,V22*(1+Pyre_Inputs!$N$23))*F23</f>
        <v>102.91868083467477</v>
      </c>
      <c r="W23" s="122">
        <f>IF(B23=1,Pyre_Inputs!$O$13,W22*(1+Pyre_Inputs!$N$23))*F23</f>
        <v>0</v>
      </c>
      <c r="X23" s="122">
        <f>IF(B23=1,Pyre_Inputs!$O$14,X22*(1+Pyre_Inputs!$N$23))*F23</f>
        <v>389.7273146507045</v>
      </c>
      <c r="Y23" s="122">
        <f>IF(B23=1,Pyre_Inputs!$O$15,Y22*(1+Pyre_Inputs!$N$23))*F23</f>
        <v>389.7273146507045</v>
      </c>
      <c r="Z23" s="122">
        <f>IF(B23=1,Pyre_Inputs!$O$16,Z22*(1+Pyre_Inputs!$N$23))*F23</f>
        <v>12008.942516670801</v>
      </c>
      <c r="AA23" s="122">
        <f>IF(B23=1,Pyre_Inputs!$O$17,AA22*(1+Pyre_Inputs!$N$23))*F23</f>
        <v>227.59634271972448</v>
      </c>
      <c r="AB23" s="181">
        <f>IF(B23=1,Pyre_Inputs!$O$18,AB22*(1+Pyre_Inputs!$N$23))*F23</f>
        <v>0</v>
      </c>
      <c r="AC23" s="482">
        <f>IF(B23=1,Pyre_Inputs!$O$19,AC22*(1+Pyre_Inputs!$N$23))*F23</f>
        <v>0</v>
      </c>
      <c r="AD23" s="122">
        <f>IF(B23=1,Pyre_Inputs!$O$20,AD22*(1+Pyre_Inputs!$N$23))*F23</f>
        <v>0</v>
      </c>
      <c r="AE23" s="122">
        <f>IF(B23=1,Pyre_Inputs!$O$21,AE22*(1+Pyre_Inputs!$N$23))*F23</f>
        <v>0</v>
      </c>
      <c r="AF23" s="132">
        <f>IF(B23=1,Pyre_Inputs!$O$22,AF22*(1+Pyre_Inputs!$N$23))*F23</f>
        <v>0</v>
      </c>
      <c r="AG23" s="200">
        <f t="shared" si="31"/>
        <v>136839.22567112264</v>
      </c>
      <c r="AH23" s="86">
        <f t="shared" si="13"/>
        <v>-59322.46278709748</v>
      </c>
      <c r="AI23" s="225">
        <f t="shared" si="14"/>
        <v>-0.76528560507423871</v>
      </c>
      <c r="AJ23" s="220">
        <f>Deprec!O22</f>
        <v>11772.340832965107</v>
      </c>
      <c r="AK23" s="122">
        <f t="shared" si="32"/>
        <v>-71094.803620062594</v>
      </c>
      <c r="AL23" s="221">
        <f t="shared" si="33"/>
        <v>4.8740150854317171E-12</v>
      </c>
      <c r="AM23" s="122">
        <f t="shared" si="34"/>
        <v>-71094.803620062594</v>
      </c>
      <c r="AN23" s="438">
        <f>IF(AM23&lt;0,0,(AM23*Pyre_Inputs!$J$14))</f>
        <v>0</v>
      </c>
      <c r="AO23" s="86">
        <f t="shared" si="35"/>
        <v>-71094.803620062594</v>
      </c>
      <c r="AP23" s="226">
        <f t="shared" si="16"/>
        <v>-0.91715392871125667</v>
      </c>
      <c r="AS23" s="196">
        <f t="shared" si="17"/>
        <v>77516.762884025156</v>
      </c>
      <c r="AT23" s="86">
        <f t="shared" si="18"/>
        <v>136839.22567112264</v>
      </c>
      <c r="AU23" s="197">
        <f t="shared" si="36"/>
        <v>-59322.46278709748</v>
      </c>
      <c r="AV23" s="218">
        <f>IF(B23=0,Pyre_Inputs!$C$29,0)</f>
        <v>0</v>
      </c>
      <c r="AW23" s="198">
        <f t="shared" si="5"/>
        <v>0</v>
      </c>
      <c r="AX23" s="197">
        <f t="shared" si="6"/>
        <v>-59322.46278709748</v>
      </c>
      <c r="AY23" s="184">
        <f>IF(B23=0,Pyre_Inputs!$G$15+Pyre_Inputs!$G$16,0)</f>
        <v>0</v>
      </c>
      <c r="AZ23" s="185">
        <f>IF(B23=0,Pyre_Inputs!$G$14,0)</f>
        <v>0</v>
      </c>
      <c r="BA23" s="132">
        <f t="shared" si="37"/>
        <v>0</v>
      </c>
      <c r="BB23" s="218">
        <f t="shared" si="38"/>
        <v>-59322.46278709748</v>
      </c>
      <c r="BC23" s="218">
        <f>Pyre_Inputs!$G$20*AVERAGE(BR23,BS23)</f>
        <v>0</v>
      </c>
      <c r="BD23" s="200">
        <f t="shared" si="9"/>
        <v>0</v>
      </c>
      <c r="BE23" s="200">
        <f t="shared" si="19"/>
        <v>-59322.46278709748</v>
      </c>
      <c r="BF23" s="86">
        <f t="shared" si="20"/>
        <v>-59322.46278709748</v>
      </c>
      <c r="BG23" s="197">
        <f t="shared" si="21"/>
        <v>-59322.46278709748</v>
      </c>
      <c r="BH23" s="86">
        <f t="shared" si="39"/>
        <v>4.0732916922455554E-11</v>
      </c>
      <c r="BI23" s="86">
        <f t="shared" si="40"/>
        <v>4.5606932007887268E-11</v>
      </c>
      <c r="BJ23" s="122">
        <f>-Debt_Calc!BA21</f>
        <v>4.8740150854317171E-12</v>
      </c>
      <c r="BK23" s="122">
        <f>Debt_Calc!BB21</f>
        <v>-4.8740150854317171E-12</v>
      </c>
      <c r="BL23" s="86">
        <f t="shared" si="22"/>
        <v>0</v>
      </c>
      <c r="BM23" s="423">
        <f t="shared" si="41"/>
        <v>0</v>
      </c>
      <c r="BN23" s="86">
        <f t="shared" si="42"/>
        <v>-59322.46278709748</v>
      </c>
      <c r="BO23" s="86">
        <f t="shared" si="23"/>
        <v>-59322.46278709748</v>
      </c>
      <c r="BP23" s="86">
        <f t="shared" si="43"/>
        <v>-59322.46278709748</v>
      </c>
      <c r="BQ23" s="86">
        <f t="shared" si="24"/>
        <v>0</v>
      </c>
      <c r="BR23" s="86">
        <f t="shared" si="25"/>
        <v>0</v>
      </c>
      <c r="BS23" s="86">
        <f t="shared" si="10"/>
        <v>0</v>
      </c>
      <c r="BT23" s="86">
        <f t="shared" si="26"/>
        <v>-1124369.3056465266</v>
      </c>
      <c r="BU23" s="86">
        <f t="shared" si="44"/>
        <v>0</v>
      </c>
      <c r="BV23" s="214" t="e">
        <f t="shared" si="11"/>
        <v>#VALUE!</v>
      </c>
    </row>
    <row r="24" spans="2:74" s="86" customFormat="1" x14ac:dyDescent="0.3">
      <c r="B24" s="192">
        <f t="shared" si="27"/>
        <v>13</v>
      </c>
      <c r="C24" s="350">
        <f t="shared" si="12"/>
        <v>2034</v>
      </c>
      <c r="D24" s="351">
        <f t="shared" si="28"/>
        <v>48945</v>
      </c>
      <c r="E24" s="441">
        <f t="shared" si="28"/>
        <v>49309</v>
      </c>
      <c r="F24" s="445">
        <f>IF(AND(B24&gt;0,B24&lt;=Pyre_Inputs!$J$17),1,0)</f>
        <v>1</v>
      </c>
      <c r="G24" s="447">
        <f>IF(F24=1,Pyre_Inputs!$G$31,0)</f>
        <v>20195.999999999985</v>
      </c>
      <c r="H24" s="348">
        <f>IF(AND(F23=0,F24=1),100%,IF(AND(F23=0,F24=0),100%,H23-Pyre_Inputs!$G$45))*F24</f>
        <v>0.99400000000000066</v>
      </c>
      <c r="I24" s="216">
        <f t="shared" si="29"/>
        <v>20074.824000000001</v>
      </c>
      <c r="J24" s="219">
        <f>Pyre_Inputs!$J$11</f>
        <v>0.01</v>
      </c>
      <c r="K24" s="444">
        <f>IF(B24=1,Pyre_Inputs!$R$15,K23*(1+Pyre_CashFlows!J24))*F24</f>
        <v>3.8980450366133068</v>
      </c>
      <c r="L24" s="338">
        <f>IF(B24=1,Pyre_Inputs!$R$16,L23*(1+Pyre_CashFlows!J24))*F24</f>
        <v>3.8980450366133068</v>
      </c>
      <c r="M24" s="122">
        <f>K24*I24*Pyre_Inputs!$J$9</f>
        <v>39126.28402704285</v>
      </c>
      <c r="N24" s="222">
        <f>L24*I24*Pyre_Inputs!$J$10</f>
        <v>39126.28402704285</v>
      </c>
      <c r="O24" s="423">
        <f t="shared" si="30"/>
        <v>0</v>
      </c>
      <c r="P24" s="122">
        <f>SUM(M24:O24)+IF(B24=Pyre_Inputs!$J$17,Pyre_Inputs!$J$19,0)</f>
        <v>78252.568054085699</v>
      </c>
      <c r="Q24" s="218">
        <f>IF(B24=1,Pyre_Inputs!$O$7,Q23*(1+Pyre_Inputs!$N$23))*F24</f>
        <v>18554.69437427933</v>
      </c>
      <c r="R24" s="122">
        <f>IF(B24=1,Pyre_Inputs!$O$8,R23*(1+Pyre_Inputs!$N$23))*F24</f>
        <v>3308.0369398715166</v>
      </c>
      <c r="S24" s="122">
        <f>IF(B24=1,Pyre_Inputs!$O$9,S23*(1+Pyre_Inputs!$N$23))*F24</f>
        <v>33163.420784574315</v>
      </c>
      <c r="T24" s="122">
        <f>IF(B24=1,Pyre_Inputs!$O$10,T23*(1+Pyre_Inputs!$N$23))*F24</f>
        <v>49935.952718075205</v>
      </c>
      <c r="U24" s="122">
        <f>IF(B24=1,Pyre_Inputs!$O$11,U23*(1+Pyre_Inputs!$N$23))*F24</f>
        <v>19995.411819811623</v>
      </c>
      <c r="V24" s="122">
        <f>IF(B24=1,Pyre_Inputs!$O$12,V23*(1+Pyre_Inputs!$N$23))*F24</f>
        <v>103.94786764302152</v>
      </c>
      <c r="W24" s="122">
        <f>IF(B24=1,Pyre_Inputs!$O$13,W23*(1+Pyre_Inputs!$N$23))*F24</f>
        <v>0</v>
      </c>
      <c r="X24" s="122">
        <f>IF(B24=1,Pyre_Inputs!$O$14,X23*(1+Pyre_Inputs!$N$23))*F24</f>
        <v>393.62458779721157</v>
      </c>
      <c r="Y24" s="122">
        <f>IF(B24=1,Pyre_Inputs!$O$15,Y23*(1+Pyre_Inputs!$N$23))*F24</f>
        <v>393.62458779721157</v>
      </c>
      <c r="Z24" s="122">
        <f>IF(B24=1,Pyre_Inputs!$O$16,Z23*(1+Pyre_Inputs!$N$23))*F24</f>
        <v>12129.031941837509</v>
      </c>
      <c r="AA24" s="122">
        <f>IF(B24=1,Pyre_Inputs!$O$17,AA23*(1+Pyre_Inputs!$N$23))*F24</f>
        <v>229.87230614692172</v>
      </c>
      <c r="AB24" s="181">
        <f>IF(B24=1,Pyre_Inputs!$O$18,AB23*(1+Pyre_Inputs!$N$23))*F24</f>
        <v>0</v>
      </c>
      <c r="AC24" s="482">
        <f>IF(B24=1,Pyre_Inputs!$O$19,AC23*(1+Pyre_Inputs!$N$23))*F24</f>
        <v>0</v>
      </c>
      <c r="AD24" s="122">
        <f>IF(B24=1,Pyre_Inputs!$O$20,AD23*(1+Pyre_Inputs!$N$23))*F24</f>
        <v>0</v>
      </c>
      <c r="AE24" s="122">
        <f>IF(B24=1,Pyre_Inputs!$O$21,AE23*(1+Pyre_Inputs!$N$23))*F24</f>
        <v>0</v>
      </c>
      <c r="AF24" s="132">
        <f>IF(B24=1,Pyre_Inputs!$O$22,AF23*(1+Pyre_Inputs!$N$23))*F24</f>
        <v>0</v>
      </c>
      <c r="AG24" s="200">
        <f t="shared" si="31"/>
        <v>138207.61792783384</v>
      </c>
      <c r="AH24" s="86">
        <f t="shared" si="13"/>
        <v>-59955.049873748139</v>
      </c>
      <c r="AI24" s="225">
        <f t="shared" si="14"/>
        <v>-0.76617357570053302</v>
      </c>
      <c r="AJ24" s="220">
        <f>Deprec!O23</f>
        <v>11772.340832965107</v>
      </c>
      <c r="AK24" s="122">
        <f t="shared" si="32"/>
        <v>-71727.390706713253</v>
      </c>
      <c r="AL24" s="221">
        <f t="shared" si="33"/>
        <v>5.457229469470085E-12</v>
      </c>
      <c r="AM24" s="122">
        <f t="shared" si="34"/>
        <v>-71727.390706713253</v>
      </c>
      <c r="AN24" s="438">
        <f>IF(AM24&lt;0,0,(AM24*Pyre_Inputs!$J$14))</f>
        <v>0</v>
      </c>
      <c r="AO24" s="86">
        <f t="shared" si="35"/>
        <v>-71727.390706713253</v>
      </c>
      <c r="AP24" s="226">
        <f t="shared" si="16"/>
        <v>-0.91661388872423399</v>
      </c>
      <c r="AS24" s="196">
        <f t="shared" si="17"/>
        <v>78252.568054085699</v>
      </c>
      <c r="AT24" s="86">
        <f t="shared" si="18"/>
        <v>138207.61792783384</v>
      </c>
      <c r="AU24" s="197">
        <f t="shared" si="36"/>
        <v>-59955.049873748139</v>
      </c>
      <c r="AV24" s="218">
        <f>IF(B24=0,Pyre_Inputs!$C$29,0)</f>
        <v>0</v>
      </c>
      <c r="AW24" s="198">
        <f t="shared" si="5"/>
        <v>0</v>
      </c>
      <c r="AX24" s="197">
        <f t="shared" si="6"/>
        <v>-59955.049873748139</v>
      </c>
      <c r="AY24" s="184">
        <f>IF(B24=0,Pyre_Inputs!$G$15+Pyre_Inputs!$G$16,0)</f>
        <v>0</v>
      </c>
      <c r="AZ24" s="185">
        <f>IF(B24=0,Pyre_Inputs!$G$14,0)</f>
        <v>0</v>
      </c>
      <c r="BA24" s="132">
        <f t="shared" si="37"/>
        <v>0</v>
      </c>
      <c r="BB24" s="218">
        <f t="shared" si="38"/>
        <v>-59955.049873748139</v>
      </c>
      <c r="BC24" s="218">
        <f>Pyre_Inputs!$G$20*AVERAGE(BR24,BS24)</f>
        <v>0</v>
      </c>
      <c r="BD24" s="200">
        <f t="shared" si="9"/>
        <v>0</v>
      </c>
      <c r="BE24" s="200">
        <f t="shared" si="19"/>
        <v>-59955.049873748139</v>
      </c>
      <c r="BF24" s="86">
        <f t="shared" si="20"/>
        <v>-59955.049873748139</v>
      </c>
      <c r="BG24" s="197">
        <f t="shared" si="21"/>
        <v>-59955.049873748139</v>
      </c>
      <c r="BH24" s="86">
        <f t="shared" si="39"/>
        <v>4.5606932007887268E-11</v>
      </c>
      <c r="BI24" s="86">
        <f t="shared" si="40"/>
        <v>5.1064161477357357E-11</v>
      </c>
      <c r="BJ24" s="122">
        <f>-Debt_Calc!BA22</f>
        <v>5.457229469470085E-12</v>
      </c>
      <c r="BK24" s="122">
        <f>Debt_Calc!BB22</f>
        <v>-5.457229469470085E-12</v>
      </c>
      <c r="BL24" s="86">
        <f t="shared" si="22"/>
        <v>0</v>
      </c>
      <c r="BM24" s="423">
        <f t="shared" si="41"/>
        <v>0</v>
      </c>
      <c r="BN24" s="86">
        <f t="shared" si="42"/>
        <v>-59955.049873748139</v>
      </c>
      <c r="BO24" s="86">
        <f t="shared" si="23"/>
        <v>-59955.049873748139</v>
      </c>
      <c r="BP24" s="86">
        <f t="shared" si="43"/>
        <v>-59955.049873748139</v>
      </c>
      <c r="BQ24" s="86">
        <f t="shared" si="24"/>
        <v>0</v>
      </c>
      <c r="BR24" s="86">
        <f t="shared" si="25"/>
        <v>0</v>
      </c>
      <c r="BS24" s="86">
        <f t="shared" si="10"/>
        <v>0</v>
      </c>
      <c r="BT24" s="86">
        <f t="shared" si="26"/>
        <v>-1184324.3555202747</v>
      </c>
      <c r="BU24" s="86">
        <f t="shared" si="44"/>
        <v>0</v>
      </c>
      <c r="BV24" s="214" t="e">
        <f t="shared" si="11"/>
        <v>#VALUE!</v>
      </c>
    </row>
    <row r="25" spans="2:74" s="86" customFormat="1" x14ac:dyDescent="0.3">
      <c r="B25" s="192">
        <f t="shared" si="27"/>
        <v>14</v>
      </c>
      <c r="C25" s="350">
        <f t="shared" si="12"/>
        <v>2035</v>
      </c>
      <c r="D25" s="351">
        <f t="shared" si="28"/>
        <v>49310</v>
      </c>
      <c r="E25" s="441">
        <f t="shared" si="28"/>
        <v>49674</v>
      </c>
      <c r="F25" s="445">
        <f>IF(AND(B25&gt;0,B25&lt;=Pyre_Inputs!$J$17),1,0)</f>
        <v>1</v>
      </c>
      <c r="G25" s="447">
        <f>IF(F25=1,Pyre_Inputs!$G$31,0)</f>
        <v>20195.999999999985</v>
      </c>
      <c r="H25" s="348">
        <f>IF(AND(F24=0,F25=1),100%,IF(AND(F24=0,F25=0),100%,H24-Pyre_Inputs!$G$45))*F25</f>
        <v>0.99350000000000072</v>
      </c>
      <c r="I25" s="216">
        <f t="shared" si="29"/>
        <v>20064.725999999999</v>
      </c>
      <c r="J25" s="219">
        <f>Pyre_Inputs!$J$11</f>
        <v>0.01</v>
      </c>
      <c r="K25" s="444">
        <f>IF(B25=1,Pyre_Inputs!$R$15,K24*(1+Pyre_CashFlows!J25))*F25</f>
        <v>3.9370254869794401</v>
      </c>
      <c r="L25" s="338">
        <f>IF(B25=1,Pyre_Inputs!$R$16,L24*(1+Pyre_CashFlows!J25))*F25</f>
        <v>3.9370254869794401</v>
      </c>
      <c r="M25" s="122">
        <f>K25*I25*Pyre_Inputs!$J$9</f>
        <v>39497.668825629517</v>
      </c>
      <c r="N25" s="222">
        <f>L25*I25*Pyre_Inputs!$J$10</f>
        <v>39497.668825629517</v>
      </c>
      <c r="O25" s="423">
        <f t="shared" si="30"/>
        <v>0</v>
      </c>
      <c r="P25" s="122">
        <f>SUM(M25:O25)+IF(B25=Pyre_Inputs!$J$17,Pyre_Inputs!$J$19,0)</f>
        <v>78995.337651259033</v>
      </c>
      <c r="Q25" s="218">
        <f>IF(B25=1,Pyre_Inputs!$O$7,Q24*(1+Pyre_Inputs!$N$23))*F25</f>
        <v>18740.241318022123</v>
      </c>
      <c r="R25" s="122">
        <f>IF(B25=1,Pyre_Inputs!$O$8,R24*(1+Pyre_Inputs!$N$23))*F25</f>
        <v>3341.1173092702315</v>
      </c>
      <c r="S25" s="122">
        <f>IF(B25=1,Pyre_Inputs!$O$9,S24*(1+Pyre_Inputs!$N$23))*F25</f>
        <v>33495.05499242006</v>
      </c>
      <c r="T25" s="122">
        <f>IF(B25=1,Pyre_Inputs!$O$10,T24*(1+Pyre_Inputs!$N$23))*F25</f>
        <v>50435.312245255955</v>
      </c>
      <c r="U25" s="122">
        <f>IF(B25=1,Pyre_Inputs!$O$11,U24*(1+Pyre_Inputs!$N$23))*F25</f>
        <v>20195.365938009738</v>
      </c>
      <c r="V25" s="122">
        <f>IF(B25=1,Pyre_Inputs!$O$12,V24*(1+Pyre_Inputs!$N$23))*F25</f>
        <v>104.98734631945175</v>
      </c>
      <c r="W25" s="122">
        <f>IF(B25=1,Pyre_Inputs!$O$13,W24*(1+Pyre_Inputs!$N$23))*F25</f>
        <v>0</v>
      </c>
      <c r="X25" s="122">
        <f>IF(B25=1,Pyre_Inputs!$O$14,X24*(1+Pyre_Inputs!$N$23))*F25</f>
        <v>397.56083367518369</v>
      </c>
      <c r="Y25" s="122">
        <f>IF(B25=1,Pyre_Inputs!$O$15,Y24*(1+Pyre_Inputs!$N$23))*F25</f>
        <v>397.56083367518369</v>
      </c>
      <c r="Z25" s="122">
        <f>IF(B25=1,Pyre_Inputs!$O$16,Z24*(1+Pyre_Inputs!$N$23))*F25</f>
        <v>12250.322261255884</v>
      </c>
      <c r="AA25" s="122">
        <f>IF(B25=1,Pyre_Inputs!$O$17,AA24*(1+Pyre_Inputs!$N$23))*F25</f>
        <v>232.17102920839093</v>
      </c>
      <c r="AB25" s="181">
        <f>IF(B25=1,Pyre_Inputs!$O$18,AB24*(1+Pyre_Inputs!$N$23))*F25</f>
        <v>0</v>
      </c>
      <c r="AC25" s="482">
        <f>IF(B25=1,Pyre_Inputs!$O$19,AC24*(1+Pyre_Inputs!$N$23))*F25</f>
        <v>0</v>
      </c>
      <c r="AD25" s="122">
        <f>IF(B25=1,Pyre_Inputs!$O$20,AD24*(1+Pyre_Inputs!$N$23))*F25</f>
        <v>0</v>
      </c>
      <c r="AE25" s="122">
        <f>IF(B25=1,Pyre_Inputs!$O$21,AE24*(1+Pyre_Inputs!$N$23))*F25</f>
        <v>0</v>
      </c>
      <c r="AF25" s="132">
        <f>IF(B25=1,Pyre_Inputs!$O$22,AF24*(1+Pyre_Inputs!$N$23))*F25</f>
        <v>0</v>
      </c>
      <c r="AG25" s="200">
        <f t="shared" si="31"/>
        <v>139589.69410711224</v>
      </c>
      <c r="AH25" s="86">
        <f t="shared" si="13"/>
        <v>-60594.356455853209</v>
      </c>
      <c r="AI25" s="225">
        <f t="shared" si="14"/>
        <v>-0.7670624401070264</v>
      </c>
      <c r="AJ25" s="220">
        <f>Deprec!O24</f>
        <v>11772.340832965107</v>
      </c>
      <c r="AK25" s="122">
        <f t="shared" si="32"/>
        <v>-72366.697288818308</v>
      </c>
      <c r="AL25" s="221">
        <f t="shared" si="33"/>
        <v>6.110230058882729E-12</v>
      </c>
      <c r="AM25" s="122">
        <f t="shared" si="34"/>
        <v>-72366.697288818308</v>
      </c>
      <c r="AN25" s="438">
        <f>IF(AM25&lt;0,0,(AM25*Pyre_Inputs!$J$14))</f>
        <v>0</v>
      </c>
      <c r="AO25" s="86">
        <f t="shared" si="35"/>
        <v>-72366.697288818308</v>
      </c>
      <c r="AP25" s="226">
        <f t="shared" si="16"/>
        <v>-0.91608820774076305</v>
      </c>
      <c r="AS25" s="196">
        <f t="shared" si="17"/>
        <v>78995.337651259033</v>
      </c>
      <c r="AT25" s="86">
        <f t="shared" si="18"/>
        <v>139589.69410711224</v>
      </c>
      <c r="AU25" s="197">
        <f t="shared" si="36"/>
        <v>-60594.356455853209</v>
      </c>
      <c r="AV25" s="218">
        <f>IF(B25=0,Pyre_Inputs!$C$29,0)</f>
        <v>0</v>
      </c>
      <c r="AW25" s="198">
        <f t="shared" si="5"/>
        <v>0</v>
      </c>
      <c r="AX25" s="197">
        <f t="shared" si="6"/>
        <v>-60594.356455853209</v>
      </c>
      <c r="AY25" s="184">
        <f>IF(B25=0,Pyre_Inputs!$G$15+Pyre_Inputs!$G$16,0)</f>
        <v>0</v>
      </c>
      <c r="AZ25" s="185">
        <f>IF(B25=0,Pyre_Inputs!$G$14,0)</f>
        <v>0</v>
      </c>
      <c r="BA25" s="132">
        <f t="shared" si="37"/>
        <v>0</v>
      </c>
      <c r="BB25" s="218">
        <f t="shared" si="38"/>
        <v>-60594.356455853209</v>
      </c>
      <c r="BC25" s="218">
        <f>Pyre_Inputs!$G$20*AVERAGE(BR25,BS25)</f>
        <v>0</v>
      </c>
      <c r="BD25" s="200">
        <f t="shared" si="9"/>
        <v>0</v>
      </c>
      <c r="BE25" s="200">
        <f t="shared" si="19"/>
        <v>-60594.356455853209</v>
      </c>
      <c r="BF25" s="86">
        <f t="shared" si="20"/>
        <v>-60594.356455853209</v>
      </c>
      <c r="BG25" s="197">
        <f t="shared" si="21"/>
        <v>-60594.356455853209</v>
      </c>
      <c r="BH25" s="86">
        <f t="shared" si="39"/>
        <v>5.1064161477357357E-11</v>
      </c>
      <c r="BI25" s="86">
        <f t="shared" si="40"/>
        <v>5.7174391536240088E-11</v>
      </c>
      <c r="BJ25" s="122">
        <f>-Debt_Calc!BA23</f>
        <v>6.110230058882729E-12</v>
      </c>
      <c r="BK25" s="122">
        <f>Debt_Calc!BB23</f>
        <v>-6.110230058882729E-12</v>
      </c>
      <c r="BL25" s="86">
        <f t="shared" si="22"/>
        <v>0</v>
      </c>
      <c r="BM25" s="423">
        <f t="shared" si="41"/>
        <v>0</v>
      </c>
      <c r="BN25" s="86">
        <f t="shared" si="42"/>
        <v>-60594.356455853209</v>
      </c>
      <c r="BO25" s="86">
        <f t="shared" si="23"/>
        <v>-60594.356455853209</v>
      </c>
      <c r="BP25" s="86">
        <f t="shared" si="43"/>
        <v>-60594.356455853209</v>
      </c>
      <c r="BQ25" s="86">
        <f t="shared" si="24"/>
        <v>0</v>
      </c>
      <c r="BR25" s="86">
        <f t="shared" si="25"/>
        <v>0</v>
      </c>
      <c r="BS25" s="86">
        <f t="shared" si="10"/>
        <v>0</v>
      </c>
      <c r="BT25" s="86">
        <f t="shared" si="26"/>
        <v>-1244918.7119761279</v>
      </c>
      <c r="BU25" s="86">
        <f t="shared" si="44"/>
        <v>0</v>
      </c>
      <c r="BV25" s="214" t="e">
        <f t="shared" si="11"/>
        <v>#VALUE!</v>
      </c>
    </row>
    <row r="26" spans="2:74" s="86" customFormat="1" x14ac:dyDescent="0.3">
      <c r="B26" s="192">
        <f t="shared" si="27"/>
        <v>15</v>
      </c>
      <c r="C26" s="350">
        <f t="shared" si="12"/>
        <v>2036</v>
      </c>
      <c r="D26" s="351">
        <f t="shared" si="28"/>
        <v>49675</v>
      </c>
      <c r="E26" s="441">
        <f t="shared" si="28"/>
        <v>50040</v>
      </c>
      <c r="F26" s="445">
        <f>IF(AND(B26&gt;0,B26&lt;=Pyre_Inputs!$J$17),1,0)</f>
        <v>1</v>
      </c>
      <c r="G26" s="447">
        <f>IF(F26=1,Pyre_Inputs!$G$31,0)</f>
        <v>20195.999999999985</v>
      </c>
      <c r="H26" s="348">
        <f>IF(AND(F25=0,F26=1),100%,IF(AND(F25=0,F26=0),100%,H25-Pyre_Inputs!$G$45))*F26</f>
        <v>0.99300000000000077</v>
      </c>
      <c r="I26" s="216">
        <f t="shared" si="29"/>
        <v>20054.628000000001</v>
      </c>
      <c r="J26" s="219">
        <f>Pyre_Inputs!$J$11</f>
        <v>0.01</v>
      </c>
      <c r="K26" s="444">
        <f>IF(B26=1,Pyre_Inputs!$R$15,K25*(1+Pyre_CashFlows!J26))*F26</f>
        <v>3.9763957418492346</v>
      </c>
      <c r="L26" s="338">
        <f>IF(B26=1,Pyre_Inputs!$R$16,L25*(1+Pyre_CashFlows!J26))*F26</f>
        <v>3.9763957418492346</v>
      </c>
      <c r="M26" s="122">
        <f>K26*I26*Pyre_Inputs!$J$9</f>
        <v>39872.568691785214</v>
      </c>
      <c r="N26" s="222">
        <f>L26*I26*Pyre_Inputs!$J$10</f>
        <v>39872.568691785214</v>
      </c>
      <c r="O26" s="423">
        <f t="shared" si="30"/>
        <v>0</v>
      </c>
      <c r="P26" s="122">
        <f>SUM(M26:O26)+IF(B26=Pyre_Inputs!$J$17,Pyre_Inputs!$J$19,0)</f>
        <v>79745.137383570429</v>
      </c>
      <c r="Q26" s="218">
        <f>IF(B26=1,Pyre_Inputs!$O$7,Q25*(1+Pyre_Inputs!$N$23))*F26</f>
        <v>18927.643731202344</v>
      </c>
      <c r="R26" s="122">
        <f>IF(B26=1,Pyre_Inputs!$O$8,R25*(1+Pyre_Inputs!$N$23))*F26</f>
        <v>3374.528482362934</v>
      </c>
      <c r="S26" s="122">
        <f>IF(B26=1,Pyre_Inputs!$O$9,S25*(1+Pyre_Inputs!$N$23))*F26</f>
        <v>33830.005542344261</v>
      </c>
      <c r="T26" s="122">
        <f>IF(B26=1,Pyre_Inputs!$O$10,T25*(1+Pyre_Inputs!$N$23))*F26</f>
        <v>50939.665367708512</v>
      </c>
      <c r="U26" s="122">
        <f>IF(B26=1,Pyre_Inputs!$O$11,U25*(1+Pyre_Inputs!$N$23))*F26</f>
        <v>20397.319597389836</v>
      </c>
      <c r="V26" s="122">
        <f>IF(B26=1,Pyre_Inputs!$O$12,V25*(1+Pyre_Inputs!$N$23))*F26</f>
        <v>106.03721978264626</v>
      </c>
      <c r="W26" s="122">
        <f>IF(B26=1,Pyre_Inputs!$O$13,W25*(1+Pyre_Inputs!$N$23))*F26</f>
        <v>0</v>
      </c>
      <c r="X26" s="122">
        <f>IF(B26=1,Pyre_Inputs!$O$14,X25*(1+Pyre_Inputs!$N$23))*F26</f>
        <v>401.53644201193555</v>
      </c>
      <c r="Y26" s="122">
        <f>IF(B26=1,Pyre_Inputs!$O$15,Y25*(1+Pyre_Inputs!$N$23))*F26</f>
        <v>401.53644201193555</v>
      </c>
      <c r="Z26" s="122">
        <f>IF(B26=1,Pyre_Inputs!$O$16,Z25*(1+Pyre_Inputs!$N$23))*F26</f>
        <v>12372.825483868442</v>
      </c>
      <c r="AA26" s="122">
        <f>IF(B26=1,Pyre_Inputs!$O$17,AA25*(1+Pyre_Inputs!$N$23))*F26</f>
        <v>234.49273950047484</v>
      </c>
      <c r="AB26" s="181">
        <f>IF(B26=1,Pyre_Inputs!$O$18,AB25*(1+Pyre_Inputs!$N$23))*F26</f>
        <v>0</v>
      </c>
      <c r="AC26" s="482">
        <f>IF(B26=1,Pyre_Inputs!$O$19,AC25*(1+Pyre_Inputs!$N$23))*F26</f>
        <v>0</v>
      </c>
      <c r="AD26" s="122">
        <f>IF(B26=1,Pyre_Inputs!$O$20,AD25*(1+Pyre_Inputs!$N$23))*F26</f>
        <v>0</v>
      </c>
      <c r="AE26" s="122">
        <f>IF(B26=1,Pyre_Inputs!$O$21,AE25*(1+Pyre_Inputs!$N$23))*F26</f>
        <v>0</v>
      </c>
      <c r="AF26" s="132">
        <f>IF(B26=1,Pyre_Inputs!$O$22,AF25*(1+Pyre_Inputs!$N$23))*F26</f>
        <v>0</v>
      </c>
      <c r="AG26" s="200">
        <f t="shared" si="31"/>
        <v>140985.59104818333</v>
      </c>
      <c r="AH26" s="86">
        <f t="shared" si="13"/>
        <v>-61240.453664612898</v>
      </c>
      <c r="AI26" s="225">
        <f t="shared" si="14"/>
        <v>-0.7679521996438371</v>
      </c>
      <c r="AJ26" s="220">
        <f>Deprec!O25</f>
        <v>11772.340832965107</v>
      </c>
      <c r="AK26" s="122">
        <f t="shared" si="32"/>
        <v>-73012.794497577997</v>
      </c>
      <c r="AL26" s="221">
        <f t="shared" si="33"/>
        <v>6.8413673240864065E-12</v>
      </c>
      <c r="AM26" s="122">
        <f t="shared" si="34"/>
        <v>-73012.794497577997</v>
      </c>
      <c r="AN26" s="438">
        <f>IF(AM26&lt;0,0,(AM26*Pyre_Inputs!$J$14))</f>
        <v>0</v>
      </c>
      <c r="AO26" s="86">
        <f t="shared" si="35"/>
        <v>-73012.794497577997</v>
      </c>
      <c r="AP26" s="226">
        <f t="shared" si="16"/>
        <v>-0.91557675982661901</v>
      </c>
      <c r="AS26" s="196">
        <f t="shared" si="17"/>
        <v>79745.137383570429</v>
      </c>
      <c r="AT26" s="86">
        <f t="shared" si="18"/>
        <v>140985.59104818333</v>
      </c>
      <c r="AU26" s="197">
        <f t="shared" si="36"/>
        <v>-61240.453664612898</v>
      </c>
      <c r="AV26" s="218">
        <f>IF(B26=0,Pyre_Inputs!$C$29,0)</f>
        <v>0</v>
      </c>
      <c r="AW26" s="198">
        <f t="shared" si="5"/>
        <v>0</v>
      </c>
      <c r="AX26" s="197">
        <f t="shared" si="6"/>
        <v>-61240.453664612898</v>
      </c>
      <c r="AY26" s="184">
        <f>IF(B26=0,Pyre_Inputs!$G$15+Pyre_Inputs!$G$16,0)</f>
        <v>0</v>
      </c>
      <c r="AZ26" s="185">
        <f>IF(B26=0,Pyre_Inputs!$G$14,0)</f>
        <v>0</v>
      </c>
      <c r="BA26" s="132">
        <f t="shared" si="37"/>
        <v>0</v>
      </c>
      <c r="BB26" s="218">
        <f t="shared" si="38"/>
        <v>-61240.453664612898</v>
      </c>
      <c r="BC26" s="218">
        <f>Pyre_Inputs!$G$20*AVERAGE(BR26,BS26)</f>
        <v>0</v>
      </c>
      <c r="BD26" s="200">
        <f t="shared" si="9"/>
        <v>0</v>
      </c>
      <c r="BE26" s="200">
        <f t="shared" si="19"/>
        <v>-61240.453664612898</v>
      </c>
      <c r="BF26" s="86">
        <f t="shared" si="20"/>
        <v>-61240.453664612898</v>
      </c>
      <c r="BG26" s="197">
        <f t="shared" si="21"/>
        <v>-61240.453664612898</v>
      </c>
      <c r="BH26" s="86">
        <f t="shared" si="39"/>
        <v>5.7174391536240088E-11</v>
      </c>
      <c r="BI26" s="86">
        <f t="shared" si="40"/>
        <v>6.4015758860326499E-11</v>
      </c>
      <c r="BJ26" s="122">
        <f>-Debt_Calc!BA24</f>
        <v>6.8413673240864065E-12</v>
      </c>
      <c r="BK26" s="122">
        <f>Debt_Calc!BB24</f>
        <v>-6.8413673240864065E-12</v>
      </c>
      <c r="BL26" s="86">
        <f t="shared" si="22"/>
        <v>0</v>
      </c>
      <c r="BM26" s="423">
        <f t="shared" si="41"/>
        <v>0</v>
      </c>
      <c r="BN26" s="86">
        <f t="shared" si="42"/>
        <v>-61240.453664612898</v>
      </c>
      <c r="BO26" s="86">
        <f t="shared" si="23"/>
        <v>-61240.453664612898</v>
      </c>
      <c r="BP26" s="86">
        <f t="shared" si="43"/>
        <v>-61240.453664612898</v>
      </c>
      <c r="BQ26" s="86">
        <f t="shared" si="24"/>
        <v>0</v>
      </c>
      <c r="BR26" s="86">
        <f t="shared" si="25"/>
        <v>0</v>
      </c>
      <c r="BS26" s="86">
        <f t="shared" si="10"/>
        <v>0</v>
      </c>
      <c r="BT26" s="86">
        <f t="shared" si="26"/>
        <v>-1306159.1656407409</v>
      </c>
      <c r="BU26" s="86">
        <f t="shared" si="44"/>
        <v>0</v>
      </c>
      <c r="BV26" s="214" t="e">
        <f t="shared" si="11"/>
        <v>#VALUE!</v>
      </c>
    </row>
    <row r="27" spans="2:74" s="86" customFormat="1" x14ac:dyDescent="0.3">
      <c r="B27" s="192">
        <f t="shared" si="27"/>
        <v>16</v>
      </c>
      <c r="C27" s="350">
        <f t="shared" si="12"/>
        <v>2037</v>
      </c>
      <c r="D27" s="351">
        <f t="shared" si="28"/>
        <v>50041</v>
      </c>
      <c r="E27" s="441">
        <f t="shared" si="28"/>
        <v>50405</v>
      </c>
      <c r="F27" s="445">
        <f>IF(AND(B27&gt;0,B27&lt;=Pyre_Inputs!$J$17),1,0)</f>
        <v>1</v>
      </c>
      <c r="G27" s="447">
        <f>IF(F27=1,Pyre_Inputs!$G$31,0)</f>
        <v>20195.999999999985</v>
      </c>
      <c r="H27" s="348">
        <f>IF(AND(F26=0,F27=1),100%,IF(AND(F26=0,F27=0),100%,H26-Pyre_Inputs!$G$45))*F27</f>
        <v>0.99250000000000083</v>
      </c>
      <c r="I27" s="216">
        <f t="shared" si="29"/>
        <v>20044.530000000002</v>
      </c>
      <c r="J27" s="219">
        <f>Pyre_Inputs!$J$11</f>
        <v>0.01</v>
      </c>
      <c r="K27" s="444">
        <f>IF(B27=1,Pyre_Inputs!$R$15,K26*(1+Pyre_CashFlows!J27))*F27</f>
        <v>4.0161596992677273</v>
      </c>
      <c r="L27" s="338">
        <f>IF(B27=1,Pyre_Inputs!$R$16,L26*(1+Pyre_CashFlows!J27))*F27</f>
        <v>4.0161596992677273</v>
      </c>
      <c r="M27" s="122">
        <f>K27*I27*Pyre_Inputs!$J$9</f>
        <v>40251.016788381472</v>
      </c>
      <c r="N27" s="222">
        <f>L27*I27*Pyre_Inputs!$J$10</f>
        <v>40251.016788381472</v>
      </c>
      <c r="O27" s="423">
        <f t="shared" si="30"/>
        <v>0</v>
      </c>
      <c r="P27" s="122">
        <f>SUM(M27:O27)+IF(B27=Pyre_Inputs!$J$17,Pyre_Inputs!$J$19,0)</f>
        <v>80502.033576762944</v>
      </c>
      <c r="Q27" s="218">
        <f>IF(B27=1,Pyre_Inputs!$O$7,Q26*(1+Pyre_Inputs!$N$23))*F27</f>
        <v>19116.920168514367</v>
      </c>
      <c r="R27" s="122">
        <f>IF(B27=1,Pyre_Inputs!$O$8,R26*(1+Pyre_Inputs!$N$23))*F27</f>
        <v>3408.2737671865634</v>
      </c>
      <c r="S27" s="122">
        <f>IF(B27=1,Pyre_Inputs!$O$9,S26*(1+Pyre_Inputs!$N$23))*F27</f>
        <v>34168.305597767707</v>
      </c>
      <c r="T27" s="122">
        <f>IF(B27=1,Pyre_Inputs!$O$10,T26*(1+Pyre_Inputs!$N$23))*F27</f>
        <v>51449.062021385595</v>
      </c>
      <c r="U27" s="122">
        <f>IF(B27=1,Pyre_Inputs!$O$11,U26*(1+Pyre_Inputs!$N$23))*F27</f>
        <v>20601.292793363737</v>
      </c>
      <c r="V27" s="122">
        <f>IF(B27=1,Pyre_Inputs!$O$12,V26*(1+Pyre_Inputs!$N$23))*F27</f>
        <v>107.09759198047273</v>
      </c>
      <c r="W27" s="122">
        <f>IF(B27=1,Pyre_Inputs!$O$13,W26*(1+Pyre_Inputs!$N$23))*F27</f>
        <v>0</v>
      </c>
      <c r="X27" s="122">
        <f>IF(B27=1,Pyre_Inputs!$O$14,X26*(1+Pyre_Inputs!$N$23))*F27</f>
        <v>405.55180643205489</v>
      </c>
      <c r="Y27" s="122">
        <f>IF(B27=1,Pyre_Inputs!$O$15,Y26*(1+Pyre_Inputs!$N$23))*F27</f>
        <v>405.55180643205489</v>
      </c>
      <c r="Z27" s="122">
        <f>IF(B27=1,Pyre_Inputs!$O$16,Z26*(1+Pyre_Inputs!$N$23))*F27</f>
        <v>12496.553738707127</v>
      </c>
      <c r="AA27" s="122">
        <f>IF(B27=1,Pyre_Inputs!$O$17,AA26*(1+Pyre_Inputs!$N$23))*F27</f>
        <v>236.8376668954796</v>
      </c>
      <c r="AB27" s="181">
        <f>IF(B27=1,Pyre_Inputs!$O$18,AB26*(1+Pyre_Inputs!$N$23))*F27</f>
        <v>0</v>
      </c>
      <c r="AC27" s="482">
        <f>IF(B27=1,Pyre_Inputs!$O$19,AC26*(1+Pyre_Inputs!$N$23))*F27</f>
        <v>0</v>
      </c>
      <c r="AD27" s="122">
        <f>IF(B27=1,Pyre_Inputs!$O$20,AD26*(1+Pyre_Inputs!$N$23))*F27</f>
        <v>0</v>
      </c>
      <c r="AE27" s="122">
        <f>IF(B27=1,Pyre_Inputs!$O$21,AE26*(1+Pyre_Inputs!$N$23))*F27</f>
        <v>0</v>
      </c>
      <c r="AF27" s="132">
        <f>IF(B27=1,Pyre_Inputs!$O$22,AF26*(1+Pyre_Inputs!$N$23))*F27</f>
        <v>0</v>
      </c>
      <c r="AG27" s="200">
        <f t="shared" si="31"/>
        <v>142395.44695866515</v>
      </c>
      <c r="AH27" s="86">
        <f t="shared" si="13"/>
        <v>-61893.41338190221</v>
      </c>
      <c r="AI27" s="225">
        <f t="shared" si="14"/>
        <v>-0.76884285566380839</v>
      </c>
      <c r="AJ27" s="220">
        <f>Deprec!O26</f>
        <v>11772.340832965107</v>
      </c>
      <c r="AK27" s="122">
        <f t="shared" si="32"/>
        <v>-73665.754214867309</v>
      </c>
      <c r="AL27" s="221">
        <f t="shared" si="33"/>
        <v>7.6599909352080094E-12</v>
      </c>
      <c r="AM27" s="122">
        <f t="shared" si="34"/>
        <v>-73665.754214867324</v>
      </c>
      <c r="AN27" s="438">
        <f>IF(AM27&lt;0,0,(AM27*Pyre_Inputs!$J$14))</f>
        <v>0</v>
      </c>
      <c r="AO27" s="86">
        <f t="shared" si="35"/>
        <v>-73665.754214867324</v>
      </c>
      <c r="AP27" s="226">
        <f t="shared" si="16"/>
        <v>-0.91507942025617439</v>
      </c>
      <c r="AS27" s="196">
        <f t="shared" si="17"/>
        <v>80502.033576762944</v>
      </c>
      <c r="AT27" s="86">
        <f t="shared" si="18"/>
        <v>142395.44695866515</v>
      </c>
      <c r="AU27" s="197">
        <f t="shared" si="36"/>
        <v>-61893.41338190221</v>
      </c>
      <c r="AV27" s="218">
        <f>IF(B27=0,Pyre_Inputs!$C$29,0)</f>
        <v>0</v>
      </c>
      <c r="AW27" s="198">
        <f t="shared" si="5"/>
        <v>0</v>
      </c>
      <c r="AX27" s="197">
        <f t="shared" si="6"/>
        <v>-61893.41338190221</v>
      </c>
      <c r="AY27" s="184">
        <f>IF(B27=0,Pyre_Inputs!$G$15+Pyre_Inputs!$G$16,0)</f>
        <v>0</v>
      </c>
      <c r="AZ27" s="185">
        <f>IF(B27=0,Pyre_Inputs!$G$14,0)</f>
        <v>0</v>
      </c>
      <c r="BA27" s="132">
        <f t="shared" si="37"/>
        <v>0</v>
      </c>
      <c r="BB27" s="218">
        <f t="shared" si="38"/>
        <v>-61893.41338190221</v>
      </c>
      <c r="BC27" s="218">
        <f>Pyre_Inputs!$G$20*AVERAGE(BR27,BS27)</f>
        <v>0</v>
      </c>
      <c r="BD27" s="200">
        <f t="shared" si="9"/>
        <v>0</v>
      </c>
      <c r="BE27" s="200">
        <f t="shared" si="19"/>
        <v>-61893.41338190221</v>
      </c>
      <c r="BF27" s="86">
        <f t="shared" si="20"/>
        <v>-61893.41338190221</v>
      </c>
      <c r="BG27" s="197">
        <f t="shared" si="21"/>
        <v>-61893.41338190221</v>
      </c>
      <c r="BH27" s="86">
        <f t="shared" si="39"/>
        <v>6.4015758860326499E-11</v>
      </c>
      <c r="BI27" s="86">
        <f t="shared" si="40"/>
        <v>7.1675749795534505E-11</v>
      </c>
      <c r="BJ27" s="122">
        <f>-Debt_Calc!BA25</f>
        <v>7.6599909352080094E-12</v>
      </c>
      <c r="BK27" s="122">
        <f>Debt_Calc!BB25</f>
        <v>-7.6599909352080094E-12</v>
      </c>
      <c r="BL27" s="86">
        <f t="shared" si="22"/>
        <v>0</v>
      </c>
      <c r="BM27" s="423">
        <f t="shared" si="41"/>
        <v>0</v>
      </c>
      <c r="BN27" s="86">
        <f t="shared" si="42"/>
        <v>-61893.41338190221</v>
      </c>
      <c r="BO27" s="86">
        <f t="shared" si="23"/>
        <v>-61893.41338190221</v>
      </c>
      <c r="BP27" s="86">
        <f t="shared" si="43"/>
        <v>-61893.41338190221</v>
      </c>
      <c r="BQ27" s="86">
        <f t="shared" si="24"/>
        <v>0</v>
      </c>
      <c r="BR27" s="86">
        <f t="shared" si="25"/>
        <v>0</v>
      </c>
      <c r="BS27" s="86">
        <f t="shared" si="10"/>
        <v>0</v>
      </c>
      <c r="BT27" s="86">
        <f t="shared" si="26"/>
        <v>-1368052.5790226432</v>
      </c>
      <c r="BU27" s="86">
        <f t="shared" si="44"/>
        <v>0</v>
      </c>
      <c r="BV27" s="214" t="e">
        <f t="shared" si="11"/>
        <v>#VALUE!</v>
      </c>
    </row>
    <row r="28" spans="2:74" s="86" customFormat="1" x14ac:dyDescent="0.3">
      <c r="B28" s="192">
        <f t="shared" si="27"/>
        <v>17</v>
      </c>
      <c r="C28" s="350">
        <f t="shared" si="12"/>
        <v>2038</v>
      </c>
      <c r="D28" s="351">
        <f t="shared" si="28"/>
        <v>50406</v>
      </c>
      <c r="E28" s="441">
        <f t="shared" si="28"/>
        <v>50770</v>
      </c>
      <c r="F28" s="445">
        <f>IF(AND(B28&gt;0,B28&lt;=Pyre_Inputs!$J$17),1,0)</f>
        <v>1</v>
      </c>
      <c r="G28" s="447">
        <f>IF(F28=1,Pyre_Inputs!$G$31,0)</f>
        <v>20195.999999999985</v>
      </c>
      <c r="H28" s="348">
        <f>IF(AND(F27=0,F28=1),100%,IF(AND(F27=0,F28=0),100%,H27-Pyre_Inputs!$G$45))*F28</f>
        <v>0.99200000000000088</v>
      </c>
      <c r="I28" s="216">
        <f t="shared" si="29"/>
        <v>20034.432000000004</v>
      </c>
      <c r="J28" s="219">
        <f>Pyre_Inputs!$J$11</f>
        <v>0.01</v>
      </c>
      <c r="K28" s="444">
        <f>IF(B28=1,Pyre_Inputs!$R$15,K27*(1+Pyre_CashFlows!J28))*F28</f>
        <v>4.0563212962604043</v>
      </c>
      <c r="L28" s="338">
        <f>IF(B28=1,Pyre_Inputs!$R$16,L27*(1+Pyre_CashFlows!J28))*F28</f>
        <v>4.0563212962604043</v>
      </c>
      <c r="M28" s="122">
        <f>K28*I28*Pyre_Inputs!$J$9</f>
        <v>40633.046590040474</v>
      </c>
      <c r="N28" s="222">
        <f>L28*I28*Pyre_Inputs!$J$10</f>
        <v>40633.046590040474</v>
      </c>
      <c r="O28" s="423">
        <f t="shared" si="30"/>
        <v>0</v>
      </c>
      <c r="P28" s="122">
        <f>SUM(M28:O28)+IF(B28=Pyre_Inputs!$J$17,Pyre_Inputs!$J$19,0)</f>
        <v>81266.093180080949</v>
      </c>
      <c r="Q28" s="218">
        <f>IF(B28=1,Pyre_Inputs!$O$7,Q27*(1+Pyre_Inputs!$N$23))*F28</f>
        <v>19308.089370199512</v>
      </c>
      <c r="R28" s="122">
        <f>IF(B28=1,Pyre_Inputs!$O$8,R27*(1+Pyre_Inputs!$N$23))*F28</f>
        <v>3442.3565048584292</v>
      </c>
      <c r="S28" s="122">
        <f>IF(B28=1,Pyre_Inputs!$O$9,S27*(1+Pyre_Inputs!$N$23))*F28</f>
        <v>34509.988653745386</v>
      </c>
      <c r="T28" s="122">
        <f>IF(B28=1,Pyre_Inputs!$O$10,T27*(1+Pyre_Inputs!$N$23))*F28</f>
        <v>51963.552641599454</v>
      </c>
      <c r="U28" s="122">
        <f>IF(B28=1,Pyre_Inputs!$O$11,U27*(1+Pyre_Inputs!$N$23))*F28</f>
        <v>20807.305721297373</v>
      </c>
      <c r="V28" s="122">
        <f>IF(B28=1,Pyre_Inputs!$O$12,V27*(1+Pyre_Inputs!$N$23))*F28</f>
        <v>108.16856790027745</v>
      </c>
      <c r="W28" s="122">
        <f>IF(B28=1,Pyre_Inputs!$O$13,W27*(1+Pyre_Inputs!$N$23))*F28</f>
        <v>0</v>
      </c>
      <c r="X28" s="122">
        <f>IF(B28=1,Pyre_Inputs!$O$14,X27*(1+Pyre_Inputs!$N$23))*F28</f>
        <v>409.60732449637544</v>
      </c>
      <c r="Y28" s="122">
        <f>IF(B28=1,Pyre_Inputs!$O$15,Y27*(1+Pyre_Inputs!$N$23))*F28</f>
        <v>409.60732449637544</v>
      </c>
      <c r="Z28" s="122">
        <f>IF(B28=1,Pyre_Inputs!$O$16,Z27*(1+Pyre_Inputs!$N$23))*F28</f>
        <v>12621.519276094199</v>
      </c>
      <c r="AA28" s="122">
        <f>IF(B28=1,Pyre_Inputs!$O$17,AA27*(1+Pyre_Inputs!$N$23))*F28</f>
        <v>239.2060435644344</v>
      </c>
      <c r="AB28" s="181">
        <f>IF(B28=1,Pyre_Inputs!$O$18,AB27*(1+Pyre_Inputs!$N$23))*F28</f>
        <v>0</v>
      </c>
      <c r="AC28" s="482">
        <f>IF(B28=1,Pyre_Inputs!$O$19,AC27*(1+Pyre_Inputs!$N$23))*F28</f>
        <v>0</v>
      </c>
      <c r="AD28" s="122">
        <f>IF(B28=1,Pyre_Inputs!$O$20,AD27*(1+Pyre_Inputs!$N$23))*F28</f>
        <v>0</v>
      </c>
      <c r="AE28" s="122">
        <f>IF(B28=1,Pyre_Inputs!$O$21,AE27*(1+Pyre_Inputs!$N$23))*F28</f>
        <v>0</v>
      </c>
      <c r="AF28" s="132">
        <f>IF(B28=1,Pyre_Inputs!$O$22,AF27*(1+Pyre_Inputs!$N$23))*F28</f>
        <v>0</v>
      </c>
      <c r="AG28" s="200">
        <f t="shared" si="31"/>
        <v>143819.40142825179</v>
      </c>
      <c r="AH28" s="86">
        <f t="shared" si="13"/>
        <v>-62553.308248170841</v>
      </c>
      <c r="AI28" s="225">
        <f t="shared" si="14"/>
        <v>-0.76973440952250949</v>
      </c>
      <c r="AJ28" s="220">
        <f>Deprec!O27</f>
        <v>11772.340832965107</v>
      </c>
      <c r="AK28" s="122">
        <f t="shared" si="32"/>
        <v>-74325.649081135954</v>
      </c>
      <c r="AL28" s="221">
        <f t="shared" si="33"/>
        <v>8.5765693242182922E-12</v>
      </c>
      <c r="AM28" s="122">
        <f t="shared" si="34"/>
        <v>-74325.649081135969</v>
      </c>
      <c r="AN28" s="438">
        <f>IF(AM28&lt;0,0,(AM28*Pyre_Inputs!$J$14))</f>
        <v>0</v>
      </c>
      <c r="AO28" s="86">
        <f t="shared" si="35"/>
        <v>-74325.649081135969</v>
      </c>
      <c r="AP28" s="226">
        <f t="shared" si="16"/>
        <v>-0.91459606550095429</v>
      </c>
      <c r="AS28" s="196">
        <f t="shared" si="17"/>
        <v>81266.093180080949</v>
      </c>
      <c r="AT28" s="86">
        <f t="shared" si="18"/>
        <v>143819.40142825179</v>
      </c>
      <c r="AU28" s="197">
        <f t="shared" si="36"/>
        <v>-62553.308248170841</v>
      </c>
      <c r="AV28" s="218">
        <f>IF(B28=0,Pyre_Inputs!$C$29,0)</f>
        <v>0</v>
      </c>
      <c r="AW28" s="198">
        <f t="shared" si="5"/>
        <v>0</v>
      </c>
      <c r="AX28" s="197">
        <f t="shared" si="6"/>
        <v>-62553.308248170841</v>
      </c>
      <c r="AY28" s="184">
        <f>IF(B28=0,Pyre_Inputs!$G$15+Pyre_Inputs!$G$16,0)</f>
        <v>0</v>
      </c>
      <c r="AZ28" s="185">
        <f>IF(B28=0,Pyre_Inputs!$G$14,0)</f>
        <v>0</v>
      </c>
      <c r="BA28" s="132">
        <f t="shared" si="37"/>
        <v>0</v>
      </c>
      <c r="BB28" s="218">
        <f t="shared" si="38"/>
        <v>-62553.308248170841</v>
      </c>
      <c r="BC28" s="218">
        <f>Pyre_Inputs!$G$20*AVERAGE(BR28,BS28)</f>
        <v>0</v>
      </c>
      <c r="BD28" s="200">
        <f t="shared" si="9"/>
        <v>0</v>
      </c>
      <c r="BE28" s="200">
        <f t="shared" si="19"/>
        <v>-62553.308248170841</v>
      </c>
      <c r="BF28" s="86">
        <f t="shared" si="20"/>
        <v>-62553.308248170841</v>
      </c>
      <c r="BG28" s="197">
        <f t="shared" si="21"/>
        <v>-62553.308248170841</v>
      </c>
      <c r="BH28" s="86">
        <f t="shared" si="39"/>
        <v>7.1675749795534505E-11</v>
      </c>
      <c r="BI28" s="86">
        <f t="shared" si="40"/>
        <v>8.0252319119752794E-11</v>
      </c>
      <c r="BJ28" s="122">
        <f>-Debt_Calc!BA26</f>
        <v>8.5765693242182922E-12</v>
      </c>
      <c r="BK28" s="122">
        <f>Debt_Calc!BB26</f>
        <v>-8.5765693242182922E-12</v>
      </c>
      <c r="BL28" s="86">
        <f t="shared" si="22"/>
        <v>0</v>
      </c>
      <c r="BM28" s="423">
        <f t="shared" si="41"/>
        <v>0</v>
      </c>
      <c r="BN28" s="86">
        <f t="shared" si="42"/>
        <v>-62553.308248170841</v>
      </c>
      <c r="BO28" s="86">
        <f t="shared" si="23"/>
        <v>-62553.308248170841</v>
      </c>
      <c r="BP28" s="86">
        <f t="shared" si="43"/>
        <v>-62553.308248170841</v>
      </c>
      <c r="BQ28" s="86">
        <f t="shared" si="24"/>
        <v>0</v>
      </c>
      <c r="BR28" s="86">
        <f t="shared" si="25"/>
        <v>0</v>
      </c>
      <c r="BS28" s="86">
        <f t="shared" si="10"/>
        <v>0</v>
      </c>
      <c r="BT28" s="86">
        <f t="shared" si="26"/>
        <v>-1430605.887270814</v>
      </c>
      <c r="BU28" s="86">
        <f t="shared" si="44"/>
        <v>0</v>
      </c>
      <c r="BV28" s="214" t="e">
        <f t="shared" si="11"/>
        <v>#VALUE!</v>
      </c>
    </row>
    <row r="29" spans="2:74" s="86" customFormat="1" x14ac:dyDescent="0.3">
      <c r="B29" s="192">
        <f t="shared" si="27"/>
        <v>18</v>
      </c>
      <c r="C29" s="350">
        <f t="shared" si="12"/>
        <v>2039</v>
      </c>
      <c r="D29" s="351">
        <f t="shared" ref="D29:E44" si="45">EDATE(D28,12)</f>
        <v>50771</v>
      </c>
      <c r="E29" s="441">
        <f t="shared" si="45"/>
        <v>51135</v>
      </c>
      <c r="F29" s="445">
        <f>IF(AND(B29&gt;0,B29&lt;=Pyre_Inputs!$J$17),1,0)</f>
        <v>1</v>
      </c>
      <c r="G29" s="447">
        <f>IF(F29=1,Pyre_Inputs!$G$31,0)</f>
        <v>20195.999999999985</v>
      </c>
      <c r="H29" s="348">
        <f>IF(AND(F28=0,F29=1),100%,IF(AND(F28=0,F29=0),100%,H28-Pyre_Inputs!$G$45))*F29</f>
        <v>0.99150000000000094</v>
      </c>
      <c r="I29" s="216">
        <f t="shared" si="29"/>
        <v>20024.334000000006</v>
      </c>
      <c r="J29" s="219">
        <f>Pyre_Inputs!$J$11</f>
        <v>0.01</v>
      </c>
      <c r="K29" s="444">
        <f>IF(B29=1,Pyre_Inputs!$R$15,K28*(1+Pyre_CashFlows!J29))*F29</f>
        <v>4.096884509223008</v>
      </c>
      <c r="L29" s="338">
        <f>IF(B29=1,Pyre_Inputs!$R$16,L28*(1+Pyre_CashFlows!J29))*F29</f>
        <v>4.096884509223008</v>
      </c>
      <c r="M29" s="122">
        <f>K29*I29*Pyre_Inputs!$J$9</f>
        <v>41018.691886053806</v>
      </c>
      <c r="N29" s="222">
        <f>L29*I29*Pyre_Inputs!$J$10</f>
        <v>41018.691886053806</v>
      </c>
      <c r="O29" s="423">
        <f t="shared" si="30"/>
        <v>0</v>
      </c>
      <c r="P29" s="122">
        <f>SUM(M29:O29)+IF(B29=Pyre_Inputs!$J$17,Pyre_Inputs!$J$19,0)</f>
        <v>82037.383772107612</v>
      </c>
      <c r="Q29" s="218">
        <f>IF(B29=1,Pyre_Inputs!$O$7,Q28*(1+Pyre_Inputs!$N$23))*F29</f>
        <v>19501.170263901506</v>
      </c>
      <c r="R29" s="122">
        <f>IF(B29=1,Pyre_Inputs!$O$8,R28*(1+Pyre_Inputs!$N$23))*F29</f>
        <v>3476.7800699070135</v>
      </c>
      <c r="S29" s="122">
        <f>IF(B29=1,Pyre_Inputs!$O$9,S28*(1+Pyre_Inputs!$N$23))*F29</f>
        <v>34855.088540282843</v>
      </c>
      <c r="T29" s="122">
        <f>IF(B29=1,Pyre_Inputs!$O$10,T28*(1+Pyre_Inputs!$N$23))*F29</f>
        <v>52483.188168015447</v>
      </c>
      <c r="U29" s="122">
        <f>IF(B29=1,Pyre_Inputs!$O$11,U28*(1+Pyre_Inputs!$N$23))*F29</f>
        <v>21015.378778510345</v>
      </c>
      <c r="V29" s="122">
        <f>IF(B29=1,Pyre_Inputs!$O$12,V28*(1+Pyre_Inputs!$N$23))*F29</f>
        <v>109.25025357928023</v>
      </c>
      <c r="W29" s="122">
        <f>IF(B29=1,Pyre_Inputs!$O$13,W28*(1+Pyre_Inputs!$N$23))*F29</f>
        <v>0</v>
      </c>
      <c r="X29" s="122">
        <f>IF(B29=1,Pyre_Inputs!$O$14,X28*(1+Pyre_Inputs!$N$23))*F29</f>
        <v>413.70339774133919</v>
      </c>
      <c r="Y29" s="122">
        <f>IF(B29=1,Pyre_Inputs!$O$15,Y28*(1+Pyre_Inputs!$N$23))*F29</f>
        <v>413.70339774133919</v>
      </c>
      <c r="Z29" s="122">
        <f>IF(B29=1,Pyre_Inputs!$O$16,Z28*(1+Pyre_Inputs!$N$23))*F29</f>
        <v>12747.734468855142</v>
      </c>
      <c r="AA29" s="122">
        <f>IF(B29=1,Pyre_Inputs!$O$17,AA28*(1+Pyre_Inputs!$N$23))*F29</f>
        <v>241.59810400007873</v>
      </c>
      <c r="AB29" s="181">
        <f>IF(B29=1,Pyre_Inputs!$O$18,AB28*(1+Pyre_Inputs!$N$23))*F29</f>
        <v>0</v>
      </c>
      <c r="AC29" s="482">
        <f>IF(B29=1,Pyre_Inputs!$O$19,AC28*(1+Pyre_Inputs!$N$23))*F29</f>
        <v>0</v>
      </c>
      <c r="AD29" s="122">
        <f>IF(B29=1,Pyre_Inputs!$O$20,AD28*(1+Pyre_Inputs!$N$23))*F29</f>
        <v>0</v>
      </c>
      <c r="AE29" s="122">
        <f>IF(B29=1,Pyre_Inputs!$O$21,AE28*(1+Pyre_Inputs!$N$23))*F29</f>
        <v>0</v>
      </c>
      <c r="AF29" s="132">
        <f>IF(B29=1,Pyre_Inputs!$O$22,AF28*(1+Pyre_Inputs!$N$23))*F29</f>
        <v>0</v>
      </c>
      <c r="AG29" s="200">
        <f t="shared" si="31"/>
        <v>145257.59544253434</v>
      </c>
      <c r="AH29" s="86">
        <f t="shared" si="13"/>
        <v>-63220.211670426725</v>
      </c>
      <c r="AI29" s="225">
        <f t="shared" si="14"/>
        <v>-0.77062686257824509</v>
      </c>
      <c r="AJ29" s="220">
        <f>Deprec!O28</f>
        <v>11772.340832965107</v>
      </c>
      <c r="AK29" s="122">
        <f t="shared" si="32"/>
        <v>-74992.552503391838</v>
      </c>
      <c r="AL29" s="221">
        <f t="shared" si="33"/>
        <v>9.6028235536188321E-12</v>
      </c>
      <c r="AM29" s="122">
        <f t="shared" si="34"/>
        <v>-74992.552503391853</v>
      </c>
      <c r="AN29" s="438">
        <f>IF(AM29&lt;0,0,(AM29*Pyre_Inputs!$J$14))</f>
        <v>0</v>
      </c>
      <c r="AO29" s="86">
        <f t="shared" si="35"/>
        <v>-74992.552503391853</v>
      </c>
      <c r="AP29" s="226">
        <f t="shared" si="16"/>
        <v>-0.9141265732183067</v>
      </c>
      <c r="AS29" s="196">
        <f t="shared" si="17"/>
        <v>82037.383772107612</v>
      </c>
      <c r="AT29" s="86">
        <f t="shared" si="18"/>
        <v>145257.59544253434</v>
      </c>
      <c r="AU29" s="197">
        <f t="shared" si="36"/>
        <v>-63220.211670426725</v>
      </c>
      <c r="AV29" s="218">
        <f>IF(B29=0,Pyre_Inputs!$C$29,0)</f>
        <v>0</v>
      </c>
      <c r="AW29" s="198">
        <f t="shared" si="5"/>
        <v>0</v>
      </c>
      <c r="AX29" s="197">
        <f t="shared" si="6"/>
        <v>-63220.211670426725</v>
      </c>
      <c r="AY29" s="184">
        <f>IF(B29=0,Pyre_Inputs!$G$15+Pyre_Inputs!$G$16,0)</f>
        <v>0</v>
      </c>
      <c r="AZ29" s="185">
        <f>IF(B29=0,Pyre_Inputs!$G$14,0)</f>
        <v>0</v>
      </c>
      <c r="BA29" s="132">
        <f t="shared" si="37"/>
        <v>0</v>
      </c>
      <c r="BB29" s="218">
        <f t="shared" si="38"/>
        <v>-63220.211670426725</v>
      </c>
      <c r="BC29" s="218">
        <f>Pyre_Inputs!$G$20*AVERAGE(BR29,BS29)</f>
        <v>0</v>
      </c>
      <c r="BD29" s="200">
        <f t="shared" si="9"/>
        <v>0</v>
      </c>
      <c r="BE29" s="200">
        <f t="shared" si="19"/>
        <v>-63220.211670426725</v>
      </c>
      <c r="BF29" s="86">
        <f t="shared" si="20"/>
        <v>-63220.211670426725</v>
      </c>
      <c r="BG29" s="197">
        <f t="shared" si="21"/>
        <v>-63220.211670426725</v>
      </c>
      <c r="BH29" s="86">
        <f t="shared" si="39"/>
        <v>8.0252319119752794E-11</v>
      </c>
      <c r="BI29" s="86">
        <f t="shared" si="40"/>
        <v>8.9855142673371626E-11</v>
      </c>
      <c r="BJ29" s="122">
        <f>-Debt_Calc!BA27</f>
        <v>9.6028235536188321E-12</v>
      </c>
      <c r="BK29" s="122">
        <f>Debt_Calc!BB27</f>
        <v>-9.6028235536188321E-12</v>
      </c>
      <c r="BL29" s="86">
        <f t="shared" si="22"/>
        <v>0</v>
      </c>
      <c r="BM29" s="423">
        <f t="shared" si="41"/>
        <v>0</v>
      </c>
      <c r="BN29" s="86">
        <f t="shared" si="42"/>
        <v>-63220.211670426725</v>
      </c>
      <c r="BO29" s="86">
        <f t="shared" si="23"/>
        <v>-63220.211670426725</v>
      </c>
      <c r="BP29" s="86">
        <f t="shared" si="43"/>
        <v>-63220.211670426725</v>
      </c>
      <c r="BQ29" s="86">
        <f t="shared" si="24"/>
        <v>0</v>
      </c>
      <c r="BR29" s="86">
        <f t="shared" si="25"/>
        <v>0</v>
      </c>
      <c r="BS29" s="86">
        <f t="shared" si="10"/>
        <v>0</v>
      </c>
      <c r="BT29" s="86">
        <f t="shared" si="26"/>
        <v>-1493826.0989412407</v>
      </c>
      <c r="BU29" s="86">
        <f t="shared" si="44"/>
        <v>0</v>
      </c>
      <c r="BV29" s="214" t="e">
        <f t="shared" si="11"/>
        <v>#VALUE!</v>
      </c>
    </row>
    <row r="30" spans="2:74" s="86" customFormat="1" x14ac:dyDescent="0.3">
      <c r="B30" s="192">
        <f t="shared" si="27"/>
        <v>19</v>
      </c>
      <c r="C30" s="350">
        <f t="shared" si="12"/>
        <v>2040</v>
      </c>
      <c r="D30" s="351">
        <f t="shared" si="45"/>
        <v>51136</v>
      </c>
      <c r="E30" s="441">
        <f t="shared" si="45"/>
        <v>51501</v>
      </c>
      <c r="F30" s="445">
        <f>IF(AND(B30&gt;0,B30&lt;=Pyre_Inputs!$J$17),1,0)</f>
        <v>1</v>
      </c>
      <c r="G30" s="447">
        <f>IF(F30=1,Pyre_Inputs!$G$31,0)</f>
        <v>20195.999999999985</v>
      </c>
      <c r="H30" s="348">
        <f>IF(AND(F29=0,F30=1),100%,IF(AND(F29=0,F30=0),100%,H29-Pyre_Inputs!$G$45))*F30</f>
        <v>0.99100000000000099</v>
      </c>
      <c r="I30" s="216">
        <f t="shared" si="29"/>
        <v>20014.236000000004</v>
      </c>
      <c r="J30" s="219">
        <f>Pyre_Inputs!$J$11</f>
        <v>0.01</v>
      </c>
      <c r="K30" s="444">
        <f>IF(B30=1,Pyre_Inputs!$R$15,K29*(1+Pyre_CashFlows!J30))*F30</f>
        <v>4.1378533543152383</v>
      </c>
      <c r="L30" s="338">
        <f>IF(B30=1,Pyre_Inputs!$R$16,L29*(1+Pyre_CashFlows!J30))*F30</f>
        <v>4.1378533543152383</v>
      </c>
      <c r="M30" s="122">
        <f>K30*I30*Pyre_Inputs!$J$9</f>
        <v>41407.986783328408</v>
      </c>
      <c r="N30" s="222">
        <f>L30*I30*Pyre_Inputs!$J$10</f>
        <v>41407.986783328408</v>
      </c>
      <c r="O30" s="423">
        <f t="shared" si="30"/>
        <v>0</v>
      </c>
      <c r="P30" s="122">
        <f>SUM(M30:O30)+IF(B30=Pyre_Inputs!$J$17,Pyre_Inputs!$J$19,0)</f>
        <v>82815.973566656816</v>
      </c>
      <c r="Q30" s="218">
        <f>IF(B30=1,Pyre_Inputs!$O$7,Q29*(1+Pyre_Inputs!$N$23))*F30</f>
        <v>19696.18196654052</v>
      </c>
      <c r="R30" s="122">
        <f>IF(B30=1,Pyre_Inputs!$O$8,R29*(1+Pyre_Inputs!$N$23))*F30</f>
        <v>3511.5478706060835</v>
      </c>
      <c r="S30" s="122">
        <f>IF(B30=1,Pyre_Inputs!$O$9,S29*(1+Pyre_Inputs!$N$23))*F30</f>
        <v>35203.639425685673</v>
      </c>
      <c r="T30" s="122">
        <f>IF(B30=1,Pyre_Inputs!$O$10,T29*(1+Pyre_Inputs!$N$23))*F30</f>
        <v>53008.020049695602</v>
      </c>
      <c r="U30" s="122">
        <f>IF(B30=1,Pyre_Inputs!$O$11,U29*(1+Pyre_Inputs!$N$23))*F30</f>
        <v>21225.532566295449</v>
      </c>
      <c r="V30" s="122">
        <f>IF(B30=1,Pyre_Inputs!$O$12,V29*(1+Pyre_Inputs!$N$23))*F30</f>
        <v>110.34275611507303</v>
      </c>
      <c r="W30" s="122">
        <f>IF(B30=1,Pyre_Inputs!$O$13,W29*(1+Pyre_Inputs!$N$23))*F30</f>
        <v>0</v>
      </c>
      <c r="X30" s="122">
        <f>IF(B30=1,Pyre_Inputs!$O$14,X29*(1+Pyre_Inputs!$N$23))*F30</f>
        <v>417.8404317187526</v>
      </c>
      <c r="Y30" s="122">
        <f>IF(B30=1,Pyre_Inputs!$O$15,Y29*(1+Pyre_Inputs!$N$23))*F30</f>
        <v>417.8404317187526</v>
      </c>
      <c r="Z30" s="122">
        <f>IF(B30=1,Pyre_Inputs!$O$16,Z29*(1+Pyre_Inputs!$N$23))*F30</f>
        <v>12875.211813543694</v>
      </c>
      <c r="AA30" s="122">
        <f>IF(B30=1,Pyre_Inputs!$O$17,AA29*(1+Pyre_Inputs!$N$23))*F30</f>
        <v>244.01408504007952</v>
      </c>
      <c r="AB30" s="181">
        <f>IF(B30=1,Pyre_Inputs!$O$18,AB29*(1+Pyre_Inputs!$N$23))*F30</f>
        <v>0</v>
      </c>
      <c r="AC30" s="482">
        <f>IF(B30=1,Pyre_Inputs!$O$19,AC29*(1+Pyre_Inputs!$N$23))*F30</f>
        <v>0</v>
      </c>
      <c r="AD30" s="122">
        <f>IF(B30=1,Pyre_Inputs!$O$20,AD29*(1+Pyre_Inputs!$N$23))*F30</f>
        <v>0</v>
      </c>
      <c r="AE30" s="122">
        <f>IF(B30=1,Pyre_Inputs!$O$21,AE29*(1+Pyre_Inputs!$N$23))*F30</f>
        <v>0</v>
      </c>
      <c r="AF30" s="132">
        <f>IF(B30=1,Pyre_Inputs!$O$22,AF29*(1+Pyre_Inputs!$N$23))*F30</f>
        <v>0</v>
      </c>
      <c r="AG30" s="200">
        <f t="shared" si="31"/>
        <v>146710.17139695969</v>
      </c>
      <c r="AH30" s="86">
        <f t="shared" si="13"/>
        <v>-63894.197830302874</v>
      </c>
      <c r="AI30" s="225">
        <f t="shared" si="14"/>
        <v>-0.77152021619205857</v>
      </c>
      <c r="AJ30" s="220">
        <f>Deprec!O29</f>
        <v>11772.340832965107</v>
      </c>
      <c r="AK30" s="122">
        <f t="shared" si="32"/>
        <v>-75666.538663267973</v>
      </c>
      <c r="AL30" s="221">
        <f t="shared" si="33"/>
        <v>1.0751877203574223E-11</v>
      </c>
      <c r="AM30" s="122">
        <f t="shared" si="34"/>
        <v>-75666.538663267987</v>
      </c>
      <c r="AN30" s="438">
        <f>IF(AM30&lt;0,0,(AM30*Pyre_Inputs!$J$14))</f>
        <v>0</v>
      </c>
      <c r="AO30" s="86">
        <f t="shared" si="35"/>
        <v>-75666.538663267987</v>
      </c>
      <c r="AP30" s="226">
        <f t="shared" si="16"/>
        <v>-0.91367082224017571</v>
      </c>
      <c r="AS30" s="196">
        <f t="shared" si="17"/>
        <v>82815.973566656816</v>
      </c>
      <c r="AT30" s="86">
        <f t="shared" si="18"/>
        <v>146710.17139695969</v>
      </c>
      <c r="AU30" s="197">
        <f t="shared" si="36"/>
        <v>-63894.197830302874</v>
      </c>
      <c r="AV30" s="218">
        <f>IF(B30=0,Pyre_Inputs!$C$29,0)</f>
        <v>0</v>
      </c>
      <c r="AW30" s="198">
        <f t="shared" si="5"/>
        <v>0</v>
      </c>
      <c r="AX30" s="197">
        <f t="shared" si="6"/>
        <v>-63894.197830302874</v>
      </c>
      <c r="AY30" s="184">
        <f>IF(B30=0,Pyre_Inputs!$G$15+Pyre_Inputs!$G$16,0)</f>
        <v>0</v>
      </c>
      <c r="AZ30" s="185">
        <f>IF(B30=0,Pyre_Inputs!$G$14,0)</f>
        <v>0</v>
      </c>
      <c r="BA30" s="132">
        <f t="shared" si="37"/>
        <v>0</v>
      </c>
      <c r="BB30" s="218">
        <f t="shared" si="38"/>
        <v>-63894.197830302874</v>
      </c>
      <c r="BC30" s="218">
        <f>Pyre_Inputs!$G$20*AVERAGE(BR30,BS30)</f>
        <v>0</v>
      </c>
      <c r="BD30" s="200">
        <f t="shared" si="9"/>
        <v>0</v>
      </c>
      <c r="BE30" s="200">
        <f t="shared" si="19"/>
        <v>-63894.197830302874</v>
      </c>
      <c r="BF30" s="86">
        <f t="shared" si="20"/>
        <v>-63894.197830302874</v>
      </c>
      <c r="BG30" s="197">
        <f t="shared" si="21"/>
        <v>-63894.197830302874</v>
      </c>
      <c r="BH30" s="86">
        <f t="shared" si="39"/>
        <v>8.9855142673371626E-11</v>
      </c>
      <c r="BI30" s="86">
        <f t="shared" si="40"/>
        <v>1.0060701987694585E-10</v>
      </c>
      <c r="BJ30" s="122">
        <f>-Debt_Calc!BA28</f>
        <v>1.0751877203574223E-11</v>
      </c>
      <c r="BK30" s="122">
        <f>Debt_Calc!BB28</f>
        <v>-1.0751877203574223E-11</v>
      </c>
      <c r="BL30" s="86">
        <f t="shared" si="22"/>
        <v>0</v>
      </c>
      <c r="BM30" s="423">
        <f t="shared" si="41"/>
        <v>0</v>
      </c>
      <c r="BN30" s="86">
        <f t="shared" si="42"/>
        <v>-63894.197830302874</v>
      </c>
      <c r="BO30" s="86">
        <f t="shared" si="23"/>
        <v>-63894.197830302874</v>
      </c>
      <c r="BP30" s="86">
        <f t="shared" si="43"/>
        <v>-63894.197830302874</v>
      </c>
      <c r="BQ30" s="86">
        <f t="shared" si="24"/>
        <v>0</v>
      </c>
      <c r="BR30" s="86">
        <f t="shared" si="25"/>
        <v>0</v>
      </c>
      <c r="BS30" s="86">
        <f t="shared" si="10"/>
        <v>0</v>
      </c>
      <c r="BT30" s="86">
        <f t="shared" si="26"/>
        <v>-1557720.2967715436</v>
      </c>
      <c r="BU30" s="86">
        <f t="shared" si="44"/>
        <v>0</v>
      </c>
      <c r="BV30" s="214" t="e">
        <f t="shared" si="11"/>
        <v>#VALUE!</v>
      </c>
    </row>
    <row r="31" spans="2:74" s="86" customFormat="1" x14ac:dyDescent="0.3">
      <c r="B31" s="192">
        <f t="shared" si="27"/>
        <v>20</v>
      </c>
      <c r="C31" s="350">
        <f t="shared" si="12"/>
        <v>2041</v>
      </c>
      <c r="D31" s="351">
        <f t="shared" si="45"/>
        <v>51502</v>
      </c>
      <c r="E31" s="441">
        <f t="shared" si="45"/>
        <v>51866</v>
      </c>
      <c r="F31" s="445">
        <f>IF(AND(B31&gt;0,B31&lt;=Pyre_Inputs!$J$17),1,0)</f>
        <v>1</v>
      </c>
      <c r="G31" s="447">
        <f>IF(F31=1,Pyre_Inputs!$G$31,0)</f>
        <v>20195.999999999985</v>
      </c>
      <c r="H31" s="348">
        <f>IF(AND(F30=0,F31=1),100%,IF(AND(F30=0,F31=0),100%,H30-Pyre_Inputs!$G$45))*F31</f>
        <v>0.99050000000000105</v>
      </c>
      <c r="I31" s="216">
        <f t="shared" si="29"/>
        <v>20004.138000000006</v>
      </c>
      <c r="J31" s="219">
        <f>Pyre_Inputs!$J$11</f>
        <v>0.01</v>
      </c>
      <c r="K31" s="444">
        <f>IF(B31=1,Pyre_Inputs!$R$15,K30*(1+Pyre_CashFlows!J31))*F31</f>
        <v>4.1792318878583909</v>
      </c>
      <c r="L31" s="338">
        <f>IF(B31=1,Pyre_Inputs!$R$16,L30*(1+Pyre_CashFlows!J31))*F31</f>
        <v>4.1792318878583909</v>
      </c>
      <c r="M31" s="122">
        <f>K31*I31*Pyre_Inputs!$J$9</f>
        <v>41800.965709359902</v>
      </c>
      <c r="N31" s="222">
        <f>L31*I31*Pyre_Inputs!$J$10</f>
        <v>41800.965709359902</v>
      </c>
      <c r="O31" s="423">
        <f t="shared" si="30"/>
        <v>0</v>
      </c>
      <c r="P31" s="122">
        <f>SUM(M31:O31)+IF(B31=Pyre_Inputs!$J$17,Pyre_Inputs!$J$19,0)</f>
        <v>83601.931418719803</v>
      </c>
      <c r="Q31" s="218">
        <f>IF(B31=1,Pyre_Inputs!$O$7,Q30*(1+Pyre_Inputs!$N$23))*F31</f>
        <v>19893.143786205925</v>
      </c>
      <c r="R31" s="122">
        <f>IF(B31=1,Pyre_Inputs!$O$8,R30*(1+Pyre_Inputs!$N$23))*F31</f>
        <v>3546.6633493121444</v>
      </c>
      <c r="S31" s="122">
        <f>IF(B31=1,Pyre_Inputs!$O$9,S30*(1+Pyre_Inputs!$N$23))*F31</f>
        <v>35555.675819942531</v>
      </c>
      <c r="T31" s="122">
        <f>IF(B31=1,Pyre_Inputs!$O$10,T30*(1+Pyre_Inputs!$N$23))*F31</f>
        <v>53538.100250192561</v>
      </c>
      <c r="U31" s="122">
        <f>IF(B31=1,Pyre_Inputs!$O$11,U30*(1+Pyre_Inputs!$N$23))*F31</f>
        <v>21437.787891958404</v>
      </c>
      <c r="V31" s="122">
        <f>IF(B31=1,Pyre_Inputs!$O$12,V30*(1+Pyre_Inputs!$N$23))*F31</f>
        <v>111.44618367622377</v>
      </c>
      <c r="W31" s="122">
        <f>IF(B31=1,Pyre_Inputs!$O$13,W30*(1+Pyre_Inputs!$N$23))*F31</f>
        <v>0</v>
      </c>
      <c r="X31" s="122">
        <f>IF(B31=1,Pyre_Inputs!$O$14,X30*(1+Pyre_Inputs!$N$23))*F31</f>
        <v>422.01883603594013</v>
      </c>
      <c r="Y31" s="122">
        <f>IF(B31=1,Pyre_Inputs!$O$15,Y30*(1+Pyre_Inputs!$N$23))*F31</f>
        <v>422.01883603594013</v>
      </c>
      <c r="Z31" s="122">
        <f>IF(B31=1,Pyre_Inputs!$O$16,Z30*(1+Pyre_Inputs!$N$23))*F31</f>
        <v>13003.963931679131</v>
      </c>
      <c r="AA31" s="122">
        <f>IF(B31=1,Pyre_Inputs!$O$17,AA30*(1+Pyre_Inputs!$N$23))*F31</f>
        <v>246.45422589048033</v>
      </c>
      <c r="AB31" s="181">
        <f>IF(B31=1,Pyre_Inputs!$O$18,AB30*(1+Pyre_Inputs!$N$23))*F31</f>
        <v>0</v>
      </c>
      <c r="AC31" s="482">
        <f>IF(B31=1,Pyre_Inputs!$O$19,AC30*(1+Pyre_Inputs!$N$23))*F31</f>
        <v>0</v>
      </c>
      <c r="AD31" s="122">
        <f>IF(B31=1,Pyre_Inputs!$O$20,AD30*(1+Pyre_Inputs!$N$23))*F31</f>
        <v>0</v>
      </c>
      <c r="AE31" s="122">
        <f>IF(B31=1,Pyre_Inputs!$O$21,AE30*(1+Pyre_Inputs!$N$23))*F31</f>
        <v>0</v>
      </c>
      <c r="AF31" s="132">
        <f>IF(B31=1,Pyre_Inputs!$O$22,AF30*(1+Pyre_Inputs!$N$23))*F31</f>
        <v>0</v>
      </c>
      <c r="AG31" s="200">
        <f t="shared" si="31"/>
        <v>148177.27311092929</v>
      </c>
      <c r="AH31" s="86">
        <f t="shared" si="13"/>
        <v>-64575.341692209491</v>
      </c>
      <c r="AI31" s="225">
        <f t="shared" si="14"/>
        <v>-0.77241447172774336</v>
      </c>
      <c r="AJ31" s="220">
        <f>Deprec!O30</f>
        <v>11772.340832965107</v>
      </c>
      <c r="AK31" s="122">
        <f t="shared" si="32"/>
        <v>-76347.682525174605</v>
      </c>
      <c r="AL31" s="221">
        <f t="shared" si="33"/>
        <v>1.2038424194222957E-11</v>
      </c>
      <c r="AM31" s="122">
        <f t="shared" si="34"/>
        <v>-76347.68252517462</v>
      </c>
      <c r="AN31" s="438">
        <f>IF(AM31&lt;0,0,(AM31*Pyre_Inputs!$J$14))</f>
        <v>0</v>
      </c>
      <c r="AO31" s="86">
        <f t="shared" si="35"/>
        <v>-76347.68252517462</v>
      </c>
      <c r="AP31" s="226">
        <f t="shared" si="16"/>
        <v>-0.9132286925619898</v>
      </c>
      <c r="AS31" s="196">
        <f t="shared" si="17"/>
        <v>83601.931418719803</v>
      </c>
      <c r="AT31" s="86">
        <f t="shared" si="18"/>
        <v>148177.27311092929</v>
      </c>
      <c r="AU31" s="197">
        <f t="shared" si="36"/>
        <v>-64575.341692209491</v>
      </c>
      <c r="AV31" s="218">
        <f>IF(B31=0,Pyre_Inputs!$C$29,0)</f>
        <v>0</v>
      </c>
      <c r="AW31" s="198">
        <f t="shared" si="5"/>
        <v>0</v>
      </c>
      <c r="AX31" s="197">
        <f t="shared" si="6"/>
        <v>-64575.341692209491</v>
      </c>
      <c r="AY31" s="184">
        <f>IF(B31=0,Pyre_Inputs!$G$15+Pyre_Inputs!$G$16,0)</f>
        <v>0</v>
      </c>
      <c r="AZ31" s="185">
        <f>IF(B31=0,Pyre_Inputs!$G$14,0)</f>
        <v>0</v>
      </c>
      <c r="BA31" s="132">
        <f t="shared" si="37"/>
        <v>0</v>
      </c>
      <c r="BB31" s="218">
        <f t="shared" si="38"/>
        <v>-64575.341692209491</v>
      </c>
      <c r="BC31" s="218">
        <f>Pyre_Inputs!$G$20*AVERAGE(BR31,BS31)</f>
        <v>0</v>
      </c>
      <c r="BD31" s="200">
        <f t="shared" si="9"/>
        <v>0</v>
      </c>
      <c r="BE31" s="200">
        <f t="shared" si="19"/>
        <v>-64575.341692209491</v>
      </c>
      <c r="BF31" s="86">
        <f t="shared" si="20"/>
        <v>-64575.341692209491</v>
      </c>
      <c r="BG31" s="197">
        <f t="shared" si="21"/>
        <v>-64575.341692209491</v>
      </c>
      <c r="BH31" s="86">
        <f t="shared" si="39"/>
        <v>1.0060701987694585E-10</v>
      </c>
      <c r="BI31" s="86">
        <f t="shared" si="40"/>
        <v>1.1264544407116881E-10</v>
      </c>
      <c r="BJ31" s="122">
        <f>-Debt_Calc!BA29</f>
        <v>1.2038424194222957E-11</v>
      </c>
      <c r="BK31" s="122">
        <f>Debt_Calc!BB29</f>
        <v>-1.2038424194222957E-11</v>
      </c>
      <c r="BL31" s="86">
        <f t="shared" si="22"/>
        <v>0</v>
      </c>
      <c r="BM31" s="423">
        <f t="shared" si="41"/>
        <v>0</v>
      </c>
      <c r="BN31" s="86">
        <f t="shared" si="42"/>
        <v>-64575.341692209491</v>
      </c>
      <c r="BO31" s="86">
        <f t="shared" si="23"/>
        <v>-64575.341692209491</v>
      </c>
      <c r="BP31" s="86">
        <f t="shared" si="43"/>
        <v>-64575.341692209491</v>
      </c>
      <c r="BQ31" s="86">
        <f t="shared" si="24"/>
        <v>0</v>
      </c>
      <c r="BR31" s="86">
        <f t="shared" si="25"/>
        <v>0</v>
      </c>
      <c r="BS31" s="86">
        <f t="shared" si="10"/>
        <v>0</v>
      </c>
      <c r="BT31" s="86">
        <f t="shared" si="26"/>
        <v>-1622295.638463753</v>
      </c>
      <c r="BU31" s="86">
        <f t="shared" si="44"/>
        <v>0</v>
      </c>
      <c r="BV31" s="214" t="e">
        <f t="shared" si="11"/>
        <v>#VALUE!</v>
      </c>
    </row>
    <row r="32" spans="2:74" s="86" customFormat="1" x14ac:dyDescent="0.3">
      <c r="B32" s="192">
        <f t="shared" si="27"/>
        <v>21</v>
      </c>
      <c r="C32" s="350">
        <f t="shared" si="12"/>
        <v>2042</v>
      </c>
      <c r="D32" s="351">
        <f t="shared" si="45"/>
        <v>51867</v>
      </c>
      <c r="E32" s="441">
        <f t="shared" si="45"/>
        <v>52231</v>
      </c>
      <c r="F32" s="445">
        <f>IF(AND(B32&gt;0,B32&lt;=Pyre_Inputs!$J$17),1,0)</f>
        <v>1</v>
      </c>
      <c r="G32" s="447">
        <f>IF(F32=1,Pyre_Inputs!$G$31,0)</f>
        <v>20195.999999999985</v>
      </c>
      <c r="H32" s="348">
        <f>IF(AND(F31=0,F32=1),100%,IF(AND(F31=0,F32=0),100%,H31-Pyre_Inputs!$G$45))*F32</f>
        <v>0.9900000000000011</v>
      </c>
      <c r="I32" s="216">
        <f t="shared" si="29"/>
        <v>19994.040000000008</v>
      </c>
      <c r="J32" s="219">
        <f>Pyre_Inputs!$J$11</f>
        <v>0.01</v>
      </c>
      <c r="K32" s="444">
        <f>IF(B32=1,Pyre_Inputs!$R$15,K31*(1+Pyre_CashFlows!J32))*F32</f>
        <v>4.221024206736975</v>
      </c>
      <c r="L32" s="338">
        <f>IF(B32=1,Pyre_Inputs!$R$16,L31*(1+Pyre_CashFlows!J32))*F32</f>
        <v>4.221024206736975</v>
      </c>
      <c r="M32" s="122">
        <f>K32*I32*Pyre_Inputs!$J$9</f>
        <v>42197.663415233692</v>
      </c>
      <c r="N32" s="222">
        <f>L32*I32*Pyre_Inputs!$J$10</f>
        <v>42197.663415233692</v>
      </c>
      <c r="O32" s="423">
        <f t="shared" si="30"/>
        <v>0</v>
      </c>
      <c r="P32" s="122">
        <f>SUM(M32:O32)+IF(B32=Pyre_Inputs!$J$17,Pyre_Inputs!$J$19,0)</f>
        <v>84395.326830467384</v>
      </c>
      <c r="Q32" s="218">
        <f>IF(B32=1,Pyre_Inputs!$O$7,Q31*(1+Pyre_Inputs!$N$23))*F32</f>
        <v>20092.075224067983</v>
      </c>
      <c r="R32" s="122">
        <f>IF(B32=1,Pyre_Inputs!$O$8,R31*(1+Pyre_Inputs!$N$23))*F32</f>
        <v>3582.1299828052661</v>
      </c>
      <c r="S32" s="122">
        <f>IF(B32=1,Pyre_Inputs!$O$9,S31*(1+Pyre_Inputs!$N$23))*F32</f>
        <v>35911.232578141957</v>
      </c>
      <c r="T32" s="122">
        <f>IF(B32=1,Pyre_Inputs!$O$10,T31*(1+Pyre_Inputs!$N$23))*F32</f>
        <v>54073.481252694488</v>
      </c>
      <c r="U32" s="122">
        <f>IF(B32=1,Pyre_Inputs!$O$11,U31*(1+Pyre_Inputs!$N$23))*F32</f>
        <v>21652.165770877989</v>
      </c>
      <c r="V32" s="122">
        <f>IF(B32=1,Pyre_Inputs!$O$12,V31*(1+Pyre_Inputs!$N$23))*F32</f>
        <v>112.56064551298601</v>
      </c>
      <c r="W32" s="122">
        <f>IF(B32=1,Pyre_Inputs!$O$13,W31*(1+Pyre_Inputs!$N$23))*F32</f>
        <v>0</v>
      </c>
      <c r="X32" s="122">
        <f>IF(B32=1,Pyre_Inputs!$O$14,X31*(1+Pyre_Inputs!$N$23))*F32</f>
        <v>426.23902439629956</v>
      </c>
      <c r="Y32" s="122">
        <f>IF(B32=1,Pyre_Inputs!$O$15,Y31*(1+Pyre_Inputs!$N$23))*F32</f>
        <v>426.23902439629956</v>
      </c>
      <c r="Z32" s="122">
        <f>IF(B32=1,Pyre_Inputs!$O$16,Z31*(1+Pyre_Inputs!$N$23))*F32</f>
        <v>13134.003570995923</v>
      </c>
      <c r="AA32" s="122">
        <f>IF(B32=1,Pyre_Inputs!$O$17,AA31*(1+Pyre_Inputs!$N$23))*F32</f>
        <v>248.91876814938513</v>
      </c>
      <c r="AB32" s="181">
        <f>IF(B32=1,Pyre_Inputs!$O$18,AB31*(1+Pyre_Inputs!$N$23))*F32</f>
        <v>0</v>
      </c>
      <c r="AC32" s="482">
        <f>IF(B32=1,Pyre_Inputs!$O$19,AC31*(1+Pyre_Inputs!$N$23))*F32</f>
        <v>0</v>
      </c>
      <c r="AD32" s="122">
        <f>IF(B32=1,Pyre_Inputs!$O$20,AD31*(1+Pyre_Inputs!$N$23))*F32</f>
        <v>0</v>
      </c>
      <c r="AE32" s="122">
        <f>IF(B32=1,Pyre_Inputs!$O$21,AE31*(1+Pyre_Inputs!$N$23))*F32</f>
        <v>0</v>
      </c>
      <c r="AF32" s="132">
        <f>IF(B32=1,Pyre_Inputs!$O$22,AF31*(1+Pyre_Inputs!$N$23))*F32</f>
        <v>0</v>
      </c>
      <c r="AG32" s="200">
        <f t="shared" si="31"/>
        <v>149659.04584203855</v>
      </c>
      <c r="AH32" s="86">
        <f t="shared" si="13"/>
        <v>-65263.719011571171</v>
      </c>
      <c r="AI32" s="225">
        <f t="shared" si="14"/>
        <v>-0.77330963055184765</v>
      </c>
      <c r="AJ32" s="220">
        <f>Deprec!O31</f>
        <v>11772.340832965107</v>
      </c>
      <c r="AK32" s="122">
        <f t="shared" si="32"/>
        <v>-77036.05984453627</v>
      </c>
      <c r="AL32" s="221">
        <f t="shared" si="33"/>
        <v>1.3478916689252741E-11</v>
      </c>
      <c r="AM32" s="122">
        <f t="shared" si="34"/>
        <v>-77036.059844536285</v>
      </c>
      <c r="AN32" s="438">
        <f>IF(AM32&lt;0,0,(AM32*Pyre_Inputs!$J$14))</f>
        <v>0</v>
      </c>
      <c r="AO32" s="86">
        <f t="shared" si="35"/>
        <v>-77036.059844536285</v>
      </c>
      <c r="AP32" s="226">
        <f t="shared" si="16"/>
        <v>-0.91280006533164648</v>
      </c>
      <c r="AS32" s="196">
        <f t="shared" si="17"/>
        <v>84395.326830467384</v>
      </c>
      <c r="AT32" s="86">
        <f t="shared" si="18"/>
        <v>149659.04584203855</v>
      </c>
      <c r="AU32" s="197">
        <f t="shared" si="36"/>
        <v>-65263.719011571171</v>
      </c>
      <c r="AV32" s="218">
        <f>IF(B32=0,Pyre_Inputs!$C$29,0)</f>
        <v>0</v>
      </c>
      <c r="AW32" s="198">
        <f t="shared" si="5"/>
        <v>0</v>
      </c>
      <c r="AX32" s="197">
        <f t="shared" si="6"/>
        <v>-65263.719011571171</v>
      </c>
      <c r="AY32" s="184">
        <f>IF(B32=0,Pyre_Inputs!$G$15+Pyre_Inputs!$G$16,0)</f>
        <v>0</v>
      </c>
      <c r="AZ32" s="185">
        <f>IF(B32=0,Pyre_Inputs!$G$14,0)</f>
        <v>0</v>
      </c>
      <c r="BA32" s="132">
        <f t="shared" si="37"/>
        <v>0</v>
      </c>
      <c r="BB32" s="218">
        <f t="shared" si="38"/>
        <v>-65263.719011571171</v>
      </c>
      <c r="BC32" s="218">
        <f>Pyre_Inputs!$G$20*AVERAGE(BR32,BS32)</f>
        <v>0</v>
      </c>
      <c r="BD32" s="200">
        <f t="shared" si="9"/>
        <v>0</v>
      </c>
      <c r="BE32" s="200">
        <f t="shared" si="19"/>
        <v>-65263.719011571171</v>
      </c>
      <c r="BF32" s="86">
        <f t="shared" si="20"/>
        <v>-65263.719011571171</v>
      </c>
      <c r="BG32" s="197">
        <f t="shared" si="21"/>
        <v>-65263.719011571171</v>
      </c>
      <c r="BH32" s="86">
        <f t="shared" si="39"/>
        <v>1.1264544407116881E-10</v>
      </c>
      <c r="BI32" s="86">
        <f t="shared" si="40"/>
        <v>1.2612436076042156E-10</v>
      </c>
      <c r="BJ32" s="122">
        <f>-Debt_Calc!BA30</f>
        <v>1.3478916689252741E-11</v>
      </c>
      <c r="BK32" s="122">
        <f>Debt_Calc!BB30</f>
        <v>-1.3478916689252741E-11</v>
      </c>
      <c r="BL32" s="86">
        <f t="shared" si="22"/>
        <v>0</v>
      </c>
      <c r="BM32" s="423">
        <f t="shared" si="41"/>
        <v>0</v>
      </c>
      <c r="BN32" s="86">
        <f t="shared" si="42"/>
        <v>-65263.719011571171</v>
      </c>
      <c r="BO32" s="86">
        <f t="shared" si="23"/>
        <v>-65263.719011571171</v>
      </c>
      <c r="BP32" s="86">
        <f t="shared" si="43"/>
        <v>-65263.719011571171</v>
      </c>
      <c r="BQ32" s="86">
        <f t="shared" si="24"/>
        <v>0</v>
      </c>
      <c r="BR32" s="86">
        <f t="shared" si="25"/>
        <v>0</v>
      </c>
      <c r="BS32" s="86">
        <f t="shared" si="10"/>
        <v>0</v>
      </c>
      <c r="BT32" s="86">
        <f t="shared" si="26"/>
        <v>-1687559.3574753243</v>
      </c>
      <c r="BU32" s="86">
        <f t="shared" si="44"/>
        <v>0</v>
      </c>
      <c r="BV32" s="214" t="e">
        <f t="shared" si="11"/>
        <v>#VALUE!</v>
      </c>
    </row>
    <row r="33" spans="2:74" s="86" customFormat="1" x14ac:dyDescent="0.3">
      <c r="B33" s="192">
        <f t="shared" si="27"/>
        <v>22</v>
      </c>
      <c r="C33" s="350">
        <f t="shared" si="12"/>
        <v>2043</v>
      </c>
      <c r="D33" s="351">
        <f t="shared" si="45"/>
        <v>52232</v>
      </c>
      <c r="E33" s="441">
        <f t="shared" si="45"/>
        <v>52596</v>
      </c>
      <c r="F33" s="445">
        <f>IF(AND(B33&gt;0,B33&lt;=Pyre_Inputs!$J$17),1,0)</f>
        <v>1</v>
      </c>
      <c r="G33" s="447">
        <f>IF(F33=1,Pyre_Inputs!$G$31,0)</f>
        <v>20195.999999999985</v>
      </c>
      <c r="H33" s="348">
        <f>IF(AND(F32=0,F33=1),100%,IF(AND(F32=0,F33=0),100%,H32-Pyre_Inputs!$G$45))*F33</f>
        <v>0.98950000000000116</v>
      </c>
      <c r="I33" s="216">
        <f t="shared" si="29"/>
        <v>19983.94200000001</v>
      </c>
      <c r="J33" s="219">
        <f>Pyre_Inputs!$J$11</f>
        <v>0.01</v>
      </c>
      <c r="K33" s="444">
        <f>IF(B33=1,Pyre_Inputs!$R$15,K32*(1+Pyre_CashFlows!J33))*F33</f>
        <v>4.2632344488043445</v>
      </c>
      <c r="L33" s="338">
        <f>IF(B33=1,Pyre_Inputs!$R$16,L32*(1+Pyre_CashFlows!J33))*F33</f>
        <v>4.2632344488043445</v>
      </c>
      <c r="M33" s="122">
        <f>K33*I33*Pyre_Inputs!$J$9</f>
        <v>42598.114978654019</v>
      </c>
      <c r="N33" s="222">
        <f>L33*I33*Pyre_Inputs!$J$10</f>
        <v>42598.114978654019</v>
      </c>
      <c r="O33" s="423">
        <f t="shared" si="30"/>
        <v>0</v>
      </c>
      <c r="P33" s="122">
        <f>SUM(M33:O33)+IF(B33=Pyre_Inputs!$J$17,Pyre_Inputs!$J$19,0)</f>
        <v>85196.229957308038</v>
      </c>
      <c r="Q33" s="218">
        <f>IF(B33=1,Pyre_Inputs!$O$7,Q32*(1+Pyre_Inputs!$N$23))*F33</f>
        <v>20292.995976308663</v>
      </c>
      <c r="R33" s="122">
        <f>IF(B33=1,Pyre_Inputs!$O$8,R32*(1+Pyre_Inputs!$N$23))*F33</f>
        <v>3617.9512826333189</v>
      </c>
      <c r="S33" s="122">
        <f>IF(B33=1,Pyre_Inputs!$O$9,S32*(1+Pyre_Inputs!$N$23))*F33</f>
        <v>36270.344903923375</v>
      </c>
      <c r="T33" s="122">
        <f>IF(B33=1,Pyre_Inputs!$O$10,T32*(1+Pyre_Inputs!$N$23))*F33</f>
        <v>54614.21606522143</v>
      </c>
      <c r="U33" s="122">
        <f>IF(B33=1,Pyre_Inputs!$O$11,U32*(1+Pyre_Inputs!$N$23))*F33</f>
        <v>21868.687428586771</v>
      </c>
      <c r="V33" s="122">
        <f>IF(B33=1,Pyre_Inputs!$O$12,V32*(1+Pyre_Inputs!$N$23))*F33</f>
        <v>113.68625196811587</v>
      </c>
      <c r="W33" s="122">
        <f>IF(B33=1,Pyre_Inputs!$O$13,W32*(1+Pyre_Inputs!$N$23))*F33</f>
        <v>0</v>
      </c>
      <c r="X33" s="122">
        <f>IF(B33=1,Pyre_Inputs!$O$14,X32*(1+Pyre_Inputs!$N$23))*F33</f>
        <v>430.50141464026257</v>
      </c>
      <c r="Y33" s="122">
        <f>IF(B33=1,Pyre_Inputs!$O$15,Y32*(1+Pyre_Inputs!$N$23))*F33</f>
        <v>430.50141464026257</v>
      </c>
      <c r="Z33" s="122">
        <f>IF(B33=1,Pyre_Inputs!$O$16,Z32*(1+Pyre_Inputs!$N$23))*F33</f>
        <v>13265.343606705883</v>
      </c>
      <c r="AA33" s="122">
        <f>IF(B33=1,Pyre_Inputs!$O$17,AA32*(1+Pyre_Inputs!$N$23))*F33</f>
        <v>251.40795583087899</v>
      </c>
      <c r="AB33" s="181">
        <f>IF(B33=1,Pyre_Inputs!$O$18,AB32*(1+Pyre_Inputs!$N$23))*F33</f>
        <v>0</v>
      </c>
      <c r="AC33" s="482">
        <f>IF(B33=1,Pyre_Inputs!$O$19,AC32*(1+Pyre_Inputs!$N$23))*F33</f>
        <v>0</v>
      </c>
      <c r="AD33" s="122">
        <f>IF(B33=1,Pyre_Inputs!$O$20,AD32*(1+Pyre_Inputs!$N$23))*F33</f>
        <v>0</v>
      </c>
      <c r="AE33" s="122">
        <f>IF(B33=1,Pyre_Inputs!$O$21,AE32*(1+Pyre_Inputs!$N$23))*F33</f>
        <v>0</v>
      </c>
      <c r="AF33" s="132">
        <f>IF(B33=1,Pyre_Inputs!$O$22,AF32*(1+Pyre_Inputs!$N$23))*F33</f>
        <v>0</v>
      </c>
      <c r="AG33" s="200">
        <f t="shared" si="31"/>
        <v>151155.63630045895</v>
      </c>
      <c r="AH33" s="86">
        <f t="shared" si="13"/>
        <v>-65959.406343150913</v>
      </c>
      <c r="AI33" s="225">
        <f t="shared" si="14"/>
        <v>-0.77420569403368289</v>
      </c>
      <c r="AJ33" s="220">
        <f>Deprec!O32</f>
        <v>11772.340832965107</v>
      </c>
      <c r="AK33" s="122">
        <f t="shared" si="32"/>
        <v>-77731.747176116012</v>
      </c>
      <c r="AL33" s="221">
        <f t="shared" si="33"/>
        <v>1.5091775483622008E-11</v>
      </c>
      <c r="AM33" s="122">
        <f t="shared" si="34"/>
        <v>-77731.747176116027</v>
      </c>
      <c r="AN33" s="438">
        <f>IF(AM33&lt;0,0,(AM33*Pyre_Inputs!$J$14))</f>
        <v>0</v>
      </c>
      <c r="AO33" s="86">
        <f t="shared" si="35"/>
        <v>-77731.747176116027</v>
      </c>
      <c r="AP33" s="226">
        <f t="shared" si="16"/>
        <v>-0.91238482283861067</v>
      </c>
      <c r="AS33" s="196">
        <f t="shared" si="17"/>
        <v>85196.229957308038</v>
      </c>
      <c r="AT33" s="86">
        <f t="shared" si="18"/>
        <v>151155.63630045895</v>
      </c>
      <c r="AU33" s="197">
        <f t="shared" si="36"/>
        <v>-65959.406343150913</v>
      </c>
      <c r="AV33" s="218">
        <f>IF(B33=0,Pyre_Inputs!$C$29,0)</f>
        <v>0</v>
      </c>
      <c r="AW33" s="198">
        <f t="shared" si="5"/>
        <v>0</v>
      </c>
      <c r="AX33" s="197">
        <f t="shared" si="6"/>
        <v>-65959.406343150913</v>
      </c>
      <c r="AY33" s="184">
        <f>IF(B33=0,Pyre_Inputs!$G$15+Pyre_Inputs!$G$16,0)</f>
        <v>0</v>
      </c>
      <c r="AZ33" s="185">
        <f>IF(B33=0,Pyre_Inputs!$G$14,0)</f>
        <v>0</v>
      </c>
      <c r="BA33" s="132">
        <f t="shared" si="37"/>
        <v>0</v>
      </c>
      <c r="BB33" s="218">
        <f t="shared" si="38"/>
        <v>-65959.406343150913</v>
      </c>
      <c r="BC33" s="218">
        <f>Pyre_Inputs!$G$20*AVERAGE(BR33,BS33)</f>
        <v>0</v>
      </c>
      <c r="BD33" s="200">
        <f t="shared" si="9"/>
        <v>0</v>
      </c>
      <c r="BE33" s="200">
        <f t="shared" si="19"/>
        <v>-65959.406343150913</v>
      </c>
      <c r="BF33" s="86">
        <f t="shared" si="20"/>
        <v>-65959.406343150913</v>
      </c>
      <c r="BG33" s="197">
        <f t="shared" si="21"/>
        <v>-65959.406343150913</v>
      </c>
      <c r="BH33" s="86">
        <f t="shared" si="39"/>
        <v>1.2612436076042156E-10</v>
      </c>
      <c r="BI33" s="86">
        <f t="shared" si="40"/>
        <v>1.4121613624404356E-10</v>
      </c>
      <c r="BJ33" s="122">
        <f>-Debt_Calc!BA31</f>
        <v>1.5091775483622008E-11</v>
      </c>
      <c r="BK33" s="122">
        <f>Debt_Calc!BB31</f>
        <v>-1.5091775483622008E-11</v>
      </c>
      <c r="BL33" s="86">
        <f t="shared" si="22"/>
        <v>0</v>
      </c>
      <c r="BM33" s="423">
        <f t="shared" si="41"/>
        <v>0</v>
      </c>
      <c r="BN33" s="86">
        <f t="shared" si="42"/>
        <v>-65959.406343150913</v>
      </c>
      <c r="BO33" s="86">
        <f t="shared" si="23"/>
        <v>-65959.406343150913</v>
      </c>
      <c r="BP33" s="86">
        <f t="shared" si="43"/>
        <v>-65959.406343150913</v>
      </c>
      <c r="BQ33" s="86">
        <f t="shared" si="24"/>
        <v>0</v>
      </c>
      <c r="BR33" s="86">
        <f t="shared" si="25"/>
        <v>0</v>
      </c>
      <c r="BS33" s="86">
        <f t="shared" si="10"/>
        <v>0</v>
      </c>
      <c r="BT33" s="86">
        <f t="shared" si="26"/>
        <v>-1753518.7638184752</v>
      </c>
      <c r="BU33" s="86">
        <f t="shared" si="44"/>
        <v>0</v>
      </c>
      <c r="BV33" s="214" t="e">
        <f t="shared" si="11"/>
        <v>#VALUE!</v>
      </c>
    </row>
    <row r="34" spans="2:74" s="86" customFormat="1" x14ac:dyDescent="0.3">
      <c r="B34" s="192">
        <f t="shared" si="27"/>
        <v>23</v>
      </c>
      <c r="C34" s="350">
        <f t="shared" si="12"/>
        <v>2044</v>
      </c>
      <c r="D34" s="351">
        <f t="shared" si="45"/>
        <v>52597</v>
      </c>
      <c r="E34" s="441">
        <f t="shared" si="45"/>
        <v>52962</v>
      </c>
      <c r="F34" s="445">
        <f>IF(AND(B34&gt;0,B34&lt;=Pyre_Inputs!$J$17),1,0)</f>
        <v>1</v>
      </c>
      <c r="G34" s="447">
        <f>IF(F34=1,Pyre_Inputs!$G$31,0)</f>
        <v>20195.999999999985</v>
      </c>
      <c r="H34" s="348">
        <f>IF(AND(F33=0,F34=1),100%,IF(AND(F33=0,F34=0),100%,H33-Pyre_Inputs!$G$45))*F34</f>
        <v>0.98900000000000121</v>
      </c>
      <c r="I34" s="216">
        <f t="shared" si="29"/>
        <v>19973.844000000012</v>
      </c>
      <c r="J34" s="219">
        <f>Pyre_Inputs!$J$11</f>
        <v>0.01</v>
      </c>
      <c r="K34" s="444">
        <f>IF(B34=1,Pyre_Inputs!$R$15,K33*(1+Pyre_CashFlows!J34))*F34</f>
        <v>4.3058667932923882</v>
      </c>
      <c r="L34" s="338">
        <f>IF(B34=1,Pyre_Inputs!$R$16,L33*(1+Pyre_CashFlows!J34))*F34</f>
        <v>4.3058667932923882</v>
      </c>
      <c r="M34" s="122">
        <f>K34*I34*Pyre_Inputs!$J$9</f>
        <v>43002.35580700123</v>
      </c>
      <c r="N34" s="222">
        <f>L34*I34*Pyre_Inputs!$J$10</f>
        <v>43002.35580700123</v>
      </c>
      <c r="O34" s="423">
        <f t="shared" si="30"/>
        <v>0</v>
      </c>
      <c r="P34" s="122">
        <f>SUM(M34:O34)+IF(B34=Pyre_Inputs!$J$17,Pyre_Inputs!$J$19,0)</f>
        <v>86004.711614002459</v>
      </c>
      <c r="Q34" s="218">
        <f>IF(B34=1,Pyre_Inputs!$O$7,Q33*(1+Pyre_Inputs!$N$23))*F34</f>
        <v>20495.925936071748</v>
      </c>
      <c r="R34" s="122">
        <f>IF(B34=1,Pyre_Inputs!$O$8,R33*(1+Pyre_Inputs!$N$23))*F34</f>
        <v>3654.1307954596523</v>
      </c>
      <c r="S34" s="122">
        <f>IF(B34=1,Pyre_Inputs!$O$9,S33*(1+Pyre_Inputs!$N$23))*F34</f>
        <v>36633.048352962607</v>
      </c>
      <c r="T34" s="122">
        <f>IF(B34=1,Pyre_Inputs!$O$10,T33*(1+Pyre_Inputs!$N$23))*F34</f>
        <v>55160.358225873642</v>
      </c>
      <c r="U34" s="122">
        <f>IF(B34=1,Pyre_Inputs!$O$11,U33*(1+Pyre_Inputs!$N$23))*F34</f>
        <v>22087.374302872639</v>
      </c>
      <c r="V34" s="122">
        <f>IF(B34=1,Pyre_Inputs!$O$12,V33*(1+Pyre_Inputs!$N$23))*F34</f>
        <v>114.82311448779703</v>
      </c>
      <c r="W34" s="122">
        <f>IF(B34=1,Pyre_Inputs!$O$13,W33*(1+Pyre_Inputs!$N$23))*F34</f>
        <v>0</v>
      </c>
      <c r="X34" s="122">
        <f>IF(B34=1,Pyre_Inputs!$O$14,X33*(1+Pyre_Inputs!$N$23))*F34</f>
        <v>434.80642878666521</v>
      </c>
      <c r="Y34" s="122">
        <f>IF(B34=1,Pyre_Inputs!$O$15,Y33*(1+Pyre_Inputs!$N$23))*F34</f>
        <v>434.80642878666521</v>
      </c>
      <c r="Z34" s="122">
        <f>IF(B34=1,Pyre_Inputs!$O$16,Z33*(1+Pyre_Inputs!$N$23))*F34</f>
        <v>13397.997042772942</v>
      </c>
      <c r="AA34" s="122">
        <f>IF(B34=1,Pyre_Inputs!$O$17,AA33*(1+Pyre_Inputs!$N$23))*F34</f>
        <v>253.92203538918778</v>
      </c>
      <c r="AB34" s="181">
        <f>IF(B34=1,Pyre_Inputs!$O$18,AB33*(1+Pyre_Inputs!$N$23))*F34</f>
        <v>0</v>
      </c>
      <c r="AC34" s="482">
        <f>IF(B34=1,Pyre_Inputs!$O$19,AC33*(1+Pyre_Inputs!$N$23))*F34</f>
        <v>0</v>
      </c>
      <c r="AD34" s="122">
        <f>IF(B34=1,Pyre_Inputs!$O$20,AD33*(1+Pyre_Inputs!$N$23))*F34</f>
        <v>0</v>
      </c>
      <c r="AE34" s="122">
        <f>IF(B34=1,Pyre_Inputs!$O$21,AE33*(1+Pyre_Inputs!$N$23))*F34</f>
        <v>0</v>
      </c>
      <c r="AF34" s="132">
        <f>IF(B34=1,Pyre_Inputs!$O$22,AF33*(1+Pyre_Inputs!$N$23))*F34</f>
        <v>0</v>
      </c>
      <c r="AG34" s="200">
        <f t="shared" si="31"/>
        <v>152667.19266346356</v>
      </c>
      <c r="AH34" s="86">
        <f t="shared" si="13"/>
        <v>-66662.481049461101</v>
      </c>
      <c r="AI34" s="225">
        <f t="shared" si="14"/>
        <v>-0.77510266354532786</v>
      </c>
      <c r="AJ34" s="220">
        <f>Deprec!O33</f>
        <v>11772.340832965107</v>
      </c>
      <c r="AK34" s="122">
        <f t="shared" si="32"/>
        <v>-78434.821882426215</v>
      </c>
      <c r="AL34" s="221">
        <f t="shared" si="33"/>
        <v>1.6897625565833302E-11</v>
      </c>
      <c r="AM34" s="122">
        <f t="shared" si="34"/>
        <v>-78434.821882426229</v>
      </c>
      <c r="AN34" s="438">
        <f>IF(AM34&lt;0,0,(AM34*Pyre_Inputs!$J$14))</f>
        <v>0</v>
      </c>
      <c r="AO34" s="86">
        <f t="shared" si="35"/>
        <v>-78434.821882426229</v>
      </c>
      <c r="AP34" s="226">
        <f t="shared" si="16"/>
        <v>-0.91198284850310718</v>
      </c>
      <c r="AS34" s="196">
        <f t="shared" si="17"/>
        <v>86004.711614002459</v>
      </c>
      <c r="AT34" s="86">
        <f t="shared" si="18"/>
        <v>152667.19266346356</v>
      </c>
      <c r="AU34" s="197">
        <f t="shared" si="36"/>
        <v>-66662.481049461101</v>
      </c>
      <c r="AV34" s="218">
        <f>IF(B34=0,Pyre_Inputs!$C$29,0)</f>
        <v>0</v>
      </c>
      <c r="AW34" s="198">
        <f t="shared" si="5"/>
        <v>0</v>
      </c>
      <c r="AX34" s="197">
        <f t="shared" si="6"/>
        <v>-66662.481049461101</v>
      </c>
      <c r="AY34" s="184">
        <f>IF(B34=0,Pyre_Inputs!$G$15+Pyre_Inputs!$G$16,0)</f>
        <v>0</v>
      </c>
      <c r="AZ34" s="185">
        <f>IF(B34=0,Pyre_Inputs!$G$14,0)</f>
        <v>0</v>
      </c>
      <c r="BA34" s="132">
        <f t="shared" si="37"/>
        <v>0</v>
      </c>
      <c r="BB34" s="218">
        <f t="shared" si="38"/>
        <v>-66662.481049461101</v>
      </c>
      <c r="BC34" s="218">
        <f>Pyre_Inputs!$G$20*AVERAGE(BR34,BS34)</f>
        <v>0</v>
      </c>
      <c r="BD34" s="200">
        <f t="shared" si="9"/>
        <v>0</v>
      </c>
      <c r="BE34" s="200">
        <f t="shared" si="19"/>
        <v>-66662.481049461101</v>
      </c>
      <c r="BF34" s="86">
        <f t="shared" si="20"/>
        <v>-66662.481049461101</v>
      </c>
      <c r="BG34" s="197">
        <f t="shared" si="21"/>
        <v>-66662.481049461101</v>
      </c>
      <c r="BH34" s="86">
        <f t="shared" si="39"/>
        <v>1.4121613624404356E-10</v>
      </c>
      <c r="BI34" s="86">
        <f t="shared" si="40"/>
        <v>1.5811376180987685E-10</v>
      </c>
      <c r="BJ34" s="122">
        <f>-Debt_Calc!BA32</f>
        <v>1.6897625565833302E-11</v>
      </c>
      <c r="BK34" s="122">
        <f>Debt_Calc!BB32</f>
        <v>-1.6897625565833302E-11</v>
      </c>
      <c r="BL34" s="86">
        <f t="shared" si="22"/>
        <v>0</v>
      </c>
      <c r="BM34" s="423">
        <f t="shared" si="41"/>
        <v>0</v>
      </c>
      <c r="BN34" s="86">
        <f t="shared" si="42"/>
        <v>-66662.481049461101</v>
      </c>
      <c r="BO34" s="86">
        <f t="shared" si="23"/>
        <v>-66662.481049461101</v>
      </c>
      <c r="BP34" s="86">
        <f t="shared" si="43"/>
        <v>-66662.481049461101</v>
      </c>
      <c r="BQ34" s="86">
        <f t="shared" si="24"/>
        <v>0</v>
      </c>
      <c r="BR34" s="86">
        <f t="shared" si="25"/>
        <v>0</v>
      </c>
      <c r="BS34" s="86">
        <f t="shared" si="10"/>
        <v>0</v>
      </c>
      <c r="BT34" s="86">
        <f t="shared" si="26"/>
        <v>-1820181.2448679362</v>
      </c>
      <c r="BU34" s="86">
        <f t="shared" si="44"/>
        <v>0</v>
      </c>
      <c r="BV34" s="214" t="e">
        <f t="shared" si="11"/>
        <v>#VALUE!</v>
      </c>
    </row>
    <row r="35" spans="2:74" s="86" customFormat="1" x14ac:dyDescent="0.3">
      <c r="B35" s="192">
        <f t="shared" si="27"/>
        <v>24</v>
      </c>
      <c r="C35" s="350">
        <f t="shared" si="12"/>
        <v>2045</v>
      </c>
      <c r="D35" s="351">
        <f t="shared" si="45"/>
        <v>52963</v>
      </c>
      <c r="E35" s="441">
        <f t="shared" si="45"/>
        <v>53327</v>
      </c>
      <c r="F35" s="445">
        <f>IF(AND(B35&gt;0,B35&lt;=Pyre_Inputs!$J$17),1,0)</f>
        <v>1</v>
      </c>
      <c r="G35" s="447">
        <f>IF(F35=1,Pyre_Inputs!$G$31,0)</f>
        <v>20195.999999999985</v>
      </c>
      <c r="H35" s="348">
        <f>IF(AND(F34=0,F35=1),100%,IF(AND(F34=0,F35=0),100%,H34-Pyre_Inputs!$G$45))*F35</f>
        <v>0.98850000000000127</v>
      </c>
      <c r="I35" s="216">
        <f t="shared" si="29"/>
        <v>19963.74600000001</v>
      </c>
      <c r="J35" s="219">
        <f>Pyre_Inputs!$J$11</f>
        <v>0.01</v>
      </c>
      <c r="K35" s="444">
        <f>IF(B35=1,Pyre_Inputs!$R$15,K34*(1+Pyre_CashFlows!J35))*F35</f>
        <v>4.3489254612253125</v>
      </c>
      <c r="L35" s="338">
        <f>IF(B35=1,Pyre_Inputs!$R$16,L34*(1+Pyre_CashFlows!J35))*F35</f>
        <v>4.3489254612253125</v>
      </c>
      <c r="M35" s="122">
        <f>K35*I35*Pyre_Inputs!$J$9</f>
        <v>43410.421640417517</v>
      </c>
      <c r="N35" s="222">
        <f>L35*I35*Pyre_Inputs!$J$10</f>
        <v>43410.421640417517</v>
      </c>
      <c r="O35" s="423">
        <f t="shared" si="30"/>
        <v>0</v>
      </c>
      <c r="P35" s="122">
        <f>SUM(M35:O35)+IF(B35=Pyre_Inputs!$J$17,Pyre_Inputs!$J$19,0)</f>
        <v>86820.843280835034</v>
      </c>
      <c r="Q35" s="218">
        <f>IF(B35=1,Pyre_Inputs!$O$7,Q34*(1+Pyre_Inputs!$N$23))*F35</f>
        <v>20700.885195432467</v>
      </c>
      <c r="R35" s="122">
        <f>IF(B35=1,Pyre_Inputs!$O$8,R34*(1+Pyre_Inputs!$N$23))*F35</f>
        <v>3690.6721034142488</v>
      </c>
      <c r="S35" s="122">
        <f>IF(B35=1,Pyre_Inputs!$O$9,S34*(1+Pyre_Inputs!$N$23))*F35</f>
        <v>36999.378836492237</v>
      </c>
      <c r="T35" s="122">
        <f>IF(B35=1,Pyre_Inputs!$O$10,T34*(1+Pyre_Inputs!$N$23))*F35</f>
        <v>55711.961808132379</v>
      </c>
      <c r="U35" s="122">
        <f>IF(B35=1,Pyre_Inputs!$O$11,U34*(1+Pyre_Inputs!$N$23))*F35</f>
        <v>22308.248045901364</v>
      </c>
      <c r="V35" s="122">
        <f>IF(B35=1,Pyre_Inputs!$O$12,V34*(1+Pyre_Inputs!$N$23))*F35</f>
        <v>115.971345632675</v>
      </c>
      <c r="W35" s="122">
        <f>IF(B35=1,Pyre_Inputs!$O$13,W34*(1+Pyre_Inputs!$N$23))*F35</f>
        <v>0</v>
      </c>
      <c r="X35" s="122">
        <f>IF(B35=1,Pyre_Inputs!$O$14,X34*(1+Pyre_Inputs!$N$23))*F35</f>
        <v>439.15449307453184</v>
      </c>
      <c r="Y35" s="122">
        <f>IF(B35=1,Pyre_Inputs!$O$15,Y34*(1+Pyre_Inputs!$N$23))*F35</f>
        <v>439.15449307453184</v>
      </c>
      <c r="Z35" s="122">
        <f>IF(B35=1,Pyre_Inputs!$O$16,Z34*(1+Pyre_Inputs!$N$23))*F35</f>
        <v>13531.977013200672</v>
      </c>
      <c r="AA35" s="122">
        <f>IF(B35=1,Pyre_Inputs!$O$17,AA34*(1+Pyre_Inputs!$N$23))*F35</f>
        <v>256.46125574307968</v>
      </c>
      <c r="AB35" s="181">
        <f>IF(B35=1,Pyre_Inputs!$O$18,AB34*(1+Pyre_Inputs!$N$23))*F35</f>
        <v>0</v>
      </c>
      <c r="AC35" s="482">
        <f>IF(B35=1,Pyre_Inputs!$O$19,AC34*(1+Pyre_Inputs!$N$23))*F35</f>
        <v>0</v>
      </c>
      <c r="AD35" s="122">
        <f>IF(B35=1,Pyre_Inputs!$O$20,AD34*(1+Pyre_Inputs!$N$23))*F35</f>
        <v>0</v>
      </c>
      <c r="AE35" s="122">
        <f>IF(B35=1,Pyre_Inputs!$O$21,AE34*(1+Pyre_Inputs!$N$23))*F35</f>
        <v>0</v>
      </c>
      <c r="AF35" s="132">
        <f>IF(B35=1,Pyre_Inputs!$O$22,AF34*(1+Pyre_Inputs!$N$23))*F35</f>
        <v>0</v>
      </c>
      <c r="AG35" s="200">
        <f t="shared" si="31"/>
        <v>154193.86459009821</v>
      </c>
      <c r="AH35" s="86">
        <f t="shared" si="13"/>
        <v>-67373.021309263175</v>
      </c>
      <c r="AI35" s="225">
        <f t="shared" si="14"/>
        <v>-0.77600054046163824</v>
      </c>
      <c r="AJ35" s="220">
        <f>Deprec!O34</f>
        <v>11772.340832965107</v>
      </c>
      <c r="AK35" s="122">
        <f t="shared" si="32"/>
        <v>-79145.362142228289</v>
      </c>
      <c r="AL35" s="221">
        <f t="shared" si="33"/>
        <v>1.8919559867092353E-11</v>
      </c>
      <c r="AM35" s="122">
        <f t="shared" si="34"/>
        <v>-79145.362142228303</v>
      </c>
      <c r="AN35" s="438">
        <f>IF(AM35&lt;0,0,(AM35*Pyre_Inputs!$J$14))</f>
        <v>0</v>
      </c>
      <c r="AO35" s="86">
        <f t="shared" si="35"/>
        <v>-79145.362142228303</v>
      </c>
      <c r="AP35" s="226">
        <f t="shared" si="16"/>
        <v>-0.91159402686542401</v>
      </c>
      <c r="AS35" s="196">
        <f t="shared" si="17"/>
        <v>86820.843280835034</v>
      </c>
      <c r="AT35" s="86">
        <f t="shared" si="18"/>
        <v>154193.86459009821</v>
      </c>
      <c r="AU35" s="197">
        <f t="shared" si="36"/>
        <v>-67373.021309263175</v>
      </c>
      <c r="AV35" s="218">
        <f>IF(B35=0,Pyre_Inputs!$C$29,0)</f>
        <v>0</v>
      </c>
      <c r="AW35" s="198">
        <f t="shared" si="5"/>
        <v>0</v>
      </c>
      <c r="AX35" s="197">
        <f t="shared" si="6"/>
        <v>-67373.021309263175</v>
      </c>
      <c r="AY35" s="184">
        <f>IF(B35=0,Pyre_Inputs!$G$15+Pyre_Inputs!$G$16,0)</f>
        <v>0</v>
      </c>
      <c r="AZ35" s="185">
        <f>IF(B35=0,Pyre_Inputs!$G$14,0)</f>
        <v>0</v>
      </c>
      <c r="BA35" s="132">
        <f t="shared" si="37"/>
        <v>0</v>
      </c>
      <c r="BB35" s="218">
        <f t="shared" si="38"/>
        <v>-67373.021309263175</v>
      </c>
      <c r="BC35" s="218">
        <f>Pyre_Inputs!$G$20*AVERAGE(BR35,BS35)</f>
        <v>0</v>
      </c>
      <c r="BD35" s="200">
        <f t="shared" si="9"/>
        <v>0</v>
      </c>
      <c r="BE35" s="200">
        <f t="shared" si="19"/>
        <v>-67373.021309263175</v>
      </c>
      <c r="BF35" s="86">
        <f t="shared" si="20"/>
        <v>-67373.021309263175</v>
      </c>
      <c r="BG35" s="197">
        <f t="shared" si="21"/>
        <v>-67373.021309263175</v>
      </c>
      <c r="BH35" s="86">
        <f t="shared" si="39"/>
        <v>1.5811376180987685E-10</v>
      </c>
      <c r="BI35" s="86">
        <f t="shared" si="40"/>
        <v>1.7703332167696919E-10</v>
      </c>
      <c r="BJ35" s="122">
        <f>-Debt_Calc!BA33</f>
        <v>1.8919559867092353E-11</v>
      </c>
      <c r="BK35" s="122">
        <f>Debt_Calc!BB33</f>
        <v>-1.8919559867092353E-11</v>
      </c>
      <c r="BL35" s="86">
        <f t="shared" si="22"/>
        <v>0</v>
      </c>
      <c r="BM35" s="423">
        <f t="shared" si="41"/>
        <v>0</v>
      </c>
      <c r="BN35" s="86">
        <f t="shared" si="42"/>
        <v>-67373.021309263175</v>
      </c>
      <c r="BO35" s="86">
        <f t="shared" si="23"/>
        <v>-67373.021309263175</v>
      </c>
      <c r="BP35" s="86">
        <f t="shared" si="43"/>
        <v>-67373.021309263175</v>
      </c>
      <c r="BQ35" s="86">
        <f t="shared" si="24"/>
        <v>0</v>
      </c>
      <c r="BR35" s="86">
        <f t="shared" si="25"/>
        <v>0</v>
      </c>
      <c r="BS35" s="86">
        <f t="shared" si="10"/>
        <v>0</v>
      </c>
      <c r="BT35" s="86">
        <f t="shared" si="26"/>
        <v>-1887554.2661771993</v>
      </c>
      <c r="BU35" s="86">
        <f t="shared" si="44"/>
        <v>0</v>
      </c>
      <c r="BV35" s="214" t="e">
        <f t="shared" si="11"/>
        <v>#VALUE!</v>
      </c>
    </row>
    <row r="36" spans="2:74" s="86" customFormat="1" x14ac:dyDescent="0.3">
      <c r="B36" s="192">
        <f t="shared" si="27"/>
        <v>25</v>
      </c>
      <c r="C36" s="350">
        <f t="shared" si="12"/>
        <v>2046</v>
      </c>
      <c r="D36" s="351">
        <f t="shared" si="45"/>
        <v>53328</v>
      </c>
      <c r="E36" s="441">
        <f t="shared" si="45"/>
        <v>53692</v>
      </c>
      <c r="F36" s="445">
        <f>IF(AND(B36&gt;0,B36&lt;=Pyre_Inputs!$J$17),1,0)</f>
        <v>1</v>
      </c>
      <c r="G36" s="447">
        <f>IF(F36=1,Pyre_Inputs!$G$31,0)</f>
        <v>20195.999999999985</v>
      </c>
      <c r="H36" s="348">
        <f>IF(AND(F35=0,F36=1),100%,IF(AND(F35=0,F36=0),100%,H35-Pyre_Inputs!$G$45))*F36</f>
        <v>0.98800000000000132</v>
      </c>
      <c r="I36" s="216">
        <f t="shared" si="29"/>
        <v>19953.648000000012</v>
      </c>
      <c r="J36" s="219">
        <f>Pyre_Inputs!$J$11</f>
        <v>0.01</v>
      </c>
      <c r="K36" s="444">
        <f>IF(B36=1,Pyre_Inputs!$R$15,K35*(1+Pyre_CashFlows!J36))*F36</f>
        <v>4.3924147158375657</v>
      </c>
      <c r="L36" s="338">
        <f>IF(B36=1,Pyre_Inputs!$R$16,L35*(1+Pyre_CashFlows!J36))*F36</f>
        <v>4.3924147158375657</v>
      </c>
      <c r="M36" s="122">
        <f>K36*I36*Pyre_Inputs!$J$9</f>
        <v>43822.348554921431</v>
      </c>
      <c r="N36" s="222">
        <f>L36*I36*Pyre_Inputs!$J$10</f>
        <v>43822.348554921431</v>
      </c>
      <c r="O36" s="423">
        <f t="shared" si="30"/>
        <v>0</v>
      </c>
      <c r="P36" s="122">
        <f>SUM(M36:O36)+IF(B36=Pyre_Inputs!$J$17,Pyre_Inputs!$J$19,0)</f>
        <v>87644.697109842862</v>
      </c>
      <c r="Q36" s="218">
        <f>IF(B36=1,Pyre_Inputs!$O$7,Q35*(1+Pyre_Inputs!$N$23))*F36</f>
        <v>20907.894047386791</v>
      </c>
      <c r="R36" s="122">
        <f>IF(B36=1,Pyre_Inputs!$O$8,R35*(1+Pyre_Inputs!$N$23))*F36</f>
        <v>3727.5788244483915</v>
      </c>
      <c r="S36" s="122">
        <f>IF(B36=1,Pyre_Inputs!$O$9,S35*(1+Pyre_Inputs!$N$23))*F36</f>
        <v>37369.372624857162</v>
      </c>
      <c r="T36" s="122">
        <f>IF(B36=1,Pyre_Inputs!$O$10,T35*(1+Pyre_Inputs!$N$23))*F36</f>
        <v>56269.081426213706</v>
      </c>
      <c r="U36" s="122">
        <f>IF(B36=1,Pyre_Inputs!$O$11,U35*(1+Pyre_Inputs!$N$23))*F36</f>
        <v>22531.33052636038</v>
      </c>
      <c r="V36" s="122">
        <f>IF(B36=1,Pyre_Inputs!$O$12,V35*(1+Pyre_Inputs!$N$23))*F36</f>
        <v>117.13105908900175</v>
      </c>
      <c r="W36" s="122">
        <f>IF(B36=1,Pyre_Inputs!$O$13,W35*(1+Pyre_Inputs!$N$23))*F36</f>
        <v>0</v>
      </c>
      <c r="X36" s="122">
        <f>IF(B36=1,Pyre_Inputs!$O$14,X35*(1+Pyre_Inputs!$N$23))*F36</f>
        <v>443.54603800527718</v>
      </c>
      <c r="Y36" s="122">
        <f>IF(B36=1,Pyre_Inputs!$O$15,Y35*(1+Pyre_Inputs!$N$23))*F36</f>
        <v>443.54603800527718</v>
      </c>
      <c r="Z36" s="122">
        <f>IF(B36=1,Pyre_Inputs!$O$16,Z35*(1+Pyre_Inputs!$N$23))*F36</f>
        <v>13667.296783332678</v>
      </c>
      <c r="AA36" s="122">
        <f>IF(B36=1,Pyre_Inputs!$O$17,AA35*(1+Pyre_Inputs!$N$23))*F36</f>
        <v>259.02586830051047</v>
      </c>
      <c r="AB36" s="181">
        <f>IF(B36=1,Pyre_Inputs!$O$18,AB35*(1+Pyre_Inputs!$N$23))*F36</f>
        <v>0</v>
      </c>
      <c r="AC36" s="482">
        <f>IF(B36=1,Pyre_Inputs!$O$19,AC35*(1+Pyre_Inputs!$N$23))*F36</f>
        <v>0</v>
      </c>
      <c r="AD36" s="122">
        <f>IF(B36=1,Pyre_Inputs!$O$20,AD35*(1+Pyre_Inputs!$N$23))*F36</f>
        <v>0</v>
      </c>
      <c r="AE36" s="122">
        <f>IF(B36=1,Pyre_Inputs!$O$21,AE35*(1+Pyre_Inputs!$N$23))*F36</f>
        <v>0</v>
      </c>
      <c r="AF36" s="132">
        <f>IF(B36=1,Pyre_Inputs!$O$22,AF35*(1+Pyre_Inputs!$N$23))*F36</f>
        <v>0</v>
      </c>
      <c r="AG36" s="200">
        <f t="shared" si="31"/>
        <v>155735.80323599916</v>
      </c>
      <c r="AH36" s="86">
        <f t="shared" si="13"/>
        <v>-68091.106126156301</v>
      </c>
      <c r="AI36" s="225">
        <f t="shared" si="14"/>
        <v>-0.77689932616025192</v>
      </c>
      <c r="AJ36" s="220">
        <f>Deprec!O35</f>
        <v>11772.340832965107</v>
      </c>
      <c r="AK36" s="122">
        <f t="shared" si="32"/>
        <v>-79863.446959121415</v>
      </c>
      <c r="AL36" s="221">
        <f t="shared" si="33"/>
        <v>2.1183434570136269E-11</v>
      </c>
      <c r="AM36" s="122">
        <f t="shared" si="34"/>
        <v>-79863.446959121429</v>
      </c>
      <c r="AN36" s="438">
        <f>IF(AM36&lt;0,0,(AM36*Pyre_Inputs!$J$14))</f>
        <v>0</v>
      </c>
      <c r="AO36" s="86">
        <f t="shared" si="35"/>
        <v>-79863.446959121429</v>
      </c>
      <c r="AP36" s="226">
        <f t="shared" si="16"/>
        <v>-0.91121824357531422</v>
      </c>
      <c r="AS36" s="196">
        <f t="shared" si="17"/>
        <v>87644.697109842862</v>
      </c>
      <c r="AT36" s="86">
        <f t="shared" si="18"/>
        <v>155735.80323599916</v>
      </c>
      <c r="AU36" s="197">
        <f t="shared" si="36"/>
        <v>-68091.106126156301</v>
      </c>
      <c r="AV36" s="218">
        <f>IF(B36=0,Pyre_Inputs!$C$29,0)</f>
        <v>0</v>
      </c>
      <c r="AW36" s="198">
        <f t="shared" si="5"/>
        <v>0</v>
      </c>
      <c r="AX36" s="197">
        <f t="shared" si="6"/>
        <v>-68091.106126156301</v>
      </c>
      <c r="AY36" s="184">
        <f>IF(B36=0,Pyre_Inputs!$G$15+Pyre_Inputs!$G$16,0)</f>
        <v>0</v>
      </c>
      <c r="AZ36" s="185">
        <f>IF(B36=0,Pyre_Inputs!$G$14,0)</f>
        <v>0</v>
      </c>
      <c r="BA36" s="132">
        <f t="shared" si="37"/>
        <v>0</v>
      </c>
      <c r="BB36" s="218">
        <f t="shared" si="38"/>
        <v>-68091.106126156301</v>
      </c>
      <c r="BC36" s="218">
        <f>Pyre_Inputs!$G$20*AVERAGE(BR36,BS36)</f>
        <v>0</v>
      </c>
      <c r="BD36" s="200">
        <f t="shared" si="9"/>
        <v>0</v>
      </c>
      <c r="BE36" s="200">
        <f t="shared" si="19"/>
        <v>-68091.106126156301</v>
      </c>
      <c r="BF36" s="86">
        <f t="shared" si="20"/>
        <v>-68091.106126156301</v>
      </c>
      <c r="BG36" s="197">
        <f t="shared" si="21"/>
        <v>-68091.106126156301</v>
      </c>
      <c r="BH36" s="86">
        <f t="shared" si="39"/>
        <v>1.7703332167696919E-10</v>
      </c>
      <c r="BI36" s="86">
        <f t="shared" si="40"/>
        <v>1.9821675624710545E-10</v>
      </c>
      <c r="BJ36" s="122">
        <f>-Debt_Calc!BA34</f>
        <v>2.1183434570136269E-11</v>
      </c>
      <c r="BK36" s="122">
        <f>Debt_Calc!BB34</f>
        <v>-2.1183434570136269E-11</v>
      </c>
      <c r="BL36" s="86">
        <f t="shared" si="22"/>
        <v>0</v>
      </c>
      <c r="BM36" s="423">
        <f t="shared" si="41"/>
        <v>0</v>
      </c>
      <c r="BN36" s="86">
        <f t="shared" si="42"/>
        <v>-68091.106126156301</v>
      </c>
      <c r="BO36" s="86">
        <f t="shared" si="23"/>
        <v>-68091.106126156301</v>
      </c>
      <c r="BP36" s="86">
        <f t="shared" si="43"/>
        <v>-68091.106126156301</v>
      </c>
      <c r="BQ36" s="86">
        <f t="shared" si="24"/>
        <v>0</v>
      </c>
      <c r="BR36" s="86">
        <f t="shared" si="25"/>
        <v>0</v>
      </c>
      <c r="BS36" s="86">
        <f t="shared" si="10"/>
        <v>0</v>
      </c>
      <c r="BT36" s="86">
        <f t="shared" si="26"/>
        <v>-1955645.3723033557</v>
      </c>
      <c r="BU36" s="86">
        <f t="shared" si="44"/>
        <v>0</v>
      </c>
      <c r="BV36" s="214" t="e">
        <f t="shared" si="11"/>
        <v>#VALUE!</v>
      </c>
    </row>
    <row r="37" spans="2:74" s="86" customFormat="1" x14ac:dyDescent="0.3">
      <c r="B37" s="192">
        <f t="shared" si="27"/>
        <v>26</v>
      </c>
      <c r="C37" s="350">
        <f t="shared" si="12"/>
        <v>2047</v>
      </c>
      <c r="D37" s="351">
        <f t="shared" si="45"/>
        <v>53693</v>
      </c>
      <c r="E37" s="441">
        <f t="shared" si="45"/>
        <v>54057</v>
      </c>
      <c r="F37" s="445">
        <f>IF(AND(B37&gt;0,B37&lt;=Pyre_Inputs!$J$17),1,0)</f>
        <v>0</v>
      </c>
      <c r="G37" s="447">
        <f>IF(F37=1,Pyre_Inputs!$G$31,0)</f>
        <v>0</v>
      </c>
      <c r="H37" s="348">
        <f>IF(AND(F36=0,F37=1),100%,IF(AND(F36=0,F37=0),100%,H36-Pyre_Inputs!$G$45))*F37</f>
        <v>0</v>
      </c>
      <c r="I37" s="216">
        <f t="shared" si="29"/>
        <v>0</v>
      </c>
      <c r="J37" s="219">
        <f>Pyre_Inputs!$J$11</f>
        <v>0.01</v>
      </c>
      <c r="K37" s="444">
        <f>IF(B37=1,Pyre_Inputs!$R$15,K36*(1+Pyre_CashFlows!J37))*F37</f>
        <v>0</v>
      </c>
      <c r="L37" s="338">
        <f>IF(B37=1,Pyre_Inputs!$R$16,L36*(1+Pyre_CashFlows!J37))*F37</f>
        <v>0</v>
      </c>
      <c r="M37" s="122">
        <f>K37*I37*Pyre_Inputs!$J$9</f>
        <v>0</v>
      </c>
      <c r="N37" s="222">
        <f>L37*I37*Pyre_Inputs!$J$10</f>
        <v>0</v>
      </c>
      <c r="O37" s="423">
        <f t="shared" si="30"/>
        <v>0</v>
      </c>
      <c r="P37" s="122">
        <f>SUM(M37:O37)+IF(B37=Pyre_Inputs!$J$17,Pyre_Inputs!$J$19,0)</f>
        <v>0</v>
      </c>
      <c r="Q37" s="218">
        <f>IF(B37=1,Pyre_Inputs!$O$7,Q36*(1+Pyre_Inputs!$N$23))*F37</f>
        <v>0</v>
      </c>
      <c r="R37" s="122">
        <f>IF(B37=1,Pyre_Inputs!$O$8,R36*(1+Pyre_Inputs!$N$23))*F37</f>
        <v>0</v>
      </c>
      <c r="S37" s="122">
        <f>IF(B37=1,Pyre_Inputs!$O$9,S36*(1+Pyre_Inputs!$N$23))*F37</f>
        <v>0</v>
      </c>
      <c r="T37" s="122">
        <f>IF(B37=1,Pyre_Inputs!$O$10,T36*(1+Pyre_Inputs!$N$23))*F37</f>
        <v>0</v>
      </c>
      <c r="U37" s="122">
        <f>IF(B37=1,Pyre_Inputs!$O$11,U36*(1+Pyre_Inputs!$N$23))*F37</f>
        <v>0</v>
      </c>
      <c r="V37" s="122">
        <f>IF(B37=1,Pyre_Inputs!$O$12,V36*(1+Pyre_Inputs!$N$23))*F37</f>
        <v>0</v>
      </c>
      <c r="W37" s="122">
        <f>IF(B37=1,Pyre_Inputs!$O$13,W36*(1+Pyre_Inputs!$N$23))*F37</f>
        <v>0</v>
      </c>
      <c r="X37" s="122">
        <f>IF(B37=1,Pyre_Inputs!$O$14,X36*(1+Pyre_Inputs!$N$23))*F37</f>
        <v>0</v>
      </c>
      <c r="Y37" s="122">
        <f>IF(B37=1,Pyre_Inputs!$O$15,Y36*(1+Pyre_Inputs!$N$23))*F37</f>
        <v>0</v>
      </c>
      <c r="Z37" s="122">
        <f>IF(B37=1,Pyre_Inputs!$O$16,Z36*(1+Pyre_Inputs!$N$23))*F37</f>
        <v>0</v>
      </c>
      <c r="AA37" s="122">
        <f>IF(B37=1,Pyre_Inputs!$O$17,AA36*(1+Pyre_Inputs!$N$23))*F37</f>
        <v>0</v>
      </c>
      <c r="AB37" s="181">
        <f>IF(B37=1,Pyre_Inputs!$O$18,AB36*(1+Pyre_Inputs!$N$23))*F37</f>
        <v>0</v>
      </c>
      <c r="AC37" s="482">
        <f>IF(B37=1,Pyre_Inputs!$O$19,AC36*(1+Pyre_Inputs!$N$23))*F37</f>
        <v>0</v>
      </c>
      <c r="AD37" s="122">
        <f>IF(B37=1,Pyre_Inputs!$O$20,AD36*(1+Pyre_Inputs!$N$23))*F37</f>
        <v>0</v>
      </c>
      <c r="AE37" s="122">
        <f>IF(B37=1,Pyre_Inputs!$O$21,AE36*(1+Pyre_Inputs!$N$23))*F37</f>
        <v>0</v>
      </c>
      <c r="AF37" s="132">
        <f>IF(B37=1,Pyre_Inputs!$O$22,AF36*(1+Pyre_Inputs!$N$23))*F37</f>
        <v>0</v>
      </c>
      <c r="AG37" s="200">
        <f t="shared" si="31"/>
        <v>0</v>
      </c>
      <c r="AH37" s="86">
        <f t="shared" si="13"/>
        <v>0</v>
      </c>
      <c r="AI37" s="225">
        <f t="shared" si="14"/>
        <v>0</v>
      </c>
      <c r="AJ37" s="220">
        <f>Deprec!O36</f>
        <v>0</v>
      </c>
      <c r="AK37" s="122">
        <f t="shared" si="32"/>
        <v>0</v>
      </c>
      <c r="AL37" s="221">
        <f t="shared" si="33"/>
        <v>2.3718199754094414E-11</v>
      </c>
      <c r="AM37" s="122">
        <f t="shared" si="34"/>
        <v>-2.3718199754094414E-11</v>
      </c>
      <c r="AN37" s="438">
        <f>IF(AM37&lt;0,0,(AM37*Pyre_Inputs!$J$14))</f>
        <v>0</v>
      </c>
      <c r="AO37" s="86">
        <f t="shared" si="35"/>
        <v>-2.3718199754094414E-11</v>
      </c>
      <c r="AP37" s="226">
        <f t="shared" si="16"/>
        <v>0</v>
      </c>
      <c r="AS37" s="196">
        <f t="shared" si="17"/>
        <v>0</v>
      </c>
      <c r="AT37" s="86">
        <f t="shared" si="18"/>
        <v>0</v>
      </c>
      <c r="AU37" s="197">
        <f t="shared" si="36"/>
        <v>0</v>
      </c>
      <c r="AV37" s="218">
        <f>IF(B37=0,Pyre_Inputs!$C$29,0)</f>
        <v>0</v>
      </c>
      <c r="AW37" s="198">
        <f t="shared" si="5"/>
        <v>0</v>
      </c>
      <c r="AX37" s="197">
        <f t="shared" si="6"/>
        <v>0</v>
      </c>
      <c r="AY37" s="184">
        <f>IF(B37=0,Pyre_Inputs!$G$15+Pyre_Inputs!$G$16,0)</f>
        <v>0</v>
      </c>
      <c r="AZ37" s="185">
        <f>IF(B37=0,Pyre_Inputs!$G$14,0)</f>
        <v>0</v>
      </c>
      <c r="BA37" s="132">
        <f t="shared" si="37"/>
        <v>0</v>
      </c>
      <c r="BB37" s="218">
        <f t="shared" si="38"/>
        <v>0</v>
      </c>
      <c r="BC37" s="218">
        <f>Pyre_Inputs!$G$20*AVERAGE(BR37,BS37)</f>
        <v>0</v>
      </c>
      <c r="BD37" s="200">
        <f t="shared" si="9"/>
        <v>0</v>
      </c>
      <c r="BE37" s="200">
        <f t="shared" si="19"/>
        <v>0</v>
      </c>
      <c r="BF37" s="86">
        <f t="shared" si="20"/>
        <v>0</v>
      </c>
      <c r="BG37" s="197">
        <f t="shared" si="21"/>
        <v>0</v>
      </c>
      <c r="BH37" s="86">
        <f t="shared" si="39"/>
        <v>1.9821675624710545E-10</v>
      </c>
      <c r="BI37" s="86">
        <f t="shared" si="40"/>
        <v>2.2193495600119987E-10</v>
      </c>
      <c r="BJ37" s="122">
        <f>-Debt_Calc!BA35</f>
        <v>2.3718199754094414E-11</v>
      </c>
      <c r="BK37" s="122">
        <f>Debt_Calc!BB35</f>
        <v>-2.3718199754094414E-11</v>
      </c>
      <c r="BL37" s="86">
        <f t="shared" si="22"/>
        <v>0</v>
      </c>
      <c r="BM37" s="423">
        <f t="shared" si="41"/>
        <v>0</v>
      </c>
      <c r="BN37" s="86">
        <f t="shared" si="42"/>
        <v>0</v>
      </c>
      <c r="BO37" s="86">
        <f t="shared" si="23"/>
        <v>0</v>
      </c>
      <c r="BP37" s="86">
        <f t="shared" si="43"/>
        <v>0</v>
      </c>
      <c r="BQ37" s="86">
        <f t="shared" si="24"/>
        <v>0</v>
      </c>
      <c r="BR37" s="86">
        <f t="shared" si="25"/>
        <v>0</v>
      </c>
      <c r="BS37" s="86">
        <f t="shared" si="10"/>
        <v>0</v>
      </c>
      <c r="BT37" s="86">
        <f t="shared" si="26"/>
        <v>-1955645.3723033557</v>
      </c>
      <c r="BU37" s="86">
        <f t="shared" si="44"/>
        <v>0</v>
      </c>
      <c r="BV37" s="214" t="e">
        <f t="shared" si="11"/>
        <v>#VALUE!</v>
      </c>
    </row>
    <row r="38" spans="2:74" s="86" customFormat="1" x14ac:dyDescent="0.3">
      <c r="B38" s="192">
        <f t="shared" si="27"/>
        <v>27</v>
      </c>
      <c r="C38" s="350">
        <f t="shared" si="12"/>
        <v>2048</v>
      </c>
      <c r="D38" s="351">
        <f t="shared" si="45"/>
        <v>54058</v>
      </c>
      <c r="E38" s="441">
        <f t="shared" si="45"/>
        <v>54423</v>
      </c>
      <c r="F38" s="445">
        <f>IF(AND(B38&gt;0,B38&lt;=Pyre_Inputs!$J$17),1,0)</f>
        <v>0</v>
      </c>
      <c r="G38" s="447">
        <f>IF(F38=1,Pyre_Inputs!$G$31,0)</f>
        <v>0</v>
      </c>
      <c r="H38" s="348">
        <f>IF(AND(F37=0,F38=1),100%,IF(AND(F37=0,F38=0),100%,H37-Pyre_Inputs!$G$45))*F38</f>
        <v>0</v>
      </c>
      <c r="I38" s="216">
        <f t="shared" si="29"/>
        <v>0</v>
      </c>
      <c r="J38" s="219">
        <f>Pyre_Inputs!$J$11</f>
        <v>0.01</v>
      </c>
      <c r="K38" s="444">
        <f>IF(B38=1,Pyre_Inputs!$R$15,K37*(1+Pyre_CashFlows!J38))*F38</f>
        <v>0</v>
      </c>
      <c r="L38" s="338">
        <f>IF(B38=1,Pyre_Inputs!$R$16,L37*(1+Pyre_CashFlows!J38))*F38</f>
        <v>0</v>
      </c>
      <c r="M38" s="122">
        <f>K38*I38*Pyre_Inputs!$J$9</f>
        <v>0</v>
      </c>
      <c r="N38" s="222">
        <f>L38*I38*Pyre_Inputs!$J$10</f>
        <v>0</v>
      </c>
      <c r="O38" s="423">
        <f t="shared" si="30"/>
        <v>0</v>
      </c>
      <c r="P38" s="122">
        <f>SUM(M38:O38)+IF(B38=Pyre_Inputs!$J$17,Pyre_Inputs!$J$19,0)</f>
        <v>0</v>
      </c>
      <c r="Q38" s="218">
        <f>IF(B38=1,Pyre_Inputs!$O$7,Q37*(1+Pyre_Inputs!$N$23))*F38</f>
        <v>0</v>
      </c>
      <c r="R38" s="122">
        <f>IF(B38=1,Pyre_Inputs!$O$8,R37*(1+Pyre_Inputs!$N$23))*F38</f>
        <v>0</v>
      </c>
      <c r="S38" s="122">
        <f>IF(B38=1,Pyre_Inputs!$O$9,S37*(1+Pyre_Inputs!$N$23))*F38</f>
        <v>0</v>
      </c>
      <c r="T38" s="122">
        <f>IF(B38=1,Pyre_Inputs!$O$10,T37*(1+Pyre_Inputs!$N$23))*F38</f>
        <v>0</v>
      </c>
      <c r="U38" s="122">
        <f>IF(B38=1,Pyre_Inputs!$O$11,U37*(1+Pyre_Inputs!$N$23))*F38</f>
        <v>0</v>
      </c>
      <c r="V38" s="122">
        <f>IF(B38=1,Pyre_Inputs!$O$12,V37*(1+Pyre_Inputs!$N$23))*F38</f>
        <v>0</v>
      </c>
      <c r="W38" s="122">
        <f>IF(B38=1,Pyre_Inputs!$O$13,W37*(1+Pyre_Inputs!$N$23))*F38</f>
        <v>0</v>
      </c>
      <c r="X38" s="122">
        <f>IF(B38=1,Pyre_Inputs!$O$14,X37*(1+Pyre_Inputs!$N$23))*F38</f>
        <v>0</v>
      </c>
      <c r="Y38" s="122">
        <f>IF(B38=1,Pyre_Inputs!$O$15,Y37*(1+Pyre_Inputs!$N$23))*F38</f>
        <v>0</v>
      </c>
      <c r="Z38" s="122">
        <f>IF(B38=1,Pyre_Inputs!$O$16,Z37*(1+Pyre_Inputs!$N$23))*F38</f>
        <v>0</v>
      </c>
      <c r="AA38" s="122">
        <f>IF(B38=1,Pyre_Inputs!$O$17,AA37*(1+Pyre_Inputs!$N$23))*F38</f>
        <v>0</v>
      </c>
      <c r="AB38" s="181">
        <f>IF(B38=1,Pyre_Inputs!$O$18,AB37*(1+Pyre_Inputs!$N$23))*F38</f>
        <v>0</v>
      </c>
      <c r="AC38" s="482">
        <f>IF(B38=1,Pyre_Inputs!$O$19,AC37*(1+Pyre_Inputs!$N$23))*F38</f>
        <v>0</v>
      </c>
      <c r="AD38" s="122">
        <f>IF(B38=1,Pyre_Inputs!$O$20,AD37*(1+Pyre_Inputs!$N$23))*F38</f>
        <v>0</v>
      </c>
      <c r="AE38" s="122">
        <f>IF(B38=1,Pyre_Inputs!$O$21,AE37*(1+Pyre_Inputs!$N$23))*F38</f>
        <v>0</v>
      </c>
      <c r="AF38" s="132">
        <f>IF(B38=1,Pyre_Inputs!$O$22,AF37*(1+Pyre_Inputs!$N$23))*F38</f>
        <v>0</v>
      </c>
      <c r="AG38" s="200">
        <f t="shared" si="31"/>
        <v>0</v>
      </c>
      <c r="AH38" s="86">
        <f t="shared" si="13"/>
        <v>0</v>
      </c>
      <c r="AI38" s="225">
        <f t="shared" si="14"/>
        <v>0</v>
      </c>
      <c r="AJ38" s="220">
        <f>Deprec!O37</f>
        <v>0</v>
      </c>
      <c r="AK38" s="122">
        <f t="shared" si="32"/>
        <v>0</v>
      </c>
      <c r="AL38" s="221">
        <f t="shared" si="33"/>
        <v>2.6556269603617237E-11</v>
      </c>
      <c r="AM38" s="122">
        <f t="shared" si="34"/>
        <v>-2.6556269603617237E-11</v>
      </c>
      <c r="AN38" s="438">
        <f>IF(AM38&lt;0,0,(AM38*Pyre_Inputs!$J$14))</f>
        <v>0</v>
      </c>
      <c r="AO38" s="86">
        <f t="shared" si="35"/>
        <v>-2.6556269603617237E-11</v>
      </c>
      <c r="AP38" s="226">
        <f t="shared" si="16"/>
        <v>0</v>
      </c>
      <c r="AS38" s="196">
        <f t="shared" si="17"/>
        <v>0</v>
      </c>
      <c r="AT38" s="86">
        <f t="shared" si="18"/>
        <v>0</v>
      </c>
      <c r="AU38" s="197">
        <f t="shared" si="36"/>
        <v>0</v>
      </c>
      <c r="AV38" s="218">
        <f>IF(B38=0,Pyre_Inputs!$C$29,0)</f>
        <v>0</v>
      </c>
      <c r="AW38" s="198">
        <f t="shared" si="5"/>
        <v>0</v>
      </c>
      <c r="AX38" s="197">
        <f t="shared" si="6"/>
        <v>0</v>
      </c>
      <c r="AY38" s="184">
        <f>IF(B38=0,Pyre_Inputs!$G$15+Pyre_Inputs!$G$16,0)</f>
        <v>0</v>
      </c>
      <c r="AZ38" s="185">
        <f>IF(B38=0,Pyre_Inputs!$G$14,0)</f>
        <v>0</v>
      </c>
      <c r="BA38" s="132">
        <f t="shared" si="37"/>
        <v>0</v>
      </c>
      <c r="BB38" s="218">
        <f t="shared" si="38"/>
        <v>0</v>
      </c>
      <c r="BC38" s="218">
        <f>Pyre_Inputs!$G$20*AVERAGE(BR38,BS38)</f>
        <v>0</v>
      </c>
      <c r="BD38" s="200">
        <f t="shared" si="9"/>
        <v>0</v>
      </c>
      <c r="BE38" s="200">
        <f t="shared" si="19"/>
        <v>0</v>
      </c>
      <c r="BF38" s="86">
        <f t="shared" si="20"/>
        <v>0</v>
      </c>
      <c r="BG38" s="197">
        <f t="shared" si="21"/>
        <v>0</v>
      </c>
      <c r="BH38" s="86">
        <f t="shared" si="39"/>
        <v>2.2193495600119987E-10</v>
      </c>
      <c r="BI38" s="86">
        <f t="shared" si="40"/>
        <v>2.4849122560481711E-10</v>
      </c>
      <c r="BJ38" s="122">
        <f>-Debt_Calc!BA36</f>
        <v>2.6556269603617237E-11</v>
      </c>
      <c r="BK38" s="122">
        <f>Debt_Calc!BB36</f>
        <v>-2.6556269603617237E-11</v>
      </c>
      <c r="BL38" s="86">
        <f t="shared" si="22"/>
        <v>0</v>
      </c>
      <c r="BM38" s="423">
        <f t="shared" si="41"/>
        <v>0</v>
      </c>
      <c r="BN38" s="86">
        <f t="shared" si="42"/>
        <v>0</v>
      </c>
      <c r="BO38" s="86">
        <f t="shared" si="23"/>
        <v>0</v>
      </c>
      <c r="BP38" s="86">
        <f t="shared" si="43"/>
        <v>0</v>
      </c>
      <c r="BQ38" s="86">
        <f t="shared" si="24"/>
        <v>0</v>
      </c>
      <c r="BR38" s="86">
        <f t="shared" si="25"/>
        <v>0</v>
      </c>
      <c r="BS38" s="86">
        <f t="shared" si="10"/>
        <v>0</v>
      </c>
      <c r="BT38" s="86">
        <f t="shared" si="26"/>
        <v>-1955645.3723033557</v>
      </c>
      <c r="BU38" s="86">
        <f t="shared" si="44"/>
        <v>0</v>
      </c>
      <c r="BV38" s="214" t="e">
        <f t="shared" si="11"/>
        <v>#VALUE!</v>
      </c>
    </row>
    <row r="39" spans="2:74" s="86" customFormat="1" x14ac:dyDescent="0.3">
      <c r="B39" s="192">
        <f t="shared" si="27"/>
        <v>28</v>
      </c>
      <c r="C39" s="350">
        <f t="shared" si="12"/>
        <v>2049</v>
      </c>
      <c r="D39" s="351">
        <f t="shared" si="45"/>
        <v>54424</v>
      </c>
      <c r="E39" s="441">
        <f t="shared" si="45"/>
        <v>54788</v>
      </c>
      <c r="F39" s="445">
        <f>IF(AND(B39&gt;0,B39&lt;=Pyre_Inputs!$J$17),1,0)</f>
        <v>0</v>
      </c>
      <c r="G39" s="447">
        <f>IF(F39=1,Pyre_Inputs!$G$31,0)</f>
        <v>0</v>
      </c>
      <c r="H39" s="348">
        <f>IF(AND(F38=0,F39=1),100%,IF(AND(F38=0,F39=0),100%,H38-Pyre_Inputs!$G$45))*F39</f>
        <v>0</v>
      </c>
      <c r="I39" s="216">
        <f t="shared" si="29"/>
        <v>0</v>
      </c>
      <c r="J39" s="219">
        <f>Pyre_Inputs!$J$11</f>
        <v>0.01</v>
      </c>
      <c r="K39" s="444">
        <f>IF(B39=1,Pyre_Inputs!$R$15,K38*(1+Pyre_CashFlows!J39))*F39</f>
        <v>0</v>
      </c>
      <c r="L39" s="338">
        <f>IF(B39=1,Pyre_Inputs!$R$16,L38*(1+Pyre_CashFlows!J39))*F39</f>
        <v>0</v>
      </c>
      <c r="M39" s="122">
        <f>K39*I39*Pyre_Inputs!$J$9</f>
        <v>0</v>
      </c>
      <c r="N39" s="222">
        <f>L39*I39*Pyre_Inputs!$J$10</f>
        <v>0</v>
      </c>
      <c r="O39" s="423">
        <f t="shared" si="30"/>
        <v>0</v>
      </c>
      <c r="P39" s="122">
        <f>SUM(M39:O39)+IF(B39=Pyre_Inputs!$J$17,Pyre_Inputs!$J$19,0)</f>
        <v>0</v>
      </c>
      <c r="Q39" s="218">
        <f>IF(B39=1,Pyre_Inputs!$O$7,Q38*(1+Pyre_Inputs!$N$23))*F39</f>
        <v>0</v>
      </c>
      <c r="R39" s="122">
        <f>IF(B39=1,Pyre_Inputs!$O$8,R38*(1+Pyre_Inputs!$N$23))*F39</f>
        <v>0</v>
      </c>
      <c r="S39" s="122">
        <f>IF(B39=1,Pyre_Inputs!$O$9,S38*(1+Pyre_Inputs!$N$23))*F39</f>
        <v>0</v>
      </c>
      <c r="T39" s="122">
        <f>IF(B39=1,Pyre_Inputs!$O$10,T38*(1+Pyre_Inputs!$N$23))*F39</f>
        <v>0</v>
      </c>
      <c r="U39" s="122">
        <f>IF(B39=1,Pyre_Inputs!$O$11,U38*(1+Pyre_Inputs!$N$23))*F39</f>
        <v>0</v>
      </c>
      <c r="V39" s="122">
        <f>IF(B39=1,Pyre_Inputs!$O$12,V38*(1+Pyre_Inputs!$N$23))*F39</f>
        <v>0</v>
      </c>
      <c r="W39" s="122">
        <f>IF(B39=1,Pyre_Inputs!$O$13,W38*(1+Pyre_Inputs!$N$23))*F39</f>
        <v>0</v>
      </c>
      <c r="X39" s="122">
        <f>IF(B39=1,Pyre_Inputs!$O$14,X38*(1+Pyre_Inputs!$N$23))*F39</f>
        <v>0</v>
      </c>
      <c r="Y39" s="122">
        <f>IF(B39=1,Pyre_Inputs!$O$15,Y38*(1+Pyre_Inputs!$N$23))*F39</f>
        <v>0</v>
      </c>
      <c r="Z39" s="122">
        <f>IF(B39=1,Pyre_Inputs!$O$16,Z38*(1+Pyre_Inputs!$N$23))*F39</f>
        <v>0</v>
      </c>
      <c r="AA39" s="122">
        <f>IF(B39=1,Pyre_Inputs!$O$17,AA38*(1+Pyre_Inputs!$N$23))*F39</f>
        <v>0</v>
      </c>
      <c r="AB39" s="181">
        <f>IF(B39=1,Pyre_Inputs!$O$18,AB38*(1+Pyre_Inputs!$N$23))*F39</f>
        <v>0</v>
      </c>
      <c r="AC39" s="482">
        <f>IF(B39=1,Pyre_Inputs!$O$19,AC38*(1+Pyre_Inputs!$N$23))*F39</f>
        <v>0</v>
      </c>
      <c r="AD39" s="122">
        <f>IF(B39=1,Pyre_Inputs!$O$20,AD38*(1+Pyre_Inputs!$N$23))*F39</f>
        <v>0</v>
      </c>
      <c r="AE39" s="122">
        <f>IF(B39=1,Pyre_Inputs!$O$21,AE38*(1+Pyre_Inputs!$N$23))*F39</f>
        <v>0</v>
      </c>
      <c r="AF39" s="132">
        <f>IF(B39=1,Pyre_Inputs!$O$22,AF38*(1+Pyre_Inputs!$N$23))*F39</f>
        <v>0</v>
      </c>
      <c r="AG39" s="200">
        <f t="shared" si="31"/>
        <v>0</v>
      </c>
      <c r="AH39" s="86">
        <f t="shared" si="13"/>
        <v>0</v>
      </c>
      <c r="AI39" s="225">
        <f t="shared" si="14"/>
        <v>0</v>
      </c>
      <c r="AJ39" s="220">
        <f>Deprec!O38</f>
        <v>0</v>
      </c>
      <c r="AK39" s="122">
        <f t="shared" si="32"/>
        <v>0</v>
      </c>
      <c r="AL39" s="221">
        <f t="shared" si="33"/>
        <v>2.9733936916450062E-11</v>
      </c>
      <c r="AM39" s="122">
        <f t="shared" si="34"/>
        <v>-2.9733936916450062E-11</v>
      </c>
      <c r="AN39" s="438">
        <f>IF(AM39&lt;0,0,(AM39*Pyre_Inputs!$J$14))</f>
        <v>0</v>
      </c>
      <c r="AO39" s="86">
        <f t="shared" si="35"/>
        <v>-2.9733936916450062E-11</v>
      </c>
      <c r="AP39" s="226">
        <f t="shared" si="16"/>
        <v>0</v>
      </c>
      <c r="AS39" s="196">
        <f t="shared" si="17"/>
        <v>0</v>
      </c>
      <c r="AT39" s="86">
        <f t="shared" si="18"/>
        <v>0</v>
      </c>
      <c r="AU39" s="197">
        <f t="shared" si="36"/>
        <v>0</v>
      </c>
      <c r="AV39" s="218">
        <f>IF(B39=0,Pyre_Inputs!$C$29,0)</f>
        <v>0</v>
      </c>
      <c r="AW39" s="198">
        <f t="shared" si="5"/>
        <v>0</v>
      </c>
      <c r="AX39" s="197">
        <f t="shared" si="6"/>
        <v>0</v>
      </c>
      <c r="AY39" s="184">
        <f>IF(B39=0,Pyre_Inputs!$G$15+Pyre_Inputs!$G$16,0)</f>
        <v>0</v>
      </c>
      <c r="AZ39" s="185">
        <f>IF(B39=0,Pyre_Inputs!$G$14,0)</f>
        <v>0</v>
      </c>
      <c r="BA39" s="132">
        <f t="shared" si="37"/>
        <v>0</v>
      </c>
      <c r="BB39" s="218">
        <f t="shared" si="38"/>
        <v>0</v>
      </c>
      <c r="BC39" s="218">
        <f>Pyre_Inputs!$G$20*AVERAGE(BR39,BS39)</f>
        <v>0</v>
      </c>
      <c r="BD39" s="200">
        <f t="shared" si="9"/>
        <v>0</v>
      </c>
      <c r="BE39" s="200">
        <f t="shared" si="19"/>
        <v>0</v>
      </c>
      <c r="BF39" s="86">
        <f t="shared" si="20"/>
        <v>0</v>
      </c>
      <c r="BG39" s="197">
        <f t="shared" si="21"/>
        <v>0</v>
      </c>
      <c r="BH39" s="86">
        <f t="shared" si="39"/>
        <v>2.4849122560481711E-10</v>
      </c>
      <c r="BI39" s="86">
        <f t="shared" si="40"/>
        <v>2.7822516252126716E-10</v>
      </c>
      <c r="BJ39" s="122">
        <f>-Debt_Calc!BA37</f>
        <v>2.9733936916450062E-11</v>
      </c>
      <c r="BK39" s="122">
        <f>Debt_Calc!BB37</f>
        <v>-2.9733936916450062E-11</v>
      </c>
      <c r="BL39" s="86">
        <f t="shared" si="22"/>
        <v>0</v>
      </c>
      <c r="BM39" s="423">
        <f t="shared" si="41"/>
        <v>0</v>
      </c>
      <c r="BN39" s="86">
        <f t="shared" si="42"/>
        <v>0</v>
      </c>
      <c r="BO39" s="86">
        <f t="shared" si="23"/>
        <v>0</v>
      </c>
      <c r="BP39" s="86">
        <f t="shared" si="43"/>
        <v>0</v>
      </c>
      <c r="BQ39" s="86">
        <f t="shared" si="24"/>
        <v>0</v>
      </c>
      <c r="BR39" s="86">
        <f t="shared" si="25"/>
        <v>0</v>
      </c>
      <c r="BS39" s="86">
        <f t="shared" si="10"/>
        <v>0</v>
      </c>
      <c r="BT39" s="86">
        <f t="shared" si="26"/>
        <v>-1955645.3723033557</v>
      </c>
      <c r="BU39" s="86">
        <f t="shared" si="44"/>
        <v>0</v>
      </c>
      <c r="BV39" s="214" t="e">
        <f t="shared" si="11"/>
        <v>#VALUE!</v>
      </c>
    </row>
    <row r="40" spans="2:74" s="86" customFormat="1" x14ac:dyDescent="0.3">
      <c r="B40" s="192">
        <f t="shared" si="27"/>
        <v>29</v>
      </c>
      <c r="C40" s="350">
        <f t="shared" si="12"/>
        <v>2050</v>
      </c>
      <c r="D40" s="351">
        <f t="shared" si="45"/>
        <v>54789</v>
      </c>
      <c r="E40" s="441">
        <f t="shared" si="45"/>
        <v>55153</v>
      </c>
      <c r="F40" s="445">
        <f>IF(AND(B40&gt;0,B40&lt;=Pyre_Inputs!$J$17),1,0)</f>
        <v>0</v>
      </c>
      <c r="G40" s="447">
        <f>IF(F40=1,Pyre_Inputs!$G$31,0)</f>
        <v>0</v>
      </c>
      <c r="H40" s="348">
        <f>IF(AND(F39=0,F40=1),100%,IF(AND(F39=0,F40=0),100%,H39-Pyre_Inputs!$G$45))*F40</f>
        <v>0</v>
      </c>
      <c r="I40" s="216">
        <f t="shared" si="29"/>
        <v>0</v>
      </c>
      <c r="J40" s="219">
        <f>Pyre_Inputs!$J$11</f>
        <v>0.01</v>
      </c>
      <c r="K40" s="444">
        <f>IF(B40=1,Pyre_Inputs!$R$15,K39*(1+Pyre_CashFlows!J40))*F40</f>
        <v>0</v>
      </c>
      <c r="L40" s="338">
        <f>IF(B40=1,Pyre_Inputs!$R$16,L39*(1+Pyre_CashFlows!J40))*F40</f>
        <v>0</v>
      </c>
      <c r="M40" s="122">
        <f>K40*I40*Pyre_Inputs!$J$9</f>
        <v>0</v>
      </c>
      <c r="N40" s="222">
        <f>L40*I40*Pyre_Inputs!$J$10</f>
        <v>0</v>
      </c>
      <c r="O40" s="423">
        <f t="shared" si="30"/>
        <v>0</v>
      </c>
      <c r="P40" s="122">
        <f>SUM(M40:O40)+IF(B40=Pyre_Inputs!$J$17,Pyre_Inputs!$J$19,0)</f>
        <v>0</v>
      </c>
      <c r="Q40" s="218">
        <f>IF(B40=1,Pyre_Inputs!$O$7,Q39*(1+Pyre_Inputs!$N$23))*F40</f>
        <v>0</v>
      </c>
      <c r="R40" s="122">
        <f>IF(B40=1,Pyre_Inputs!$O$8,R39*(1+Pyre_Inputs!$N$23))*F40</f>
        <v>0</v>
      </c>
      <c r="S40" s="122">
        <f>IF(B40=1,Pyre_Inputs!$O$9,S39*(1+Pyre_Inputs!$N$23))*F40</f>
        <v>0</v>
      </c>
      <c r="T40" s="122">
        <f>IF(B40=1,Pyre_Inputs!$O$10,T39*(1+Pyre_Inputs!$N$23))*F40</f>
        <v>0</v>
      </c>
      <c r="U40" s="122">
        <f>IF(B40=1,Pyre_Inputs!$O$11,U39*(1+Pyre_Inputs!$N$23))*F40</f>
        <v>0</v>
      </c>
      <c r="V40" s="122">
        <f>IF(B40=1,Pyre_Inputs!$O$12,V39*(1+Pyre_Inputs!$N$23))*F40</f>
        <v>0</v>
      </c>
      <c r="W40" s="122">
        <f>IF(B40=1,Pyre_Inputs!$O$13,W39*(1+Pyre_Inputs!$N$23))*F40</f>
        <v>0</v>
      </c>
      <c r="X40" s="122">
        <f>IF(B40=1,Pyre_Inputs!$O$14,X39*(1+Pyre_Inputs!$N$23))*F40</f>
        <v>0</v>
      </c>
      <c r="Y40" s="122">
        <f>IF(B40=1,Pyre_Inputs!$O$15,Y39*(1+Pyre_Inputs!$N$23))*F40</f>
        <v>0</v>
      </c>
      <c r="Z40" s="122">
        <f>IF(B40=1,Pyre_Inputs!$O$16,Z39*(1+Pyre_Inputs!$N$23))*F40</f>
        <v>0</v>
      </c>
      <c r="AA40" s="122">
        <f>IF(B40=1,Pyre_Inputs!$O$17,AA39*(1+Pyre_Inputs!$N$23))*F40</f>
        <v>0</v>
      </c>
      <c r="AB40" s="181">
        <f>IF(B40=1,Pyre_Inputs!$O$18,AB39*(1+Pyre_Inputs!$N$23))*F40</f>
        <v>0</v>
      </c>
      <c r="AC40" s="482">
        <f>IF(B40=1,Pyre_Inputs!$O$19,AC39*(1+Pyre_Inputs!$N$23))*F40</f>
        <v>0</v>
      </c>
      <c r="AD40" s="122">
        <f>IF(B40=1,Pyre_Inputs!$O$20,AD39*(1+Pyre_Inputs!$N$23))*F40</f>
        <v>0</v>
      </c>
      <c r="AE40" s="122">
        <f>IF(B40=1,Pyre_Inputs!$O$21,AE39*(1+Pyre_Inputs!$N$23))*F40</f>
        <v>0</v>
      </c>
      <c r="AF40" s="132">
        <f>IF(B40=1,Pyre_Inputs!$O$22,AF39*(1+Pyre_Inputs!$N$23))*F40</f>
        <v>0</v>
      </c>
      <c r="AG40" s="200">
        <f t="shared" si="31"/>
        <v>0</v>
      </c>
      <c r="AH40" s="86">
        <f t="shared" si="13"/>
        <v>0</v>
      </c>
      <c r="AI40" s="225">
        <f t="shared" si="14"/>
        <v>0</v>
      </c>
      <c r="AJ40" s="220">
        <f>Deprec!O39</f>
        <v>0</v>
      </c>
      <c r="AK40" s="122">
        <f t="shared" si="32"/>
        <v>0</v>
      </c>
      <c r="AL40" s="221">
        <f t="shared" si="33"/>
        <v>3.3291837210110547E-11</v>
      </c>
      <c r="AM40" s="122">
        <f t="shared" si="34"/>
        <v>-3.3291837210110547E-11</v>
      </c>
      <c r="AN40" s="438">
        <f>IF(AM40&lt;0,0,(AM40*Pyre_Inputs!$J$14))</f>
        <v>0</v>
      </c>
      <c r="AO40" s="86">
        <f t="shared" si="35"/>
        <v>-3.3291837210110547E-11</v>
      </c>
      <c r="AP40" s="226">
        <f t="shared" si="16"/>
        <v>0</v>
      </c>
      <c r="AS40" s="196">
        <f t="shared" si="17"/>
        <v>0</v>
      </c>
      <c r="AT40" s="86">
        <f t="shared" si="18"/>
        <v>0</v>
      </c>
      <c r="AU40" s="197">
        <f t="shared" si="36"/>
        <v>0</v>
      </c>
      <c r="AV40" s="218">
        <f>IF(B40=0,Pyre_Inputs!$C$29,0)</f>
        <v>0</v>
      </c>
      <c r="AW40" s="198">
        <f t="shared" si="5"/>
        <v>0</v>
      </c>
      <c r="AX40" s="197">
        <f t="shared" si="6"/>
        <v>0</v>
      </c>
      <c r="AY40" s="184">
        <f>IF(B40=0,Pyre_Inputs!$G$15+Pyre_Inputs!$G$16,0)</f>
        <v>0</v>
      </c>
      <c r="AZ40" s="185">
        <f>IF(B40=0,Pyre_Inputs!$G$14,0)</f>
        <v>0</v>
      </c>
      <c r="BA40" s="132">
        <f t="shared" si="37"/>
        <v>0</v>
      </c>
      <c r="BB40" s="218">
        <f t="shared" si="38"/>
        <v>0</v>
      </c>
      <c r="BC40" s="218">
        <f>Pyre_Inputs!$G$20*AVERAGE(BR40,BS40)</f>
        <v>0</v>
      </c>
      <c r="BD40" s="200">
        <f t="shared" si="9"/>
        <v>0</v>
      </c>
      <c r="BE40" s="200">
        <f t="shared" si="19"/>
        <v>0</v>
      </c>
      <c r="BF40" s="86">
        <f t="shared" si="20"/>
        <v>0</v>
      </c>
      <c r="BG40" s="197">
        <f t="shared" si="21"/>
        <v>0</v>
      </c>
      <c r="BH40" s="86">
        <f t="shared" si="39"/>
        <v>2.7822516252126716E-10</v>
      </c>
      <c r="BI40" s="86">
        <f t="shared" si="40"/>
        <v>3.115169997313777E-10</v>
      </c>
      <c r="BJ40" s="122">
        <f>-Debt_Calc!BA38</f>
        <v>3.3291837210110547E-11</v>
      </c>
      <c r="BK40" s="122">
        <f>Debt_Calc!BB38</f>
        <v>-3.3291837210110547E-11</v>
      </c>
      <c r="BL40" s="86">
        <f t="shared" si="22"/>
        <v>0</v>
      </c>
      <c r="BM40" s="423">
        <f t="shared" si="41"/>
        <v>0</v>
      </c>
      <c r="BN40" s="86">
        <f t="shared" si="42"/>
        <v>0</v>
      </c>
      <c r="BO40" s="86">
        <f t="shared" si="23"/>
        <v>0</v>
      </c>
      <c r="BP40" s="86">
        <f t="shared" si="43"/>
        <v>0</v>
      </c>
      <c r="BQ40" s="86">
        <f t="shared" si="24"/>
        <v>0</v>
      </c>
      <c r="BR40" s="86">
        <f t="shared" si="25"/>
        <v>0</v>
      </c>
      <c r="BS40" s="86">
        <f t="shared" si="10"/>
        <v>0</v>
      </c>
      <c r="BT40" s="86">
        <f t="shared" si="26"/>
        <v>-1955645.3723033557</v>
      </c>
      <c r="BU40" s="86">
        <f t="shared" si="44"/>
        <v>0</v>
      </c>
      <c r="BV40" s="214" t="e">
        <f t="shared" si="11"/>
        <v>#VALUE!</v>
      </c>
    </row>
    <row r="41" spans="2:74" s="86" customFormat="1" x14ac:dyDescent="0.3">
      <c r="B41" s="192">
        <f t="shared" si="27"/>
        <v>30</v>
      </c>
      <c r="C41" s="350">
        <f t="shared" si="12"/>
        <v>2051</v>
      </c>
      <c r="D41" s="351">
        <f t="shared" si="45"/>
        <v>55154</v>
      </c>
      <c r="E41" s="441">
        <f t="shared" si="45"/>
        <v>55518</v>
      </c>
      <c r="F41" s="445">
        <f>IF(AND(B41&gt;0,B41&lt;=Pyre_Inputs!$J$17),1,0)</f>
        <v>0</v>
      </c>
      <c r="G41" s="447">
        <f>IF(F41=1,Pyre_Inputs!$G$31,0)</f>
        <v>0</v>
      </c>
      <c r="H41" s="348">
        <f>IF(AND(F40=0,F41=1),100%,IF(AND(F40=0,F41=0),100%,H40-Pyre_Inputs!$G$45))*F41</f>
        <v>0</v>
      </c>
      <c r="I41" s="216">
        <f t="shared" si="29"/>
        <v>0</v>
      </c>
      <c r="J41" s="219">
        <f>Pyre_Inputs!$J$11</f>
        <v>0.01</v>
      </c>
      <c r="K41" s="444">
        <f>IF(B41=1,Pyre_Inputs!$R$15,K40*(1+Pyre_CashFlows!J41))*F41</f>
        <v>0</v>
      </c>
      <c r="L41" s="338">
        <f>IF(B41=1,Pyre_Inputs!$R$16,L40*(1+Pyre_CashFlows!J41))*F41</f>
        <v>0</v>
      </c>
      <c r="M41" s="122">
        <f>K41*I41*Pyre_Inputs!$J$9</f>
        <v>0</v>
      </c>
      <c r="N41" s="222">
        <f>L41*I41*Pyre_Inputs!$J$10</f>
        <v>0</v>
      </c>
      <c r="O41" s="423">
        <f t="shared" si="30"/>
        <v>0</v>
      </c>
      <c r="P41" s="122">
        <f>SUM(M41:O41)+IF(B41=Pyre_Inputs!$J$17,Pyre_Inputs!$J$19,0)</f>
        <v>0</v>
      </c>
      <c r="Q41" s="218">
        <f>IF(B41=1,Pyre_Inputs!$O$7,Q40*(1+Pyre_Inputs!$N$23))*F41</f>
        <v>0</v>
      </c>
      <c r="R41" s="122">
        <f>IF(B41=1,Pyre_Inputs!$O$8,R40*(1+Pyre_Inputs!$N$23))*F41</f>
        <v>0</v>
      </c>
      <c r="S41" s="122">
        <f>IF(B41=1,Pyre_Inputs!$O$9,S40*(1+Pyre_Inputs!$N$23))*F41</f>
        <v>0</v>
      </c>
      <c r="T41" s="122">
        <f>IF(B41=1,Pyre_Inputs!$O$10,T40*(1+Pyre_Inputs!$N$23))*F41</f>
        <v>0</v>
      </c>
      <c r="U41" s="122">
        <f>IF(B41=1,Pyre_Inputs!$O$11,U40*(1+Pyre_Inputs!$N$23))*F41</f>
        <v>0</v>
      </c>
      <c r="V41" s="122">
        <f>IF(B41=1,Pyre_Inputs!$O$12,V40*(1+Pyre_Inputs!$N$23))*F41</f>
        <v>0</v>
      </c>
      <c r="W41" s="122">
        <f>IF(B41=1,Pyre_Inputs!$O$13,W40*(1+Pyre_Inputs!$N$23))*F41</f>
        <v>0</v>
      </c>
      <c r="X41" s="122">
        <f>IF(B41=1,Pyre_Inputs!$O$14,X40*(1+Pyre_Inputs!$N$23))*F41</f>
        <v>0</v>
      </c>
      <c r="Y41" s="122">
        <f>IF(B41=1,Pyre_Inputs!$O$15,Y40*(1+Pyre_Inputs!$N$23))*F41</f>
        <v>0</v>
      </c>
      <c r="Z41" s="122">
        <f>IF(B41=1,Pyre_Inputs!$O$16,Z40*(1+Pyre_Inputs!$N$23))*F41</f>
        <v>0</v>
      </c>
      <c r="AA41" s="122">
        <f>IF(B41=1,Pyre_Inputs!$O$17,AA40*(1+Pyre_Inputs!$N$23))*F41</f>
        <v>0</v>
      </c>
      <c r="AB41" s="181">
        <f>IF(B41=1,Pyre_Inputs!$O$18,AB40*(1+Pyre_Inputs!$N$23))*F41</f>
        <v>0</v>
      </c>
      <c r="AC41" s="482">
        <f>IF(B41=1,Pyre_Inputs!$O$19,AC40*(1+Pyre_Inputs!$N$23))*F41</f>
        <v>0</v>
      </c>
      <c r="AD41" s="122">
        <f>IF(B41=1,Pyre_Inputs!$O$20,AD40*(1+Pyre_Inputs!$N$23))*F41</f>
        <v>0</v>
      </c>
      <c r="AE41" s="122">
        <f>IF(B41=1,Pyre_Inputs!$O$21,AE40*(1+Pyre_Inputs!$N$23))*F41</f>
        <v>0</v>
      </c>
      <c r="AF41" s="132">
        <f>IF(B41=1,Pyre_Inputs!$O$22,AF40*(1+Pyre_Inputs!$N$23))*F41</f>
        <v>0</v>
      </c>
      <c r="AG41" s="200">
        <f t="shared" si="31"/>
        <v>0</v>
      </c>
      <c r="AH41" s="86">
        <f t="shared" si="13"/>
        <v>0</v>
      </c>
      <c r="AI41" s="225">
        <f t="shared" si="14"/>
        <v>0</v>
      </c>
      <c r="AJ41" s="220">
        <f>Deprec!O40</f>
        <v>0</v>
      </c>
      <c r="AK41" s="122">
        <f t="shared" si="32"/>
        <v>0</v>
      </c>
      <c r="AL41" s="221">
        <f t="shared" si="33"/>
        <v>3.7275468362594034E-11</v>
      </c>
      <c r="AM41" s="122">
        <f t="shared" si="34"/>
        <v>-3.7275468362594034E-11</v>
      </c>
      <c r="AN41" s="438">
        <f>IF(AM41&lt;0,0,(AM41*Pyre_Inputs!$J$14))</f>
        <v>0</v>
      </c>
      <c r="AO41" s="86">
        <f t="shared" si="35"/>
        <v>-3.7275468362594034E-11</v>
      </c>
      <c r="AP41" s="226">
        <f t="shared" si="16"/>
        <v>0</v>
      </c>
      <c r="AS41" s="196">
        <f t="shared" si="17"/>
        <v>0</v>
      </c>
      <c r="AT41" s="86">
        <f t="shared" si="18"/>
        <v>0</v>
      </c>
      <c r="AU41" s="197">
        <f t="shared" si="36"/>
        <v>0</v>
      </c>
      <c r="AV41" s="218">
        <f>IF(B41=0,Pyre_Inputs!$C$29,0)</f>
        <v>0</v>
      </c>
      <c r="AW41" s="198">
        <f t="shared" si="5"/>
        <v>0</v>
      </c>
      <c r="AX41" s="197">
        <f t="shared" si="6"/>
        <v>0</v>
      </c>
      <c r="AY41" s="184">
        <f>IF(B41=0,Pyre_Inputs!$G$15+Pyre_Inputs!$G$16,0)</f>
        <v>0</v>
      </c>
      <c r="AZ41" s="185">
        <f>IF(B41=0,Pyre_Inputs!$G$14,0)</f>
        <v>0</v>
      </c>
      <c r="BA41" s="132">
        <f t="shared" si="37"/>
        <v>0</v>
      </c>
      <c r="BB41" s="218">
        <f t="shared" si="38"/>
        <v>0</v>
      </c>
      <c r="BC41" s="218">
        <f>Pyre_Inputs!$G$20*AVERAGE(BR41,BS41)</f>
        <v>0</v>
      </c>
      <c r="BD41" s="200">
        <f t="shared" si="9"/>
        <v>0</v>
      </c>
      <c r="BE41" s="200">
        <f t="shared" si="19"/>
        <v>0</v>
      </c>
      <c r="BF41" s="86">
        <f t="shared" si="20"/>
        <v>0</v>
      </c>
      <c r="BG41" s="197">
        <f t="shared" si="21"/>
        <v>0</v>
      </c>
      <c r="BH41" s="86">
        <f t="shared" si="39"/>
        <v>3.115169997313777E-10</v>
      </c>
      <c r="BI41" s="86">
        <f t="shared" si="40"/>
        <v>3.4879246809397174E-10</v>
      </c>
      <c r="BJ41" s="122">
        <f>-Debt_Calc!BA39</f>
        <v>3.7275468362594034E-11</v>
      </c>
      <c r="BK41" s="122">
        <f>Debt_Calc!BB39</f>
        <v>-3.7275468362594034E-11</v>
      </c>
      <c r="BL41" s="86">
        <f t="shared" si="22"/>
        <v>0</v>
      </c>
      <c r="BM41" s="423">
        <f t="shared" si="41"/>
        <v>0</v>
      </c>
      <c r="BN41" s="86">
        <f t="shared" si="42"/>
        <v>0</v>
      </c>
      <c r="BO41" s="86">
        <f t="shared" si="23"/>
        <v>0</v>
      </c>
      <c r="BP41" s="86">
        <f t="shared" si="43"/>
        <v>0</v>
      </c>
      <c r="BQ41" s="86">
        <f t="shared" si="24"/>
        <v>0</v>
      </c>
      <c r="BR41" s="86">
        <f t="shared" si="25"/>
        <v>0</v>
      </c>
      <c r="BS41" s="86">
        <f t="shared" si="10"/>
        <v>0</v>
      </c>
      <c r="BT41" s="86">
        <f t="shared" si="26"/>
        <v>-1955645.3723033557</v>
      </c>
      <c r="BU41" s="86">
        <f t="shared" si="44"/>
        <v>0</v>
      </c>
      <c r="BV41" s="214" t="e">
        <f t="shared" si="11"/>
        <v>#VALUE!</v>
      </c>
    </row>
    <row r="42" spans="2:74" s="86" customFormat="1" x14ac:dyDescent="0.3">
      <c r="B42" s="192">
        <f t="shared" si="27"/>
        <v>31</v>
      </c>
      <c r="C42" s="350">
        <f t="shared" si="12"/>
        <v>2052</v>
      </c>
      <c r="D42" s="351">
        <f t="shared" si="45"/>
        <v>55519</v>
      </c>
      <c r="E42" s="441">
        <f t="shared" si="45"/>
        <v>55884</v>
      </c>
      <c r="F42" s="445">
        <f>IF(AND(B42&gt;0,B42&lt;=Pyre_Inputs!$J$17),1,0)</f>
        <v>0</v>
      </c>
      <c r="G42" s="447">
        <f>IF(F42=1,Pyre_Inputs!$G$31,0)</f>
        <v>0</v>
      </c>
      <c r="H42" s="348">
        <f>IF(AND(F41=0,F42=1),100%,IF(AND(F41=0,F42=0),100%,H41-Pyre_Inputs!$G$45))*F42</f>
        <v>0</v>
      </c>
      <c r="I42" s="216">
        <f t="shared" si="29"/>
        <v>0</v>
      </c>
      <c r="J42" s="219">
        <f>Pyre_Inputs!$J$11</f>
        <v>0.01</v>
      </c>
      <c r="K42" s="444">
        <f>IF(B42=1,Pyre_Inputs!$R$15,K41*(1+Pyre_CashFlows!J42))*F42</f>
        <v>0</v>
      </c>
      <c r="L42" s="338">
        <f>IF(B42=1,Pyre_Inputs!$R$16,L41*(1+Pyre_CashFlows!J42))*F42</f>
        <v>0</v>
      </c>
      <c r="M42" s="122">
        <f>K42*I42*Pyre_Inputs!$J$9</f>
        <v>0</v>
      </c>
      <c r="N42" s="222">
        <f>L42*I42*Pyre_Inputs!$J$10</f>
        <v>0</v>
      </c>
      <c r="O42" s="423">
        <f t="shared" si="30"/>
        <v>0</v>
      </c>
      <c r="P42" s="122">
        <f>SUM(M42:O42)+IF(B42=Pyre_Inputs!$J$17,Pyre_Inputs!$J$19,0)</f>
        <v>0</v>
      </c>
      <c r="Q42" s="218">
        <f>IF(B42=1,Pyre_Inputs!$O$7,Q41*(1+Pyre_Inputs!$N$23))*F42</f>
        <v>0</v>
      </c>
      <c r="R42" s="122">
        <f>IF(B42=1,Pyre_Inputs!$O$8,R41*(1+Pyre_Inputs!$N$23))*F42</f>
        <v>0</v>
      </c>
      <c r="S42" s="122">
        <f>IF(B42=1,Pyre_Inputs!$O$9,S41*(1+Pyre_Inputs!$N$23))*F42</f>
        <v>0</v>
      </c>
      <c r="T42" s="122">
        <f>IF(B42=1,Pyre_Inputs!$O$10,T41*(1+Pyre_Inputs!$N$23))*F42</f>
        <v>0</v>
      </c>
      <c r="U42" s="122">
        <f>IF(B42=1,Pyre_Inputs!$O$11,U41*(1+Pyre_Inputs!$N$23))*F42</f>
        <v>0</v>
      </c>
      <c r="V42" s="122">
        <f>IF(B42=1,Pyre_Inputs!$O$12,V41*(1+Pyre_Inputs!$N$23))*F42</f>
        <v>0</v>
      </c>
      <c r="W42" s="122">
        <f>IF(B42=1,Pyre_Inputs!$O$13,W41*(1+Pyre_Inputs!$N$23))*F42</f>
        <v>0</v>
      </c>
      <c r="X42" s="122">
        <f>IF(B42=1,Pyre_Inputs!$O$14,X41*(1+Pyre_Inputs!$N$23))*F42</f>
        <v>0</v>
      </c>
      <c r="Y42" s="122">
        <f>IF(B42=1,Pyre_Inputs!$O$15,Y41*(1+Pyre_Inputs!$N$23))*F42</f>
        <v>0</v>
      </c>
      <c r="Z42" s="122">
        <f>IF(B42=1,Pyre_Inputs!$O$16,Z41*(1+Pyre_Inputs!$N$23))*F42</f>
        <v>0</v>
      </c>
      <c r="AA42" s="122">
        <f>IF(B42=1,Pyre_Inputs!$O$17,AA41*(1+Pyre_Inputs!$N$23))*F42</f>
        <v>0</v>
      </c>
      <c r="AB42" s="181">
        <f>IF(B42=1,Pyre_Inputs!$O$18,AB41*(1+Pyre_Inputs!$N$23))*F42</f>
        <v>0</v>
      </c>
      <c r="AC42" s="482">
        <f>IF(B42=1,Pyre_Inputs!$O$19,AC41*(1+Pyre_Inputs!$N$23))*F42</f>
        <v>0</v>
      </c>
      <c r="AD42" s="122">
        <f>IF(B42=1,Pyre_Inputs!$O$20,AD41*(1+Pyre_Inputs!$N$23))*F42</f>
        <v>0</v>
      </c>
      <c r="AE42" s="122">
        <f>IF(B42=1,Pyre_Inputs!$O$21,AE41*(1+Pyre_Inputs!$N$23))*F42</f>
        <v>0</v>
      </c>
      <c r="AF42" s="132">
        <f>IF(B42=1,Pyre_Inputs!$O$22,AF41*(1+Pyre_Inputs!$N$23))*F42</f>
        <v>0</v>
      </c>
      <c r="AG42" s="200">
        <f t="shared" si="31"/>
        <v>0</v>
      </c>
      <c r="AH42" s="86">
        <f t="shared" si="13"/>
        <v>0</v>
      </c>
      <c r="AI42" s="225">
        <f t="shared" si="14"/>
        <v>0</v>
      </c>
      <c r="AJ42" s="220">
        <f>Deprec!O41</f>
        <v>0</v>
      </c>
      <c r="AK42" s="122">
        <f t="shared" si="32"/>
        <v>0</v>
      </c>
      <c r="AL42" s="221">
        <f t="shared" si="33"/>
        <v>4.1735772432191794E-11</v>
      </c>
      <c r="AM42" s="122">
        <f t="shared" si="34"/>
        <v>-4.1735772432191794E-11</v>
      </c>
      <c r="AN42" s="438">
        <f>IF(AM42&lt;0,0,(AM42*Pyre_Inputs!$J$14))</f>
        <v>0</v>
      </c>
      <c r="AO42" s="86">
        <f t="shared" si="35"/>
        <v>-4.1735772432191794E-11</v>
      </c>
      <c r="AP42" s="226">
        <f t="shared" si="16"/>
        <v>0</v>
      </c>
      <c r="AS42" s="196">
        <f t="shared" si="17"/>
        <v>0</v>
      </c>
      <c r="AT42" s="86">
        <f t="shared" si="18"/>
        <v>0</v>
      </c>
      <c r="AU42" s="197">
        <f t="shared" si="36"/>
        <v>0</v>
      </c>
      <c r="AV42" s="218">
        <f>IF(B42=0,Pyre_Inputs!$C$29,0)</f>
        <v>0</v>
      </c>
      <c r="AW42" s="198">
        <f t="shared" si="5"/>
        <v>0</v>
      </c>
      <c r="AX42" s="197">
        <f t="shared" si="6"/>
        <v>0</v>
      </c>
      <c r="AY42" s="184">
        <f>IF(B42=0,Pyre_Inputs!$G$15+Pyre_Inputs!$G$16,0)</f>
        <v>0</v>
      </c>
      <c r="AZ42" s="185">
        <f>IF(B42=0,Pyre_Inputs!$G$14,0)</f>
        <v>0</v>
      </c>
      <c r="BA42" s="132">
        <f t="shared" si="37"/>
        <v>0</v>
      </c>
      <c r="BB42" s="218">
        <f t="shared" si="38"/>
        <v>0</v>
      </c>
      <c r="BC42" s="218">
        <f>Pyre_Inputs!$G$20*AVERAGE(BR42,BS42)</f>
        <v>0</v>
      </c>
      <c r="BD42" s="200">
        <f t="shared" si="9"/>
        <v>0</v>
      </c>
      <c r="BE42" s="200">
        <f t="shared" si="19"/>
        <v>0</v>
      </c>
      <c r="BF42" s="86">
        <f t="shared" si="20"/>
        <v>0</v>
      </c>
      <c r="BG42" s="197">
        <f t="shared" si="21"/>
        <v>0</v>
      </c>
      <c r="BH42" s="86">
        <f t="shared" si="39"/>
        <v>3.4879246809397174E-10</v>
      </c>
      <c r="BI42" s="86">
        <f t="shared" si="40"/>
        <v>3.9052824052616355E-10</v>
      </c>
      <c r="BJ42" s="122">
        <f>-Debt_Calc!BA40</f>
        <v>4.1735772432191794E-11</v>
      </c>
      <c r="BK42" s="122">
        <f>Debt_Calc!BB40</f>
        <v>-4.1735772432191794E-11</v>
      </c>
      <c r="BL42" s="86">
        <f t="shared" si="22"/>
        <v>0</v>
      </c>
      <c r="BM42" s="423">
        <f t="shared" si="41"/>
        <v>0</v>
      </c>
      <c r="BN42" s="86">
        <f t="shared" si="42"/>
        <v>0</v>
      </c>
      <c r="BO42" s="86">
        <f t="shared" si="23"/>
        <v>0</v>
      </c>
      <c r="BP42" s="86">
        <f t="shared" si="43"/>
        <v>0</v>
      </c>
      <c r="BQ42" s="86">
        <f t="shared" si="24"/>
        <v>0</v>
      </c>
      <c r="BR42" s="86">
        <f t="shared" si="25"/>
        <v>0</v>
      </c>
      <c r="BS42" s="86">
        <f t="shared" si="10"/>
        <v>0</v>
      </c>
      <c r="BT42" s="86">
        <f t="shared" si="26"/>
        <v>-1955645.3723033557</v>
      </c>
      <c r="BU42" s="86">
        <f t="shared" si="44"/>
        <v>0</v>
      </c>
      <c r="BV42" s="214" t="e">
        <f t="shared" si="11"/>
        <v>#VALUE!</v>
      </c>
    </row>
    <row r="43" spans="2:74" s="86" customFormat="1" x14ac:dyDescent="0.3">
      <c r="B43" s="192">
        <f t="shared" si="27"/>
        <v>32</v>
      </c>
      <c r="C43" s="350">
        <f t="shared" si="12"/>
        <v>2053</v>
      </c>
      <c r="D43" s="351">
        <f t="shared" si="45"/>
        <v>55885</v>
      </c>
      <c r="E43" s="441">
        <f t="shared" si="45"/>
        <v>56249</v>
      </c>
      <c r="F43" s="445">
        <f>IF(AND(B43&gt;0,B43&lt;=Pyre_Inputs!$J$17),1,0)</f>
        <v>0</v>
      </c>
      <c r="G43" s="447">
        <f>IF(F43=1,Pyre_Inputs!$G$31,0)</f>
        <v>0</v>
      </c>
      <c r="H43" s="348">
        <f>IF(AND(F42=0,F43=1),100%,IF(AND(F42=0,F43=0),100%,H42-Pyre_Inputs!$G$45))*F43</f>
        <v>0</v>
      </c>
      <c r="I43" s="216">
        <f t="shared" si="29"/>
        <v>0</v>
      </c>
      <c r="J43" s="219">
        <f>Pyre_Inputs!$J$11</f>
        <v>0.01</v>
      </c>
      <c r="K43" s="444">
        <f>IF(B43=1,Pyre_Inputs!$R$15,K42*(1+Pyre_CashFlows!J43))*F43</f>
        <v>0</v>
      </c>
      <c r="L43" s="338">
        <f>IF(B43=1,Pyre_Inputs!$R$16,L42*(1+Pyre_CashFlows!J43))*F43</f>
        <v>0</v>
      </c>
      <c r="M43" s="122">
        <f>K43*I43*Pyre_Inputs!$J$9</f>
        <v>0</v>
      </c>
      <c r="N43" s="222">
        <f>L43*I43*Pyre_Inputs!$J$10</f>
        <v>0</v>
      </c>
      <c r="O43" s="423">
        <f t="shared" si="30"/>
        <v>0</v>
      </c>
      <c r="P43" s="122">
        <f>SUM(M43:O43)+IF(B43=Pyre_Inputs!$J$17,Pyre_Inputs!$J$19,0)</f>
        <v>0</v>
      </c>
      <c r="Q43" s="218">
        <f>IF(B43=1,Pyre_Inputs!$O$7,Q42*(1+Pyre_Inputs!$N$23))*F43</f>
        <v>0</v>
      </c>
      <c r="R43" s="122">
        <f>IF(B43=1,Pyre_Inputs!$O$8,R42*(1+Pyre_Inputs!$N$23))*F43</f>
        <v>0</v>
      </c>
      <c r="S43" s="122">
        <f>IF(B43=1,Pyre_Inputs!$O$9,S42*(1+Pyre_Inputs!$N$23))*F43</f>
        <v>0</v>
      </c>
      <c r="T43" s="122">
        <f>IF(B43=1,Pyre_Inputs!$O$10,T42*(1+Pyre_Inputs!$N$23))*F43</f>
        <v>0</v>
      </c>
      <c r="U43" s="122">
        <f>IF(B43=1,Pyre_Inputs!$O$11,U42*(1+Pyre_Inputs!$N$23))*F43</f>
        <v>0</v>
      </c>
      <c r="V43" s="122">
        <f>IF(B43=1,Pyre_Inputs!$O$12,V42*(1+Pyre_Inputs!$N$23))*F43</f>
        <v>0</v>
      </c>
      <c r="W43" s="122">
        <f>IF(B43=1,Pyre_Inputs!$O$13,W42*(1+Pyre_Inputs!$N$23))*F43</f>
        <v>0</v>
      </c>
      <c r="X43" s="122">
        <f>IF(B43=1,Pyre_Inputs!$O$14,X42*(1+Pyre_Inputs!$N$23))*F43</f>
        <v>0</v>
      </c>
      <c r="Y43" s="122">
        <f>IF(B43=1,Pyre_Inputs!$O$15,Y42*(1+Pyre_Inputs!$N$23))*F43</f>
        <v>0</v>
      </c>
      <c r="Z43" s="122">
        <f>IF(B43=1,Pyre_Inputs!$O$16,Z42*(1+Pyre_Inputs!$N$23))*F43</f>
        <v>0</v>
      </c>
      <c r="AA43" s="122">
        <f>IF(B43=1,Pyre_Inputs!$O$17,AA42*(1+Pyre_Inputs!$N$23))*F43</f>
        <v>0</v>
      </c>
      <c r="AB43" s="181">
        <f>IF(B43=1,Pyre_Inputs!$O$18,AB42*(1+Pyre_Inputs!$N$23))*F43</f>
        <v>0</v>
      </c>
      <c r="AC43" s="482">
        <f>IF(B43=1,Pyre_Inputs!$O$19,AC42*(1+Pyre_Inputs!$N$23))*F43</f>
        <v>0</v>
      </c>
      <c r="AD43" s="122">
        <f>IF(B43=1,Pyre_Inputs!$O$20,AD42*(1+Pyre_Inputs!$N$23))*F43</f>
        <v>0</v>
      </c>
      <c r="AE43" s="122">
        <f>IF(B43=1,Pyre_Inputs!$O$21,AE42*(1+Pyre_Inputs!$N$23))*F43</f>
        <v>0</v>
      </c>
      <c r="AF43" s="132">
        <f>IF(B43=1,Pyre_Inputs!$O$22,AF42*(1+Pyre_Inputs!$N$23))*F43</f>
        <v>0</v>
      </c>
      <c r="AG43" s="200">
        <f t="shared" si="31"/>
        <v>0</v>
      </c>
      <c r="AH43" s="86">
        <f t="shared" si="13"/>
        <v>0</v>
      </c>
      <c r="AI43" s="225">
        <f t="shared" si="14"/>
        <v>0</v>
      </c>
      <c r="AJ43" s="220">
        <f>Deprec!O42</f>
        <v>0</v>
      </c>
      <c r="AK43" s="122">
        <f t="shared" si="32"/>
        <v>0</v>
      </c>
      <c r="AL43" s="221">
        <f t="shared" si="33"/>
        <v>4.6729787096643792E-11</v>
      </c>
      <c r="AM43" s="122">
        <f t="shared" si="34"/>
        <v>-4.6729787096643792E-11</v>
      </c>
      <c r="AN43" s="438">
        <f>IF(AM43&lt;0,0,(AM43*Pyre_Inputs!$J$14))</f>
        <v>0</v>
      </c>
      <c r="AO43" s="86">
        <f t="shared" si="35"/>
        <v>-4.6729787096643792E-11</v>
      </c>
      <c r="AP43" s="226">
        <f t="shared" si="16"/>
        <v>0</v>
      </c>
      <c r="AS43" s="196">
        <f t="shared" si="17"/>
        <v>0</v>
      </c>
      <c r="AT43" s="86">
        <f t="shared" si="18"/>
        <v>0</v>
      </c>
      <c r="AU43" s="197">
        <f t="shared" si="36"/>
        <v>0</v>
      </c>
      <c r="AV43" s="218">
        <f>IF(B43=0,Pyre_Inputs!$C$29,0)</f>
        <v>0</v>
      </c>
      <c r="AW43" s="198">
        <f t="shared" si="5"/>
        <v>0</v>
      </c>
      <c r="AX43" s="197">
        <f t="shared" si="6"/>
        <v>0</v>
      </c>
      <c r="AY43" s="184">
        <f>IF(B43=0,Pyre_Inputs!$G$15+Pyre_Inputs!$G$16,0)</f>
        <v>0</v>
      </c>
      <c r="AZ43" s="185">
        <f>IF(B43=0,Pyre_Inputs!$G$14,0)</f>
        <v>0</v>
      </c>
      <c r="BA43" s="132">
        <f t="shared" si="37"/>
        <v>0</v>
      </c>
      <c r="BB43" s="218">
        <f t="shared" si="38"/>
        <v>0</v>
      </c>
      <c r="BC43" s="218">
        <f>Pyre_Inputs!$G$20*AVERAGE(BR43,BS43)</f>
        <v>0</v>
      </c>
      <c r="BD43" s="200">
        <f t="shared" si="9"/>
        <v>0</v>
      </c>
      <c r="BE43" s="200">
        <f t="shared" si="19"/>
        <v>0</v>
      </c>
      <c r="BF43" s="86">
        <f t="shared" si="20"/>
        <v>0</v>
      </c>
      <c r="BG43" s="197">
        <f t="shared" si="21"/>
        <v>0</v>
      </c>
      <c r="BH43" s="86">
        <f t="shared" si="39"/>
        <v>3.9052824052616355E-10</v>
      </c>
      <c r="BI43" s="86">
        <f t="shared" si="40"/>
        <v>4.3725802762280732E-10</v>
      </c>
      <c r="BJ43" s="122">
        <f>-Debt_Calc!BA41</f>
        <v>4.6729787096643792E-11</v>
      </c>
      <c r="BK43" s="122">
        <f>Debt_Calc!BB41</f>
        <v>-4.6729787096643792E-11</v>
      </c>
      <c r="BL43" s="86">
        <f t="shared" si="22"/>
        <v>0</v>
      </c>
      <c r="BM43" s="423">
        <f t="shared" si="41"/>
        <v>0</v>
      </c>
      <c r="BN43" s="86">
        <f t="shared" si="42"/>
        <v>0</v>
      </c>
      <c r="BO43" s="86">
        <f t="shared" si="23"/>
        <v>0</v>
      </c>
      <c r="BP43" s="86">
        <f t="shared" si="43"/>
        <v>0</v>
      </c>
      <c r="BQ43" s="86">
        <f t="shared" si="24"/>
        <v>0</v>
      </c>
      <c r="BR43" s="86">
        <f t="shared" si="25"/>
        <v>0</v>
      </c>
      <c r="BS43" s="86">
        <f t="shared" si="10"/>
        <v>0</v>
      </c>
      <c r="BT43" s="86">
        <f t="shared" si="26"/>
        <v>-1955645.3723033557</v>
      </c>
      <c r="BU43" s="86">
        <f t="shared" si="44"/>
        <v>0</v>
      </c>
      <c r="BV43" s="214" t="e">
        <f t="shared" si="11"/>
        <v>#VALUE!</v>
      </c>
    </row>
    <row r="44" spans="2:74" s="86" customFormat="1" x14ac:dyDescent="0.3">
      <c r="B44" s="215">
        <f t="shared" si="27"/>
        <v>33</v>
      </c>
      <c r="C44" s="352">
        <f t="shared" si="12"/>
        <v>2054</v>
      </c>
      <c r="D44" s="353">
        <f t="shared" si="45"/>
        <v>56250</v>
      </c>
      <c r="E44" s="442">
        <f t="shared" si="45"/>
        <v>56614</v>
      </c>
      <c r="F44" s="735">
        <f>IF(AND(B44&gt;0,B44&lt;=Pyre_Inputs!$J$17),1,0)</f>
        <v>0</v>
      </c>
      <c r="G44" s="687">
        <f>IF(F44=1,Pyre_Inputs!$G$31,0)</f>
        <v>0</v>
      </c>
      <c r="H44" s="736">
        <f>IF(AND(F43=0,F44=1),100%,IF(AND(F43=0,F44=0),100%,H43-Pyre_Inputs!$G$45))*F44</f>
        <v>0</v>
      </c>
      <c r="I44" s="737">
        <f t="shared" si="29"/>
        <v>0</v>
      </c>
      <c r="J44" s="738">
        <f>Pyre_Inputs!$J$11</f>
        <v>0.01</v>
      </c>
      <c r="K44" s="744">
        <f>IF(B44=1,Pyre_Inputs!$R$15,K43*(1+Pyre_CashFlows!J44))*F44</f>
        <v>0</v>
      </c>
      <c r="L44" s="745">
        <f>IF(B44=1,Pyre_Inputs!$R$16,L43*(1+Pyre_CashFlows!J44))*F44</f>
        <v>0</v>
      </c>
      <c r="M44" s="83">
        <f>K44*I44*Pyre_Inputs!$J$9</f>
        <v>0</v>
      </c>
      <c r="N44" s="739">
        <f>L44*I44*Pyre_Inputs!$J$10</f>
        <v>0</v>
      </c>
      <c r="O44" s="424">
        <f t="shared" si="30"/>
        <v>0</v>
      </c>
      <c r="P44" s="83">
        <f>SUM(M44:O44)+IF(B44=Pyre_Inputs!$J$17,Pyre_Inputs!$J$19,0)</f>
        <v>0</v>
      </c>
      <c r="Q44" s="746">
        <f>IF(B44=1,Pyre_Inputs!$O$7,Q43*(1+Pyre_Inputs!$N$23))*F44</f>
        <v>0</v>
      </c>
      <c r="R44" s="83">
        <f>IF(B44=1,Pyre_Inputs!$O$8,R43*(1+Pyre_Inputs!$N$23))*F44</f>
        <v>0</v>
      </c>
      <c r="S44" s="83">
        <f>IF(B44=1,Pyre_Inputs!$O$9,S43*(1+Pyre_Inputs!$N$23))*F44</f>
        <v>0</v>
      </c>
      <c r="T44" s="83">
        <f>IF(B44=1,Pyre_Inputs!$O$10,T43*(1+Pyre_Inputs!$N$23))*F44</f>
        <v>0</v>
      </c>
      <c r="U44" s="83">
        <f>IF(B44=1,Pyre_Inputs!$O$11,U43*(1+Pyre_Inputs!$N$23))*F44</f>
        <v>0</v>
      </c>
      <c r="V44" s="83">
        <f>IF(B44=1,Pyre_Inputs!$O$12,V43*(1+Pyre_Inputs!$N$23))*F44</f>
        <v>0</v>
      </c>
      <c r="W44" s="83">
        <f>IF(B44=1,Pyre_Inputs!$O$13,W43*(1+Pyre_Inputs!$N$23))*F44</f>
        <v>0</v>
      </c>
      <c r="X44" s="83">
        <f>IF(B44=1,Pyre_Inputs!$O$14,X43*(1+Pyre_Inputs!$N$23))*F44</f>
        <v>0</v>
      </c>
      <c r="Y44" s="83">
        <f>IF(B44=1,Pyre_Inputs!$O$15,Y43*(1+Pyre_Inputs!$N$23))*F44</f>
        <v>0</v>
      </c>
      <c r="Z44" s="83">
        <f>IF(B44=1,Pyre_Inputs!$O$16,Z43*(1+Pyre_Inputs!$N$23))*F44</f>
        <v>0</v>
      </c>
      <c r="AA44" s="83">
        <f>IF(B44=1,Pyre_Inputs!$O$17,AA43*(1+Pyre_Inputs!$N$23))*F44</f>
        <v>0</v>
      </c>
      <c r="AB44" s="141">
        <f>IF(B44=1,Pyre_Inputs!$O$18,AB43*(1+Pyre_Inputs!$N$23))*F44</f>
        <v>0</v>
      </c>
      <c r="AC44" s="747">
        <f>IF(B44=1,Pyre_Inputs!$O$19,AC43*(1+Pyre_Inputs!$N$23))*F44</f>
        <v>0</v>
      </c>
      <c r="AD44" s="83">
        <f>IF(B44=1,Pyre_Inputs!$O$20,AD43*(1+Pyre_Inputs!$N$23))*F44</f>
        <v>0</v>
      </c>
      <c r="AE44" s="83">
        <f>IF(B44=1,Pyre_Inputs!$O$21,AE43*(1+Pyre_Inputs!$N$23))*F44</f>
        <v>0</v>
      </c>
      <c r="AF44" s="84">
        <f>IF(B44=1,Pyre_Inputs!$O$22,AF43*(1+Pyre_Inputs!$N$23))*F44</f>
        <v>0</v>
      </c>
      <c r="AG44" s="231">
        <f t="shared" si="31"/>
        <v>0</v>
      </c>
      <c r="AH44" s="232">
        <f t="shared" si="13"/>
        <v>0</v>
      </c>
      <c r="AI44" s="234">
        <f t="shared" si="14"/>
        <v>0</v>
      </c>
      <c r="AJ44" s="750">
        <f>Deprec!O43</f>
        <v>0</v>
      </c>
      <c r="AK44" s="83">
        <f t="shared" si="32"/>
        <v>0</v>
      </c>
      <c r="AL44" s="751">
        <f t="shared" si="33"/>
        <v>5.2321375042129031E-11</v>
      </c>
      <c r="AM44" s="83">
        <f t="shared" si="34"/>
        <v>-5.2321375042129031E-11</v>
      </c>
      <c r="AN44" s="749">
        <f>IF(AM44&lt;0,0,(AM44*Pyre_Inputs!$J$14))</f>
        <v>0</v>
      </c>
      <c r="AO44" s="232">
        <f t="shared" si="35"/>
        <v>-5.2321375042129031E-11</v>
      </c>
      <c r="AP44" s="235">
        <f t="shared" si="16"/>
        <v>0</v>
      </c>
      <c r="AQ44" s="232"/>
      <c r="AR44" s="232"/>
      <c r="AS44" s="233">
        <f t="shared" si="17"/>
        <v>0</v>
      </c>
      <c r="AT44" s="232">
        <f t="shared" si="18"/>
        <v>0</v>
      </c>
      <c r="AU44" s="439">
        <f t="shared" si="36"/>
        <v>0</v>
      </c>
      <c r="AV44" s="746">
        <f>IF(B44=0,Pyre_Inputs!$C$29,0)</f>
        <v>0</v>
      </c>
      <c r="AW44" s="434">
        <f t="shared" si="5"/>
        <v>0</v>
      </c>
      <c r="AX44" s="439">
        <f t="shared" si="6"/>
        <v>0</v>
      </c>
      <c r="AY44" s="748">
        <f>IF(B44=0,Pyre_Inputs!$G$15+Pyre_Inputs!$G$16,0)</f>
        <v>0</v>
      </c>
      <c r="AZ44" s="150">
        <f>IF(B44=0,Pyre_Inputs!$G$14,0)</f>
        <v>0</v>
      </c>
      <c r="BA44" s="84">
        <f t="shared" si="37"/>
        <v>0</v>
      </c>
      <c r="BB44" s="746">
        <f t="shared" si="38"/>
        <v>0</v>
      </c>
      <c r="BC44" s="746">
        <f>Pyre_Inputs!$G$20*AVERAGE(BR44,BS44)</f>
        <v>0</v>
      </c>
      <c r="BD44" s="231">
        <f t="shared" si="9"/>
        <v>0</v>
      </c>
      <c r="BE44" s="231">
        <f t="shared" si="19"/>
        <v>0</v>
      </c>
      <c r="BF44" s="232">
        <f t="shared" si="20"/>
        <v>0</v>
      </c>
      <c r="BG44" s="439">
        <f t="shared" si="21"/>
        <v>0</v>
      </c>
      <c r="BH44" s="232">
        <f t="shared" si="39"/>
        <v>4.3725802762280732E-10</v>
      </c>
      <c r="BI44" s="232">
        <f t="shared" si="40"/>
        <v>4.8957940266493636E-10</v>
      </c>
      <c r="BJ44" s="83">
        <f>-Debt_Calc!BA42</f>
        <v>5.2321375042129031E-11</v>
      </c>
      <c r="BK44" s="83">
        <f>Debt_Calc!BB42</f>
        <v>-5.2321375042129031E-11</v>
      </c>
      <c r="BL44" s="232">
        <f t="shared" si="22"/>
        <v>0</v>
      </c>
      <c r="BM44" s="424">
        <f t="shared" si="41"/>
        <v>0</v>
      </c>
      <c r="BN44" s="232">
        <f t="shared" si="42"/>
        <v>0</v>
      </c>
      <c r="BO44" s="232">
        <f t="shared" si="23"/>
        <v>0</v>
      </c>
      <c r="BP44" s="232">
        <f t="shared" si="43"/>
        <v>0</v>
      </c>
      <c r="BQ44" s="232">
        <f t="shared" si="24"/>
        <v>0</v>
      </c>
      <c r="BR44" s="232">
        <f t="shared" si="25"/>
        <v>0</v>
      </c>
      <c r="BS44" s="232">
        <f t="shared" si="10"/>
        <v>0</v>
      </c>
      <c r="BT44" s="232">
        <f t="shared" si="26"/>
        <v>-1955645.3723033557</v>
      </c>
      <c r="BU44" s="232">
        <f t="shared" si="44"/>
        <v>0</v>
      </c>
      <c r="BV44" s="236" t="e">
        <f t="shared" si="11"/>
        <v>#VALUE!</v>
      </c>
    </row>
    <row r="45" spans="2:74" s="86" customFormat="1" x14ac:dyDescent="0.3">
      <c r="H45" s="686"/>
      <c r="J45" s="225"/>
      <c r="K45" s="199"/>
      <c r="O45" s="202"/>
      <c r="AL45" s="199"/>
      <c r="AP45" s="225"/>
      <c r="AS45" s="239"/>
      <c r="AV45" s="202"/>
      <c r="BJ45" s="202"/>
      <c r="BK45" s="202"/>
      <c r="BL45" s="202"/>
    </row>
    <row r="46" spans="2:74" s="86" customFormat="1" x14ac:dyDescent="0.3">
      <c r="H46" s="686"/>
      <c r="J46" s="225"/>
      <c r="K46" s="199"/>
      <c r="O46" s="202"/>
      <c r="AL46" s="199"/>
      <c r="AP46" s="225"/>
      <c r="AS46" s="239"/>
      <c r="AT46" s="240"/>
      <c r="AV46" s="202"/>
      <c r="BJ46" s="202"/>
      <c r="BK46" s="202"/>
      <c r="BL46" s="202"/>
    </row>
    <row r="47" spans="2:74" s="86" customFormat="1" x14ac:dyDescent="0.3">
      <c r="H47" s="686"/>
      <c r="J47" s="225"/>
      <c r="K47" s="199"/>
      <c r="O47" s="202"/>
      <c r="AL47" s="199"/>
      <c r="AP47" s="225"/>
      <c r="AS47" s="239"/>
      <c r="AV47" s="202"/>
      <c r="BJ47" s="202"/>
      <c r="BK47" s="202"/>
      <c r="BL47" s="202"/>
    </row>
    <row r="48" spans="2:74" s="86" customFormat="1" x14ac:dyDescent="0.3">
      <c r="H48" s="686"/>
      <c r="J48" s="225"/>
      <c r="K48" s="199"/>
      <c r="O48" s="202"/>
      <c r="AL48" s="199"/>
      <c r="AP48" s="225"/>
      <c r="AS48" s="239"/>
      <c r="AV48" s="202"/>
      <c r="BJ48" s="202"/>
      <c r="BK48" s="202"/>
      <c r="BL48" s="202"/>
    </row>
    <row r="49" spans="8:93" s="86" customFormat="1" x14ac:dyDescent="0.3">
      <c r="H49" s="686"/>
      <c r="J49" s="225"/>
      <c r="K49" s="199"/>
      <c r="O49" s="202"/>
      <c r="AL49" s="199"/>
      <c r="AP49" s="225"/>
      <c r="AS49" s="239"/>
      <c r="AV49" s="202"/>
      <c r="BJ49" s="202"/>
      <c r="BK49" s="202"/>
      <c r="BL49" s="202"/>
    </row>
    <row r="50" spans="8:93" s="227" customFormat="1" x14ac:dyDescent="0.3">
      <c r="H50" s="237"/>
      <c r="J50" s="238"/>
      <c r="K50" s="199"/>
      <c r="L50" s="86"/>
      <c r="M50" s="86"/>
      <c r="N50" s="86"/>
      <c r="O50" s="202"/>
      <c r="P50" s="86"/>
      <c r="Q50" s="86"/>
      <c r="R50" s="86"/>
      <c r="S50" s="86"/>
      <c r="T50" s="86"/>
      <c r="U50" s="86"/>
      <c r="V50" s="86"/>
      <c r="W50" s="86"/>
      <c r="X50" s="86"/>
      <c r="Y50" s="86"/>
      <c r="Z50" s="86"/>
      <c r="AA50" s="86"/>
      <c r="AB50" s="86"/>
      <c r="AC50" s="86"/>
      <c r="AD50" s="86"/>
      <c r="AE50" s="86"/>
      <c r="AF50" s="86"/>
      <c r="AG50" s="86"/>
      <c r="AH50" s="86"/>
      <c r="AI50" s="86"/>
      <c r="AJ50" s="86"/>
      <c r="AK50" s="86"/>
      <c r="AL50" s="199"/>
      <c r="AM50" s="86"/>
      <c r="AN50" s="86"/>
      <c r="AO50" s="86"/>
      <c r="AP50" s="225"/>
      <c r="AQ50" s="86"/>
      <c r="AR50" s="86"/>
      <c r="AS50" s="239"/>
      <c r="AT50" s="86"/>
      <c r="AU50" s="86"/>
      <c r="AV50" s="202"/>
      <c r="AW50" s="86"/>
      <c r="AX50" s="86"/>
      <c r="AY50" s="86"/>
      <c r="AZ50" s="86"/>
      <c r="BA50" s="86"/>
      <c r="BB50" s="86"/>
      <c r="BC50" s="86"/>
      <c r="BD50" s="86"/>
      <c r="BE50" s="86"/>
      <c r="BF50" s="86"/>
      <c r="BG50" s="86"/>
      <c r="BH50" s="86"/>
      <c r="BI50" s="86"/>
      <c r="BJ50" s="202"/>
      <c r="BK50" s="202"/>
      <c r="BL50" s="202"/>
      <c r="BM50" s="86"/>
      <c r="BN50" s="86"/>
      <c r="BO50" s="86"/>
      <c r="BP50" s="86"/>
      <c r="BQ50" s="86"/>
      <c r="BR50" s="86"/>
      <c r="BS50" s="86"/>
      <c r="BT50" s="86"/>
      <c r="BU50" s="86"/>
      <c r="BV50" s="86"/>
      <c r="BW50" s="86"/>
      <c r="BX50" s="86"/>
      <c r="BY50" s="86"/>
      <c r="BZ50" s="86"/>
      <c r="CA50" s="86"/>
      <c r="CB50" s="86"/>
      <c r="CC50" s="86"/>
      <c r="CD50" s="86"/>
      <c r="CE50" s="86"/>
      <c r="CF50" s="86"/>
      <c r="CG50" s="86"/>
      <c r="CH50" s="86"/>
      <c r="CI50" s="86"/>
      <c r="CJ50" s="86"/>
      <c r="CK50" s="86"/>
      <c r="CL50" s="86"/>
      <c r="CM50" s="86"/>
      <c r="CN50" s="86"/>
      <c r="CO50" s="86"/>
    </row>
    <row r="51" spans="8:93" s="227" customFormat="1" x14ac:dyDescent="0.3">
      <c r="H51" s="237"/>
      <c r="J51" s="238"/>
      <c r="K51" s="199"/>
      <c r="L51" s="86"/>
      <c r="M51" s="86"/>
      <c r="N51" s="86"/>
      <c r="O51" s="202"/>
      <c r="P51" s="86"/>
      <c r="Q51" s="86"/>
      <c r="R51" s="86"/>
      <c r="S51" s="86"/>
      <c r="T51" s="86"/>
      <c r="U51" s="86"/>
      <c r="V51" s="86"/>
      <c r="W51" s="86"/>
      <c r="X51" s="86"/>
      <c r="Y51" s="86"/>
      <c r="Z51" s="86"/>
      <c r="AA51" s="86"/>
      <c r="AB51" s="86"/>
      <c r="AC51" s="86"/>
      <c r="AD51" s="86"/>
      <c r="AE51" s="86"/>
      <c r="AF51" s="86"/>
      <c r="AG51" s="86"/>
      <c r="AH51" s="86"/>
      <c r="AI51" s="86"/>
      <c r="AJ51" s="86"/>
      <c r="AK51" s="86"/>
      <c r="AL51" s="199"/>
      <c r="AM51" s="86"/>
      <c r="AN51" s="86"/>
      <c r="AO51" s="86"/>
      <c r="AP51" s="225"/>
      <c r="AQ51" s="86"/>
      <c r="AR51" s="86"/>
      <c r="AS51" s="239"/>
      <c r="AT51" s="86"/>
      <c r="AU51" s="86"/>
      <c r="AV51" s="202"/>
      <c r="AW51" s="86"/>
      <c r="AX51" s="86"/>
      <c r="AY51" s="86"/>
      <c r="AZ51" s="86"/>
      <c r="BA51" s="86"/>
      <c r="BB51" s="86"/>
      <c r="BC51" s="86"/>
      <c r="BD51" s="86"/>
      <c r="BE51" s="86"/>
      <c r="BF51" s="86"/>
      <c r="BG51" s="86"/>
      <c r="BH51" s="86"/>
      <c r="BI51" s="86"/>
      <c r="BJ51" s="202"/>
      <c r="BK51" s="202"/>
      <c r="BL51" s="202"/>
      <c r="BM51" s="86"/>
      <c r="BN51" s="86"/>
      <c r="BO51" s="86"/>
      <c r="BP51" s="86"/>
      <c r="BQ51" s="86"/>
      <c r="BR51" s="86"/>
      <c r="BS51" s="86"/>
      <c r="BT51" s="86"/>
      <c r="BU51" s="86"/>
      <c r="BV51" s="86"/>
      <c r="BW51" s="86"/>
      <c r="BX51" s="86"/>
      <c r="BY51" s="86"/>
      <c r="BZ51" s="86"/>
      <c r="CA51" s="86"/>
      <c r="CB51" s="86"/>
      <c r="CC51" s="86"/>
      <c r="CD51" s="86"/>
      <c r="CE51" s="86"/>
      <c r="CF51" s="86"/>
      <c r="CG51" s="86"/>
      <c r="CH51" s="86"/>
      <c r="CI51" s="86"/>
      <c r="CJ51" s="86"/>
      <c r="CK51" s="86"/>
      <c r="CL51" s="86"/>
      <c r="CM51" s="86"/>
      <c r="CN51" s="86"/>
      <c r="CO51" s="86"/>
    </row>
    <row r="52" spans="8:93" s="227" customFormat="1" x14ac:dyDescent="0.3">
      <c r="H52" s="237"/>
      <c r="J52" s="238"/>
      <c r="K52" s="199"/>
      <c r="L52" s="86"/>
      <c r="M52" s="86"/>
      <c r="N52" s="86"/>
      <c r="O52" s="202"/>
      <c r="P52" s="86"/>
      <c r="Q52" s="86"/>
      <c r="R52" s="86"/>
      <c r="S52" s="86"/>
      <c r="T52" s="86"/>
      <c r="U52" s="86"/>
      <c r="V52" s="86"/>
      <c r="W52" s="86"/>
      <c r="X52" s="86"/>
      <c r="Y52" s="86"/>
      <c r="Z52" s="86"/>
      <c r="AA52" s="86"/>
      <c r="AB52" s="86"/>
      <c r="AC52" s="86"/>
      <c r="AD52" s="86"/>
      <c r="AE52" s="86"/>
      <c r="AF52" s="86"/>
      <c r="AG52" s="86"/>
      <c r="AH52" s="86"/>
      <c r="AI52" s="86"/>
      <c r="AJ52" s="86"/>
      <c r="AK52" s="86"/>
      <c r="AL52" s="199"/>
      <c r="AM52" s="86"/>
      <c r="AN52" s="86"/>
      <c r="AO52" s="86"/>
      <c r="AP52" s="225"/>
      <c r="AQ52" s="86"/>
      <c r="AR52" s="86"/>
      <c r="AS52" s="239"/>
      <c r="AT52" s="86"/>
      <c r="AU52" s="86"/>
      <c r="AV52" s="202"/>
      <c r="AW52" s="86"/>
      <c r="AX52" s="86"/>
      <c r="AY52" s="86"/>
      <c r="AZ52" s="86"/>
      <c r="BA52" s="86"/>
      <c r="BB52" s="86"/>
      <c r="BC52" s="86"/>
      <c r="BD52" s="86"/>
      <c r="BE52" s="86"/>
      <c r="BF52" s="86"/>
      <c r="BG52" s="86"/>
      <c r="BH52" s="86"/>
      <c r="BI52" s="86"/>
      <c r="BJ52" s="202"/>
      <c r="BK52" s="202"/>
      <c r="BL52" s="202"/>
      <c r="BM52" s="86"/>
      <c r="BN52" s="86"/>
      <c r="BO52" s="86"/>
      <c r="BP52" s="86"/>
      <c r="BQ52" s="86"/>
      <c r="BR52" s="86"/>
      <c r="BS52" s="86"/>
      <c r="BT52" s="86"/>
      <c r="BU52" s="86"/>
      <c r="BV52" s="86"/>
      <c r="BW52" s="86"/>
      <c r="BX52" s="86"/>
      <c r="BY52" s="86"/>
      <c r="BZ52" s="86"/>
      <c r="CA52" s="86"/>
      <c r="CB52" s="86"/>
      <c r="CC52" s="86"/>
      <c r="CD52" s="86"/>
      <c r="CE52" s="86"/>
      <c r="CF52" s="86"/>
      <c r="CG52" s="86"/>
      <c r="CH52" s="86"/>
      <c r="CI52" s="86"/>
      <c r="CJ52" s="86"/>
      <c r="CK52" s="86"/>
      <c r="CL52" s="86"/>
      <c r="CM52" s="86"/>
      <c r="CN52" s="86"/>
      <c r="CO52" s="86"/>
    </row>
    <row r="53" spans="8:93" s="227" customFormat="1" x14ac:dyDescent="0.3">
      <c r="H53" s="237"/>
      <c r="J53" s="238"/>
      <c r="K53" s="199"/>
      <c r="L53" s="86"/>
      <c r="M53" s="86"/>
      <c r="N53" s="86"/>
      <c r="O53" s="202"/>
      <c r="P53" s="86"/>
      <c r="Q53" s="86"/>
      <c r="R53" s="86"/>
      <c r="S53" s="86"/>
      <c r="T53" s="86"/>
      <c r="U53" s="86"/>
      <c r="V53" s="86"/>
      <c r="W53" s="86"/>
      <c r="X53" s="86"/>
      <c r="Y53" s="86"/>
      <c r="Z53" s="86"/>
      <c r="AA53" s="86"/>
      <c r="AB53" s="86"/>
      <c r="AC53" s="86"/>
      <c r="AD53" s="86"/>
      <c r="AE53" s="86"/>
      <c r="AF53" s="86"/>
      <c r="AG53" s="86"/>
      <c r="AH53" s="86"/>
      <c r="AI53" s="86"/>
      <c r="AJ53" s="86"/>
      <c r="AK53" s="86"/>
      <c r="AL53" s="199"/>
      <c r="AM53" s="86"/>
      <c r="AN53" s="86"/>
      <c r="AO53" s="86"/>
      <c r="AP53" s="225"/>
      <c r="AQ53" s="86"/>
      <c r="AR53" s="86"/>
      <c r="AS53" s="239"/>
      <c r="AT53" s="86"/>
      <c r="AU53" s="86"/>
      <c r="AV53" s="202"/>
      <c r="AW53" s="86"/>
      <c r="AX53" s="86"/>
      <c r="AY53" s="86"/>
      <c r="AZ53" s="86"/>
      <c r="BA53" s="86"/>
      <c r="BB53" s="86"/>
      <c r="BC53" s="86"/>
      <c r="BD53" s="86"/>
      <c r="BE53" s="86"/>
      <c r="BF53" s="86"/>
      <c r="BG53" s="86"/>
      <c r="BH53" s="86"/>
      <c r="BI53" s="86"/>
      <c r="BJ53" s="202"/>
      <c r="BK53" s="202"/>
      <c r="BL53" s="202"/>
      <c r="BM53" s="86"/>
      <c r="BN53" s="86"/>
      <c r="BO53" s="86"/>
      <c r="BP53" s="86"/>
      <c r="BQ53" s="86"/>
      <c r="BR53" s="86"/>
      <c r="BS53" s="86"/>
      <c r="BT53" s="86"/>
      <c r="BU53" s="86"/>
      <c r="BV53" s="86"/>
      <c r="BW53" s="86"/>
      <c r="BX53" s="86"/>
      <c r="BY53" s="86"/>
      <c r="BZ53" s="86"/>
      <c r="CA53" s="86"/>
      <c r="CB53" s="86"/>
      <c r="CC53" s="86"/>
      <c r="CD53" s="86"/>
      <c r="CE53" s="86"/>
      <c r="CF53" s="86"/>
      <c r="CG53" s="86"/>
      <c r="CH53" s="86"/>
      <c r="CI53" s="86"/>
      <c r="CJ53" s="86"/>
      <c r="CK53" s="86"/>
      <c r="CL53" s="86"/>
      <c r="CM53" s="86"/>
      <c r="CN53" s="86"/>
      <c r="CO53" s="86"/>
    </row>
    <row r="54" spans="8:93" s="227" customFormat="1" x14ac:dyDescent="0.3">
      <c r="H54" s="237"/>
      <c r="J54" s="238"/>
      <c r="K54" s="199"/>
      <c r="L54" s="86"/>
      <c r="M54" s="86"/>
      <c r="N54" s="86"/>
      <c r="O54" s="202"/>
      <c r="P54" s="86"/>
      <c r="Q54" s="86"/>
      <c r="R54" s="86"/>
      <c r="S54" s="86"/>
      <c r="T54" s="86"/>
      <c r="U54" s="86"/>
      <c r="V54" s="86"/>
      <c r="W54" s="86"/>
      <c r="X54" s="86"/>
      <c r="Y54" s="86"/>
      <c r="Z54" s="86"/>
      <c r="AA54" s="86"/>
      <c r="AB54" s="86"/>
      <c r="AC54" s="86"/>
      <c r="AD54" s="86"/>
      <c r="AE54" s="86"/>
      <c r="AF54" s="86"/>
      <c r="AG54" s="86"/>
      <c r="AH54" s="86"/>
      <c r="AI54" s="86"/>
      <c r="AJ54" s="86"/>
      <c r="AK54" s="86"/>
      <c r="AL54" s="199"/>
      <c r="AM54" s="86"/>
      <c r="AN54" s="86"/>
      <c r="AO54" s="86"/>
      <c r="AP54" s="225"/>
      <c r="AQ54" s="86"/>
      <c r="AR54" s="86"/>
      <c r="AS54" s="239"/>
      <c r="AT54" s="86"/>
      <c r="AU54" s="86"/>
      <c r="AV54" s="202"/>
      <c r="AW54" s="86"/>
      <c r="AX54" s="86"/>
      <c r="AY54" s="86"/>
      <c r="AZ54" s="86"/>
      <c r="BA54" s="86"/>
      <c r="BB54" s="86"/>
      <c r="BC54" s="86"/>
      <c r="BD54" s="86"/>
      <c r="BE54" s="86"/>
      <c r="BF54" s="86"/>
      <c r="BG54" s="86"/>
      <c r="BH54" s="86"/>
      <c r="BI54" s="86"/>
      <c r="BJ54" s="202"/>
      <c r="BK54" s="202"/>
      <c r="BL54" s="202"/>
      <c r="BM54" s="86"/>
      <c r="BN54" s="86"/>
      <c r="BO54" s="86"/>
      <c r="BP54" s="86"/>
      <c r="BQ54" s="86"/>
      <c r="BR54" s="86"/>
      <c r="BS54" s="86"/>
      <c r="BT54" s="86"/>
      <c r="BU54" s="86"/>
      <c r="BV54" s="86"/>
      <c r="BW54" s="86"/>
      <c r="BX54" s="86"/>
      <c r="BY54" s="86"/>
      <c r="BZ54" s="86"/>
      <c r="CA54" s="86"/>
      <c r="CB54" s="86"/>
      <c r="CC54" s="86"/>
      <c r="CD54" s="86"/>
      <c r="CE54" s="86"/>
      <c r="CF54" s="86"/>
      <c r="CG54" s="86"/>
      <c r="CH54" s="86"/>
      <c r="CI54" s="86"/>
      <c r="CJ54" s="86"/>
      <c r="CK54" s="86"/>
      <c r="CL54" s="86"/>
      <c r="CM54" s="86"/>
      <c r="CN54" s="86"/>
      <c r="CO54" s="86"/>
    </row>
    <row r="55" spans="8:93" s="227" customFormat="1" x14ac:dyDescent="0.3">
      <c r="H55" s="237"/>
      <c r="J55" s="238"/>
      <c r="K55" s="199"/>
      <c r="L55" s="86"/>
      <c r="M55" s="86"/>
      <c r="N55" s="86"/>
      <c r="O55" s="202"/>
      <c r="P55" s="86"/>
      <c r="Q55" s="86"/>
      <c r="R55" s="86"/>
      <c r="S55" s="86"/>
      <c r="T55" s="86"/>
      <c r="U55" s="86"/>
      <c r="V55" s="86"/>
      <c r="W55" s="86"/>
      <c r="X55" s="86"/>
      <c r="Y55" s="86"/>
      <c r="Z55" s="86"/>
      <c r="AA55" s="86"/>
      <c r="AB55" s="86"/>
      <c r="AC55" s="86"/>
      <c r="AD55" s="86"/>
      <c r="AE55" s="86"/>
      <c r="AF55" s="86"/>
      <c r="AG55" s="86"/>
      <c r="AH55" s="86"/>
      <c r="AI55" s="86"/>
      <c r="AJ55" s="86"/>
      <c r="AK55" s="86"/>
      <c r="AL55" s="199"/>
      <c r="AM55" s="86"/>
      <c r="AN55" s="86"/>
      <c r="AO55" s="86"/>
      <c r="AP55" s="225"/>
      <c r="AQ55" s="86"/>
      <c r="AR55" s="86"/>
      <c r="AS55" s="239"/>
      <c r="AT55" s="86"/>
      <c r="AU55" s="86"/>
      <c r="AV55" s="202"/>
      <c r="AW55" s="86"/>
      <c r="AX55" s="86"/>
      <c r="AY55" s="86"/>
      <c r="AZ55" s="86"/>
      <c r="BA55" s="86"/>
      <c r="BB55" s="86"/>
      <c r="BC55" s="86"/>
      <c r="BD55" s="86"/>
      <c r="BE55" s="86"/>
      <c r="BF55" s="86"/>
      <c r="BG55" s="86"/>
      <c r="BH55" s="86"/>
      <c r="BI55" s="86"/>
      <c r="BJ55" s="202"/>
      <c r="BK55" s="202"/>
      <c r="BL55" s="202"/>
      <c r="BM55" s="86"/>
      <c r="BN55" s="86"/>
      <c r="BO55" s="86"/>
      <c r="BP55" s="86"/>
      <c r="BQ55" s="86"/>
      <c r="BR55" s="86"/>
      <c r="BS55" s="86"/>
      <c r="BT55" s="86"/>
      <c r="BU55" s="86"/>
      <c r="BV55" s="86"/>
      <c r="BW55" s="86"/>
      <c r="BX55" s="86"/>
      <c r="BY55" s="86"/>
      <c r="BZ55" s="86"/>
      <c r="CA55" s="86"/>
      <c r="CB55" s="86"/>
      <c r="CC55" s="86"/>
      <c r="CD55" s="86"/>
      <c r="CE55" s="86"/>
      <c r="CF55" s="86"/>
      <c r="CG55" s="86"/>
      <c r="CH55" s="86"/>
      <c r="CI55" s="86"/>
      <c r="CJ55" s="86"/>
      <c r="CK55" s="86"/>
      <c r="CL55" s="86"/>
      <c r="CM55" s="86"/>
      <c r="CN55" s="86"/>
      <c r="CO55" s="86"/>
    </row>
    <row r="56" spans="8:93" s="227" customFormat="1" x14ac:dyDescent="0.3">
      <c r="H56" s="237"/>
      <c r="J56" s="238"/>
      <c r="K56" s="199"/>
      <c r="L56" s="86"/>
      <c r="M56" s="86"/>
      <c r="N56" s="86"/>
      <c r="O56" s="202"/>
      <c r="P56" s="86"/>
      <c r="Q56" s="86"/>
      <c r="R56" s="86"/>
      <c r="S56" s="86"/>
      <c r="T56" s="86"/>
      <c r="U56" s="86"/>
      <c r="V56" s="86"/>
      <c r="W56" s="86"/>
      <c r="X56" s="86"/>
      <c r="Y56" s="86"/>
      <c r="Z56" s="86"/>
      <c r="AA56" s="86"/>
      <c r="AB56" s="86"/>
      <c r="AC56" s="86"/>
      <c r="AD56" s="86"/>
      <c r="AE56" s="86"/>
      <c r="AF56" s="86"/>
      <c r="AG56" s="86"/>
      <c r="AH56" s="86"/>
      <c r="AI56" s="86"/>
      <c r="AJ56" s="86"/>
      <c r="AK56" s="86"/>
      <c r="AL56" s="199"/>
      <c r="AM56" s="86"/>
      <c r="AN56" s="86"/>
      <c r="AO56" s="86"/>
      <c r="AP56" s="225"/>
      <c r="AQ56" s="86"/>
      <c r="AR56" s="86"/>
      <c r="AS56" s="239"/>
      <c r="AT56" s="86"/>
      <c r="AU56" s="86"/>
      <c r="AV56" s="202"/>
      <c r="AW56" s="86"/>
      <c r="AX56" s="86"/>
      <c r="AY56" s="86"/>
      <c r="AZ56" s="86"/>
      <c r="BA56" s="86"/>
      <c r="BB56" s="86"/>
      <c r="BC56" s="86"/>
      <c r="BD56" s="86"/>
      <c r="BE56" s="86"/>
      <c r="BF56" s="86"/>
      <c r="BG56" s="86"/>
      <c r="BH56" s="86"/>
      <c r="BI56" s="86"/>
      <c r="BJ56" s="202"/>
      <c r="BK56" s="202"/>
      <c r="BL56" s="202"/>
      <c r="BM56" s="86"/>
      <c r="BN56" s="86"/>
      <c r="BO56" s="86"/>
      <c r="BP56" s="86"/>
      <c r="BQ56" s="86"/>
      <c r="BR56" s="86"/>
      <c r="BS56" s="86"/>
      <c r="BT56" s="86"/>
      <c r="BU56" s="86"/>
      <c r="BV56" s="86"/>
      <c r="BW56" s="86"/>
      <c r="BX56" s="86"/>
      <c r="BY56" s="86"/>
      <c r="BZ56" s="86"/>
      <c r="CA56" s="86"/>
      <c r="CB56" s="86"/>
      <c r="CC56" s="86"/>
      <c r="CD56" s="86"/>
      <c r="CE56" s="86"/>
      <c r="CF56" s="86"/>
      <c r="CG56" s="86"/>
      <c r="CH56" s="86"/>
      <c r="CI56" s="86"/>
      <c r="CJ56" s="86"/>
      <c r="CK56" s="86"/>
      <c r="CL56" s="86"/>
      <c r="CM56" s="86"/>
      <c r="CN56" s="86"/>
      <c r="CO56" s="86"/>
    </row>
    <row r="57" spans="8:93" s="227" customFormat="1" x14ac:dyDescent="0.3">
      <c r="H57" s="237"/>
      <c r="J57" s="238"/>
      <c r="K57" s="199"/>
      <c r="L57" s="86"/>
      <c r="M57" s="86"/>
      <c r="N57" s="86"/>
      <c r="O57" s="202"/>
      <c r="P57" s="86"/>
      <c r="Q57" s="86"/>
      <c r="R57" s="86"/>
      <c r="S57" s="86"/>
      <c r="T57" s="86"/>
      <c r="U57" s="86"/>
      <c r="V57" s="86"/>
      <c r="W57" s="86"/>
      <c r="X57" s="86"/>
      <c r="Y57" s="86"/>
      <c r="Z57" s="86"/>
      <c r="AA57" s="86"/>
      <c r="AB57" s="86"/>
      <c r="AC57" s="86"/>
      <c r="AD57" s="86"/>
      <c r="AE57" s="86"/>
      <c r="AF57" s="86"/>
      <c r="AG57" s="86"/>
      <c r="AH57" s="86"/>
      <c r="AI57" s="86"/>
      <c r="AJ57" s="86"/>
      <c r="AK57" s="86"/>
      <c r="AL57" s="199"/>
      <c r="AM57" s="86"/>
      <c r="AN57" s="86"/>
      <c r="AO57" s="86"/>
      <c r="AP57" s="225"/>
      <c r="AQ57" s="86"/>
      <c r="AR57" s="86"/>
      <c r="AS57" s="239"/>
      <c r="AT57" s="86"/>
      <c r="AU57" s="86"/>
      <c r="AV57" s="202"/>
      <c r="AW57" s="86"/>
      <c r="AX57" s="86"/>
      <c r="AY57" s="86"/>
      <c r="AZ57" s="86"/>
      <c r="BA57" s="86"/>
      <c r="BB57" s="86"/>
      <c r="BC57" s="86"/>
      <c r="BD57" s="86"/>
      <c r="BE57" s="86"/>
      <c r="BF57" s="86"/>
      <c r="BG57" s="86"/>
      <c r="BH57" s="86"/>
      <c r="BI57" s="86"/>
      <c r="BJ57" s="202"/>
      <c r="BK57" s="202"/>
      <c r="BL57" s="202"/>
      <c r="BM57" s="86"/>
      <c r="BN57" s="86"/>
      <c r="BO57" s="86"/>
      <c r="BP57" s="86"/>
      <c r="BQ57" s="86"/>
      <c r="BR57" s="86"/>
      <c r="BS57" s="86"/>
      <c r="BT57" s="86"/>
      <c r="BU57" s="86"/>
      <c r="BV57" s="86"/>
      <c r="BW57" s="86"/>
      <c r="BX57" s="86"/>
      <c r="BY57" s="86"/>
      <c r="BZ57" s="86"/>
      <c r="CA57" s="86"/>
      <c r="CB57" s="86"/>
      <c r="CC57" s="86"/>
      <c r="CD57" s="86"/>
      <c r="CE57" s="86"/>
      <c r="CF57" s="86"/>
      <c r="CG57" s="86"/>
      <c r="CH57" s="86"/>
      <c r="CI57" s="86"/>
      <c r="CJ57" s="86"/>
      <c r="CK57" s="86"/>
      <c r="CL57" s="86"/>
      <c r="CM57" s="86"/>
      <c r="CN57" s="86"/>
      <c r="CO57" s="86"/>
    </row>
    <row r="58" spans="8:93" s="227" customFormat="1" x14ac:dyDescent="0.3">
      <c r="H58" s="237"/>
      <c r="J58" s="238"/>
      <c r="K58" s="199"/>
      <c r="L58" s="86"/>
      <c r="M58" s="86"/>
      <c r="N58" s="86"/>
      <c r="O58" s="202"/>
      <c r="P58" s="86"/>
      <c r="Q58" s="86"/>
      <c r="R58" s="86"/>
      <c r="S58" s="86"/>
      <c r="T58" s="86"/>
      <c r="U58" s="86"/>
      <c r="V58" s="86"/>
      <c r="W58" s="86"/>
      <c r="X58" s="86"/>
      <c r="Y58" s="86"/>
      <c r="Z58" s="86"/>
      <c r="AA58" s="86"/>
      <c r="AB58" s="86"/>
      <c r="AC58" s="86"/>
      <c r="AD58" s="86"/>
      <c r="AE58" s="86"/>
      <c r="AF58" s="86"/>
      <c r="AG58" s="86"/>
      <c r="AH58" s="86"/>
      <c r="AI58" s="86"/>
      <c r="AJ58" s="86"/>
      <c r="AK58" s="86"/>
      <c r="AL58" s="199"/>
      <c r="AM58" s="86"/>
      <c r="AN58" s="86"/>
      <c r="AO58" s="86"/>
      <c r="AP58" s="225"/>
      <c r="AQ58" s="86"/>
      <c r="AR58" s="86"/>
      <c r="AS58" s="239"/>
      <c r="AT58" s="86"/>
      <c r="AU58" s="86"/>
      <c r="AV58" s="202"/>
      <c r="AW58" s="86"/>
      <c r="AX58" s="86"/>
      <c r="AY58" s="86"/>
      <c r="AZ58" s="86"/>
      <c r="BA58" s="86"/>
      <c r="BB58" s="86"/>
      <c r="BC58" s="86"/>
      <c r="BD58" s="86"/>
      <c r="BE58" s="86"/>
      <c r="BF58" s="86"/>
      <c r="BG58" s="86"/>
      <c r="BH58" s="86"/>
      <c r="BI58" s="86"/>
      <c r="BJ58" s="202"/>
      <c r="BK58" s="202"/>
      <c r="BL58" s="202"/>
      <c r="BM58" s="86"/>
      <c r="BN58" s="86"/>
      <c r="BO58" s="86"/>
      <c r="BP58" s="86"/>
      <c r="BQ58" s="86"/>
      <c r="BR58" s="86"/>
      <c r="BS58" s="86"/>
      <c r="BT58" s="86"/>
      <c r="BU58" s="86"/>
      <c r="BV58" s="86"/>
      <c r="BW58" s="86"/>
      <c r="BX58" s="86"/>
      <c r="BY58" s="86"/>
      <c r="BZ58" s="86"/>
      <c r="CA58" s="86"/>
      <c r="CB58" s="86"/>
      <c r="CC58" s="86"/>
      <c r="CD58" s="86"/>
      <c r="CE58" s="86"/>
      <c r="CF58" s="86"/>
      <c r="CG58" s="86"/>
      <c r="CH58" s="86"/>
      <c r="CI58" s="86"/>
      <c r="CJ58" s="86"/>
      <c r="CK58" s="86"/>
      <c r="CL58" s="86"/>
      <c r="CM58" s="86"/>
      <c r="CN58" s="86"/>
      <c r="CO58" s="86"/>
    </row>
    <row r="59" spans="8:93" s="227" customFormat="1" x14ac:dyDescent="0.3">
      <c r="H59" s="237"/>
      <c r="J59" s="238"/>
      <c r="K59" s="199"/>
      <c r="L59" s="86"/>
      <c r="M59" s="86"/>
      <c r="N59" s="86"/>
      <c r="O59" s="202"/>
      <c r="P59" s="86"/>
      <c r="Q59" s="86"/>
      <c r="R59" s="86"/>
      <c r="S59" s="86"/>
      <c r="T59" s="86"/>
      <c r="U59" s="86"/>
      <c r="V59" s="86"/>
      <c r="W59" s="86"/>
      <c r="X59" s="86"/>
      <c r="Y59" s="86"/>
      <c r="Z59" s="86"/>
      <c r="AA59" s="86"/>
      <c r="AB59" s="86"/>
      <c r="AC59" s="86"/>
      <c r="AD59" s="86"/>
      <c r="AE59" s="86"/>
      <c r="AF59" s="86"/>
      <c r="AG59" s="86"/>
      <c r="AH59" s="86"/>
      <c r="AI59" s="86"/>
      <c r="AJ59" s="86"/>
      <c r="AK59" s="86"/>
      <c r="AL59" s="199"/>
      <c r="AM59" s="86"/>
      <c r="AN59" s="86"/>
      <c r="AO59" s="86"/>
      <c r="AP59" s="225"/>
      <c r="AQ59" s="86"/>
      <c r="AR59" s="86"/>
      <c r="AS59" s="239"/>
      <c r="AT59" s="86"/>
      <c r="AU59" s="86"/>
      <c r="AV59" s="202"/>
      <c r="AW59" s="86"/>
      <c r="AX59" s="86"/>
      <c r="AY59" s="86"/>
      <c r="AZ59" s="86"/>
      <c r="BA59" s="86"/>
      <c r="BB59" s="86"/>
      <c r="BC59" s="86"/>
      <c r="BD59" s="86"/>
      <c r="BE59" s="86"/>
      <c r="BF59" s="86"/>
      <c r="BG59" s="86"/>
      <c r="BH59" s="86"/>
      <c r="BI59" s="86"/>
      <c r="BJ59" s="202"/>
      <c r="BK59" s="202"/>
      <c r="BL59" s="202"/>
      <c r="BM59" s="86"/>
      <c r="BN59" s="86"/>
      <c r="BO59" s="86"/>
      <c r="BP59" s="86"/>
      <c r="BQ59" s="86"/>
      <c r="BR59" s="86"/>
      <c r="BS59" s="86"/>
      <c r="BT59" s="86"/>
      <c r="BU59" s="86"/>
      <c r="BV59" s="86"/>
      <c r="BW59" s="86"/>
      <c r="BX59" s="86"/>
      <c r="BY59" s="86"/>
      <c r="BZ59" s="86"/>
      <c r="CA59" s="86"/>
      <c r="CB59" s="86"/>
      <c r="CC59" s="86"/>
      <c r="CD59" s="86"/>
      <c r="CE59" s="86"/>
      <c r="CF59" s="86"/>
      <c r="CG59" s="86"/>
      <c r="CH59" s="86"/>
      <c r="CI59" s="86"/>
      <c r="CJ59" s="86"/>
      <c r="CK59" s="86"/>
      <c r="CL59" s="86"/>
      <c r="CM59" s="86"/>
      <c r="CN59" s="86"/>
      <c r="CO59" s="86"/>
    </row>
    <row r="60" spans="8:93" x14ac:dyDescent="0.3">
      <c r="AS60" s="107"/>
    </row>
    <row r="61" spans="8:93" x14ac:dyDescent="0.3">
      <c r="AS61" s="107"/>
    </row>
    <row r="62" spans="8:93" x14ac:dyDescent="0.3">
      <c r="AS62" s="107"/>
    </row>
    <row r="63" spans="8:93" x14ac:dyDescent="0.3">
      <c r="AS63" s="107"/>
    </row>
    <row r="64" spans="8:93" x14ac:dyDescent="0.3">
      <c r="AS64" s="107"/>
    </row>
    <row r="65" spans="45:45" x14ac:dyDescent="0.3">
      <c r="AS65" s="107"/>
    </row>
    <row r="66" spans="45:45" x14ac:dyDescent="0.3">
      <c r="AS66" s="107"/>
    </row>
  </sheetData>
  <pageMargins left="0.7" right="0.7" top="0.75" bottom="0.75" header="0.3" footer="0.3"/>
  <pageSetup orientation="portrait" r:id="rId1"/>
  <headerFooter>
    <oddFooter>&amp;L&amp;F&amp;C&amp;A&amp;R&amp;D&amp;T</oddFoot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A8B060-6EEB-49FD-B1C5-8FC9898CF0C8}">
  <sheetPr>
    <tabColor rgb="FF002060"/>
  </sheetPr>
  <dimension ref="B1:DW66"/>
  <sheetViews>
    <sheetView zoomScale="80" zoomScaleNormal="80" workbookViewId="0"/>
  </sheetViews>
  <sheetFormatPr defaultColWidth="14.33203125" defaultRowHeight="14.4" x14ac:dyDescent="0.3"/>
  <cols>
    <col min="1" max="1" width="4.33203125" style="75" customWidth="1"/>
    <col min="2" max="7" width="14.33203125" style="75"/>
    <col min="8" max="14" width="14.33203125" style="77"/>
    <col min="15" max="15" width="14.33203125" style="78"/>
    <col min="16" max="16" width="15.6640625" style="79" customWidth="1"/>
    <col min="17" max="20" width="14.33203125" style="79"/>
    <col min="21" max="21" width="14.33203125" style="80"/>
    <col min="22" max="43" width="14.33203125" style="79"/>
    <col min="44" max="44" width="15.109375" style="78" bestFit="1" customWidth="1"/>
    <col min="45" max="47" width="14.33203125" style="79"/>
    <col min="48" max="48" width="14.33203125" style="81"/>
    <col min="49" max="53" width="14.33203125" style="79"/>
    <col min="54" max="54" width="14.33203125" style="80"/>
    <col min="55" max="67" width="14.33203125" style="79"/>
    <col min="68" max="68" width="14.33203125" style="80"/>
    <col min="69" max="69" width="16.33203125" style="80" bestFit="1" customWidth="1"/>
    <col min="70" max="70" width="14.33203125" style="80"/>
    <col min="71" max="99" width="14.33203125" style="79"/>
    <col min="100" max="16384" width="14.33203125" style="75"/>
  </cols>
  <sheetData>
    <row r="1" spans="2:127" x14ac:dyDescent="0.3">
      <c r="U1" s="79"/>
    </row>
    <row r="2" spans="2:127" x14ac:dyDescent="0.3">
      <c r="U2" s="79"/>
      <c r="BE2" s="82" t="s">
        <v>90</v>
      </c>
      <c r="BF2" s="83"/>
      <c r="BG2" s="83"/>
      <c r="BH2" s="84"/>
      <c r="BK2" s="82" t="s">
        <v>91</v>
      </c>
      <c r="BL2" s="85"/>
      <c r="BM2" s="86"/>
      <c r="BP2" s="82" t="s">
        <v>153</v>
      </c>
      <c r="BQ2" s="85"/>
      <c r="BT2" s="82" t="s">
        <v>92</v>
      </c>
      <c r="BU2" s="83"/>
      <c r="BV2" s="83"/>
      <c r="BW2" s="84"/>
      <c r="BY2" s="82" t="s">
        <v>93</v>
      </c>
      <c r="BZ2" s="84"/>
    </row>
    <row r="3" spans="2:127" s="87" customFormat="1" ht="28.8" x14ac:dyDescent="0.3">
      <c r="F3" s="88" t="s">
        <v>714</v>
      </c>
      <c r="G3" s="90" t="s">
        <v>739</v>
      </c>
      <c r="H3" s="90" t="s">
        <v>712</v>
      </c>
      <c r="I3" s="476"/>
      <c r="J3" s="476"/>
      <c r="K3" s="476"/>
      <c r="L3" s="476"/>
      <c r="M3" s="476"/>
      <c r="N3" s="476"/>
      <c r="O3" s="78"/>
      <c r="P3" s="79"/>
      <c r="Q3" s="91"/>
      <c r="R3" s="91"/>
      <c r="S3" s="91"/>
      <c r="T3" s="91"/>
      <c r="U3" s="91"/>
      <c r="V3" s="90" t="s">
        <v>736</v>
      </c>
      <c r="W3" s="91"/>
      <c r="X3" s="91"/>
      <c r="Y3" s="91"/>
      <c r="Z3" s="91"/>
      <c r="AA3" s="91"/>
      <c r="AB3" s="91"/>
      <c r="AC3" s="91"/>
      <c r="AD3" s="91"/>
      <c r="AE3" s="91"/>
      <c r="AF3" s="91"/>
      <c r="AG3" s="91"/>
      <c r="AH3" s="93"/>
      <c r="AI3" s="93"/>
      <c r="AJ3" s="93"/>
      <c r="AK3" s="93"/>
      <c r="AL3" s="93"/>
      <c r="AM3" s="90" t="s">
        <v>737</v>
      </c>
      <c r="AN3" s="90" t="s">
        <v>750</v>
      </c>
      <c r="AO3" s="90" t="s">
        <v>96</v>
      </c>
      <c r="AP3" s="93"/>
      <c r="AQ3" s="94"/>
      <c r="AR3" s="95"/>
      <c r="AS3" s="94"/>
      <c r="AT3" s="94"/>
      <c r="AU3" s="96"/>
      <c r="AV3" s="90" t="s">
        <v>97</v>
      </c>
      <c r="AW3" s="96"/>
      <c r="AX3" s="91"/>
      <c r="AY3" s="91"/>
      <c r="AZ3" s="91"/>
      <c r="BA3" s="91"/>
      <c r="BB3" s="92"/>
      <c r="BC3" s="91"/>
      <c r="BD3" s="91"/>
      <c r="BE3" s="97" t="s">
        <v>38</v>
      </c>
      <c r="BF3" s="97" t="s">
        <v>222</v>
      </c>
      <c r="BG3" s="97" t="s">
        <v>98</v>
      </c>
      <c r="BH3" s="97" t="s">
        <v>223</v>
      </c>
      <c r="BJ3" s="91"/>
      <c r="BK3" s="98" t="s">
        <v>38</v>
      </c>
      <c r="BL3" s="98" t="s">
        <v>222</v>
      </c>
      <c r="BM3" s="91"/>
      <c r="BN3" s="79"/>
      <c r="BO3" s="79"/>
      <c r="BP3" s="97" t="s">
        <v>151</v>
      </c>
      <c r="BQ3" s="97" t="s">
        <v>152</v>
      </c>
      <c r="BT3" s="97" t="s">
        <v>98</v>
      </c>
      <c r="BU3" s="97" t="s">
        <v>99</v>
      </c>
      <c r="BV3" s="97" t="s">
        <v>38</v>
      </c>
      <c r="BW3" s="97" t="s">
        <v>222</v>
      </c>
      <c r="BX3" s="91"/>
      <c r="BY3" s="97" t="s">
        <v>38</v>
      </c>
      <c r="BZ3" s="97" t="s">
        <v>222</v>
      </c>
      <c r="CA3" s="97" t="s">
        <v>100</v>
      </c>
      <c r="CB3" s="88" t="s">
        <v>101</v>
      </c>
      <c r="CC3" s="91"/>
      <c r="CD3" s="91"/>
      <c r="CE3" s="91"/>
      <c r="CF3" s="91"/>
      <c r="CG3" s="91"/>
      <c r="CH3" s="91"/>
      <c r="CI3" s="91"/>
      <c r="CJ3" s="91"/>
      <c r="CK3" s="91"/>
      <c r="CL3" s="91"/>
      <c r="CM3" s="91"/>
      <c r="CN3" s="91"/>
      <c r="CO3" s="91"/>
      <c r="CP3" s="91"/>
      <c r="CQ3" s="91"/>
      <c r="CR3" s="91"/>
      <c r="CS3" s="91"/>
      <c r="CT3" s="91"/>
      <c r="CU3" s="91"/>
    </row>
    <row r="4" spans="2:127" x14ac:dyDescent="0.3">
      <c r="F4" s="99">
        <f t="array" ref="F4">MAX(($F$12:$F$44&gt;0)*($B$12:$B$44))</f>
        <v>25</v>
      </c>
      <c r="G4" s="101">
        <f>AVERAGEIF(G12:G44,"&gt;0")</f>
        <v>14000</v>
      </c>
      <c r="H4" s="100">
        <f>AVERAGEIF(H12:H44,"&gt;0")</f>
        <v>1.0000000000000004E-2</v>
      </c>
      <c r="I4" s="477"/>
      <c r="J4" s="477"/>
      <c r="K4" s="477"/>
      <c r="L4" s="477"/>
      <c r="M4" s="477"/>
      <c r="N4" s="477"/>
      <c r="U4" s="79"/>
      <c r="V4" s="101">
        <f>AVERAGEIF(V12:V44,"&gt;0")</f>
        <v>148431.00525332708</v>
      </c>
      <c r="AM4" s="101">
        <f>AVERAGEIF(AM12:AM44,"&gt;0")</f>
        <v>167894.00996797575</v>
      </c>
      <c r="AN4" s="101" t="e">
        <f>AVERAGEIF(AN12:AN44,"&gt;0")</f>
        <v>#DIV/0!</v>
      </c>
      <c r="AO4" s="100" t="e">
        <f>AVERAGEIF(AO12:AO44,"&gt;0")</f>
        <v>#DIV/0!</v>
      </c>
      <c r="AV4" s="100" t="e">
        <f>AVERAGEIF(AV12:AV44,"&gt;0")</f>
        <v>#DIV/0!</v>
      </c>
      <c r="BE4" s="103" t="e">
        <f>IRR(BL11:BL44)</f>
        <v>#NUM!</v>
      </c>
      <c r="BF4" s="104" t="e">
        <f>NPV(BE4,BL11:BL44)</f>
        <v>#NUM!</v>
      </c>
      <c r="BG4" s="103" t="e">
        <f>XIRR(BM11:BM44,E11:E44,1)</f>
        <v>#NUM!</v>
      </c>
      <c r="BH4" s="101" t="e">
        <f>XNPV(BG4,BM11:BM44,E11:E44)</f>
        <v>#NUM!</v>
      </c>
      <c r="BK4" s="103" t="e">
        <f>IRR(BK11:BK44)</f>
        <v>#NUM!</v>
      </c>
      <c r="BL4" s="105" t="e">
        <f>NPV(BK4,BK11:BK44)</f>
        <v>#NUM!</v>
      </c>
      <c r="BP4" s="106" t="e">
        <f>AVERAGEIF(BS12:BS44,"&gt;0")</f>
        <v>#DIV/0!</v>
      </c>
      <c r="BQ4" s="106">
        <f t="array" ref="BQ4">MIN(IF(BS12:BS44&lt;&gt;0,BS12:BS44))</f>
        <v>-0.1775516295338109</v>
      </c>
      <c r="BT4" s="103" t="e">
        <f>XIRR(BV11:BV44,D11:D44,1)</f>
        <v>#NUM!</v>
      </c>
      <c r="BU4" s="106" t="e">
        <f>XNPV(BT4,BV11:BV44,D11:D44)</f>
        <v>#NUM!</v>
      </c>
      <c r="BV4" s="103" t="str">
        <f>IFERROR(IRR(BV11:BV44),"NEG IRR")</f>
        <v>NEG IRR</v>
      </c>
      <c r="BW4" s="105" t="e">
        <f>NPV(BV4,BV11:BV44)</f>
        <v>#VALUE!</v>
      </c>
      <c r="BY4" s="103" t="e">
        <f>IRR(BU11:BU44)</f>
        <v>#NUM!</v>
      </c>
      <c r="BZ4" s="105" t="e">
        <f>NPV(BY4,BU11:BU44)</f>
        <v>#NUM!</v>
      </c>
      <c r="CA4" s="105" t="e">
        <f>MATCH(1,$CA$12:$CA$44,0)</f>
        <v>#N/A</v>
      </c>
      <c r="CB4" s="99" t="e">
        <f t="array" ref="CB4">MAX(($CB$12:$CB$44&gt;0)*($B$12:$B$44))</f>
        <v>#VALUE!</v>
      </c>
    </row>
    <row r="5" spans="2:127" x14ac:dyDescent="0.3">
      <c r="U5" s="79"/>
    </row>
    <row r="6" spans="2:127" x14ac:dyDescent="0.3">
      <c r="G6" s="109"/>
      <c r="O6" s="110"/>
      <c r="U6" s="79"/>
      <c r="V6" s="111"/>
      <c r="AY6" s="113"/>
      <c r="BB6" s="114"/>
    </row>
    <row r="7" spans="2:127" x14ac:dyDescent="0.3">
      <c r="G7" s="450" t="s">
        <v>713</v>
      </c>
      <c r="H7" s="453"/>
      <c r="I7" s="460" t="s">
        <v>103</v>
      </c>
      <c r="J7" s="478"/>
      <c r="K7" s="478"/>
      <c r="L7" s="478"/>
      <c r="M7" s="478"/>
      <c r="N7" s="478"/>
      <c r="O7" s="460"/>
      <c r="P7" s="461"/>
      <c r="Q7" s="462"/>
      <c r="R7" s="462"/>
      <c r="S7" s="462"/>
      <c r="T7" s="463"/>
      <c r="U7" s="116"/>
      <c r="V7" s="116"/>
      <c r="W7" s="117" t="s">
        <v>104</v>
      </c>
      <c r="X7" s="115"/>
      <c r="Y7" s="115"/>
      <c r="Z7" s="115"/>
      <c r="AA7" s="115"/>
      <c r="AB7" s="115"/>
      <c r="AC7" s="115"/>
      <c r="AD7" s="115"/>
      <c r="AE7" s="115"/>
      <c r="AF7" s="115"/>
      <c r="AG7" s="115"/>
      <c r="AH7" s="115"/>
      <c r="AI7" s="115"/>
      <c r="AJ7" s="115"/>
      <c r="AK7" s="115"/>
      <c r="AL7" s="115"/>
      <c r="AM7" s="118"/>
      <c r="AN7" s="117" t="s">
        <v>105</v>
      </c>
      <c r="AO7" s="118"/>
      <c r="AP7" s="105" t="s">
        <v>106</v>
      </c>
      <c r="AQ7" s="105" t="s">
        <v>107</v>
      </c>
      <c r="AR7" s="119" t="s">
        <v>108</v>
      </c>
      <c r="AS7" s="105" t="s">
        <v>109</v>
      </c>
      <c r="AT7" s="120" t="s">
        <v>110</v>
      </c>
      <c r="AU7" s="121" t="s">
        <v>111</v>
      </c>
      <c r="AV7" s="123"/>
      <c r="AY7" s="425" t="s">
        <v>112</v>
      </c>
      <c r="AZ7" s="426"/>
      <c r="BA7" s="427"/>
      <c r="BB7" s="430" t="s">
        <v>13</v>
      </c>
      <c r="BC7" s="431"/>
      <c r="BD7" s="432"/>
      <c r="BE7" s="124" t="s">
        <v>113</v>
      </c>
      <c r="BF7" s="83"/>
      <c r="BG7" s="83"/>
      <c r="BH7" s="83"/>
      <c r="BI7" s="125" t="s">
        <v>114</v>
      </c>
      <c r="BJ7" s="127" t="s">
        <v>110</v>
      </c>
      <c r="BK7" s="128" t="s">
        <v>115</v>
      </c>
      <c r="BL7" s="126"/>
      <c r="BM7" s="105" t="s">
        <v>116</v>
      </c>
      <c r="BN7" s="129" t="s">
        <v>117</v>
      </c>
      <c r="BO7" s="130"/>
      <c r="BP7" s="131"/>
      <c r="BQ7" s="131"/>
      <c r="BR7" s="131"/>
      <c r="BS7" s="132"/>
      <c r="BT7" s="133" t="s">
        <v>118</v>
      </c>
      <c r="BU7" s="133"/>
      <c r="BV7" s="134"/>
      <c r="BW7" s="126"/>
      <c r="BX7" s="126"/>
      <c r="BY7" s="126"/>
      <c r="BZ7" s="126"/>
      <c r="CA7" s="126"/>
      <c r="CB7" s="127"/>
      <c r="CO7" s="135"/>
      <c r="CY7" s="136"/>
      <c r="DJ7" s="136"/>
      <c r="DP7" s="136"/>
      <c r="DW7" s="136"/>
    </row>
    <row r="8" spans="2:127" s="163" customFormat="1" ht="57.6" x14ac:dyDescent="0.3">
      <c r="B8" s="34" t="s">
        <v>51</v>
      </c>
      <c r="C8" s="137" t="s">
        <v>52</v>
      </c>
      <c r="D8" s="36" t="s">
        <v>703</v>
      </c>
      <c r="E8" s="138" t="s">
        <v>704</v>
      </c>
      <c r="F8" s="449" t="s">
        <v>705</v>
      </c>
      <c r="G8" s="142" t="s">
        <v>722</v>
      </c>
      <c r="H8" s="479" t="s">
        <v>212</v>
      </c>
      <c r="I8" s="464" t="s">
        <v>716</v>
      </c>
      <c r="J8" s="466" t="s">
        <v>717</v>
      </c>
      <c r="K8" s="466" t="s">
        <v>718</v>
      </c>
      <c r="L8" s="466" t="s">
        <v>719</v>
      </c>
      <c r="M8" s="466" t="s">
        <v>720</v>
      </c>
      <c r="N8" s="467" t="s">
        <v>721</v>
      </c>
      <c r="O8" s="464" t="s">
        <v>706</v>
      </c>
      <c r="P8" s="466" t="s">
        <v>707</v>
      </c>
      <c r="Q8" s="466" t="s">
        <v>708</v>
      </c>
      <c r="R8" s="466" t="s">
        <v>709</v>
      </c>
      <c r="S8" s="466" t="s">
        <v>710</v>
      </c>
      <c r="T8" s="467" t="s">
        <v>711</v>
      </c>
      <c r="U8" s="143" t="s">
        <v>120</v>
      </c>
      <c r="V8" s="147" t="s">
        <v>121</v>
      </c>
      <c r="W8" s="141" t="str">
        <f>Spas_Inputs!L7</f>
        <v>Towel Supply and Laundry Costs</v>
      </c>
      <c r="X8" s="141" t="str">
        <f>Spas_Inputs!L8</f>
        <v>Electricity Costs</v>
      </c>
      <c r="Y8" s="141" t="str">
        <f>Spas_Inputs!L9</f>
        <v>Equipment O&amp;M</v>
      </c>
      <c r="Z8" s="141" t="str">
        <f>Spas_Inputs!L10</f>
        <v>Labor (Non-payroll)</v>
      </c>
      <c r="AA8" s="141" t="str">
        <f>Spas_Inputs!L11</f>
        <v>Payroll</v>
      </c>
      <c r="AB8" s="141" t="str">
        <f>Spas_Inputs!L12</f>
        <v>Insurances</v>
      </c>
      <c r="AC8" s="141" t="str">
        <f>Spas_Inputs!L13</f>
        <v>Equipment Leases</v>
      </c>
      <c r="AD8" s="141" t="str">
        <f>Spas_Inputs!L14</f>
        <v>Office and Admin Expenses</v>
      </c>
      <c r="AE8" s="141" t="str">
        <f>Spas_Inputs!L15</f>
        <v xml:space="preserve">Marketing Expenses </v>
      </c>
      <c r="AF8" s="145" t="str">
        <f>Spas_Inputs!L16</f>
        <v>Spa Building Utility Costs</v>
      </c>
      <c r="AG8" s="145" t="str">
        <f>Spas_Inputs!L17</f>
        <v>Other 1</v>
      </c>
      <c r="AH8" s="141" t="str">
        <f>Spas_Inputs!L18</f>
        <v>Other 2</v>
      </c>
      <c r="AI8" s="141" t="str">
        <f>Spas_Inputs!L19</f>
        <v>Other 3</v>
      </c>
      <c r="AJ8" s="141" t="str">
        <f>Spas_Inputs!L20</f>
        <v>Other 4</v>
      </c>
      <c r="AK8" s="141" t="str">
        <f>Spas_Inputs!L21</f>
        <v>Other 5</v>
      </c>
      <c r="AL8" s="141" t="str">
        <f>Spas_Inputs!L22</f>
        <v>Other 6</v>
      </c>
      <c r="AM8" s="142" t="s">
        <v>122</v>
      </c>
      <c r="AN8" s="142" t="s">
        <v>105</v>
      </c>
      <c r="AO8" s="144" t="s">
        <v>123</v>
      </c>
      <c r="AP8" s="139" t="s">
        <v>124</v>
      </c>
      <c r="AQ8" s="139" t="s">
        <v>107</v>
      </c>
      <c r="AR8" s="146" t="s">
        <v>125</v>
      </c>
      <c r="AS8" s="147" t="s">
        <v>126</v>
      </c>
      <c r="AT8" s="147" t="s">
        <v>110</v>
      </c>
      <c r="AU8" s="148" t="s">
        <v>111</v>
      </c>
      <c r="AV8" s="149" t="s">
        <v>127</v>
      </c>
      <c r="AW8" s="150"/>
      <c r="AX8" s="150"/>
      <c r="AY8" s="428" t="s">
        <v>128</v>
      </c>
      <c r="AZ8" s="429" t="s">
        <v>129</v>
      </c>
      <c r="BA8" s="156" t="s">
        <v>130</v>
      </c>
      <c r="BB8" s="433" t="s">
        <v>215</v>
      </c>
      <c r="BC8" s="429" t="s">
        <v>131</v>
      </c>
      <c r="BD8" s="156" t="s">
        <v>132</v>
      </c>
      <c r="BE8" s="152" t="s">
        <v>133</v>
      </c>
      <c r="BF8" s="152" t="s">
        <v>134</v>
      </c>
      <c r="BG8" s="152" t="s">
        <v>131</v>
      </c>
      <c r="BH8" s="151" t="s">
        <v>135</v>
      </c>
      <c r="BI8" s="153" t="s">
        <v>136</v>
      </c>
      <c r="BJ8" s="155" t="s">
        <v>137</v>
      </c>
      <c r="BK8" s="156" t="s">
        <v>138</v>
      </c>
      <c r="BL8" s="154" t="s">
        <v>139</v>
      </c>
      <c r="BM8" s="42" t="s">
        <v>116</v>
      </c>
      <c r="BN8" s="157" t="s">
        <v>140</v>
      </c>
      <c r="BO8" s="158" t="s">
        <v>141</v>
      </c>
      <c r="BP8" s="159" t="s">
        <v>142</v>
      </c>
      <c r="BQ8" s="159" t="s">
        <v>63</v>
      </c>
      <c r="BR8" s="159" t="s">
        <v>131</v>
      </c>
      <c r="BS8" s="160" t="s">
        <v>143</v>
      </c>
      <c r="BT8" s="152" t="s">
        <v>144</v>
      </c>
      <c r="BU8" s="152" t="s">
        <v>145</v>
      </c>
      <c r="BV8" s="41" t="s">
        <v>146</v>
      </c>
      <c r="BW8" s="161" t="s">
        <v>147</v>
      </c>
      <c r="BX8" s="161" t="s">
        <v>64</v>
      </c>
      <c r="BY8" s="161" t="s">
        <v>65</v>
      </c>
      <c r="BZ8" s="161" t="s">
        <v>148</v>
      </c>
      <c r="CA8" s="161" t="s">
        <v>100</v>
      </c>
      <c r="CB8" s="144" t="s">
        <v>149</v>
      </c>
      <c r="CC8" s="162"/>
      <c r="CD8" s="162"/>
      <c r="CE8" s="162"/>
      <c r="CF8" s="162"/>
      <c r="CG8" s="162"/>
      <c r="CH8" s="162"/>
      <c r="CI8" s="162"/>
      <c r="CJ8" s="162"/>
      <c r="CK8" s="162"/>
      <c r="CL8" s="162"/>
      <c r="CM8" s="162"/>
      <c r="CN8" s="162"/>
      <c r="CO8" s="102"/>
      <c r="CP8" s="162"/>
      <c r="CQ8" s="162"/>
      <c r="CR8" s="162"/>
      <c r="CS8" s="162"/>
      <c r="CT8" s="162"/>
      <c r="CU8" s="162"/>
      <c r="CY8" s="164"/>
      <c r="DJ8" s="75"/>
      <c r="DP8" s="75"/>
      <c r="DW8" s="75"/>
    </row>
    <row r="9" spans="2:127" s="163" customFormat="1" x14ac:dyDescent="0.3">
      <c r="B9" s="165"/>
      <c r="C9" s="166"/>
      <c r="D9" s="167"/>
      <c r="E9" s="170"/>
      <c r="F9" s="171"/>
      <c r="G9" s="480">
        <f>SUM(G12:G44)</f>
        <v>350000</v>
      </c>
      <c r="H9" s="481"/>
      <c r="I9" s="191"/>
      <c r="J9" s="191"/>
      <c r="K9" s="191"/>
      <c r="L9" s="191"/>
      <c r="M9" s="191"/>
      <c r="N9" s="191"/>
      <c r="O9" s="180">
        <f t="shared" ref="O9:AN9" si="0">SUM(O12:O44)</f>
        <v>460251.17908008397</v>
      </c>
      <c r="P9" s="181">
        <f t="shared" si="0"/>
        <v>172594.19215503146</v>
      </c>
      <c r="Q9" s="181">
        <f t="shared" si="0"/>
        <v>920502.35816016793</v>
      </c>
      <c r="R9" s="181">
        <f t="shared" si="0"/>
        <v>402719.78169507341</v>
      </c>
      <c r="S9" s="181">
        <f t="shared" si="0"/>
        <v>1150627.9477002101</v>
      </c>
      <c r="T9" s="182">
        <f t="shared" si="0"/>
        <v>604079.67254261032</v>
      </c>
      <c r="U9" s="177">
        <f t="shared" si="0"/>
        <v>0</v>
      </c>
      <c r="V9" s="178">
        <f t="shared" si="0"/>
        <v>3710775.131333177</v>
      </c>
      <c r="W9" s="102">
        <f t="shared" si="0"/>
        <v>95462.014315824985</v>
      </c>
      <c r="X9" s="102">
        <f t="shared" si="0"/>
        <v>390082.80539181957</v>
      </c>
      <c r="Y9" s="102">
        <f t="shared" si="0"/>
        <v>2490202.9000669485</v>
      </c>
      <c r="Z9" s="102">
        <f t="shared" si="0"/>
        <v>548309.16420536896</v>
      </c>
      <c r="AA9" s="102">
        <f t="shared" si="0"/>
        <v>511977.43235224736</v>
      </c>
      <c r="AB9" s="102">
        <f t="shared" si="0"/>
        <v>2605.3915072127552</v>
      </c>
      <c r="AC9" s="102">
        <f t="shared" si="0"/>
        <v>0</v>
      </c>
      <c r="AD9" s="102">
        <f t="shared" si="0"/>
        <v>18553.875656665892</v>
      </c>
      <c r="AE9" s="102">
        <f t="shared" si="0"/>
        <v>18553.875656665892</v>
      </c>
      <c r="AF9" s="102">
        <f t="shared" si="0"/>
        <v>121602.79004664</v>
      </c>
      <c r="AG9" s="102">
        <f t="shared" si="0"/>
        <v>0</v>
      </c>
      <c r="AH9" s="102">
        <f t="shared" si="0"/>
        <v>0</v>
      </c>
      <c r="AI9" s="102">
        <f t="shared" si="0"/>
        <v>0</v>
      </c>
      <c r="AJ9" s="102">
        <f t="shared" si="0"/>
        <v>0</v>
      </c>
      <c r="AK9" s="102"/>
      <c r="AL9" s="102"/>
      <c r="AM9" s="178">
        <f t="shared" si="0"/>
        <v>4197350.2491993941</v>
      </c>
      <c r="AN9" s="176">
        <f t="shared" si="0"/>
        <v>-486575.11786621722</v>
      </c>
      <c r="AO9" s="175"/>
      <c r="AP9" s="178">
        <f t="shared" ref="AP9:AU9" si="1">SUM(AP12:AP44)</f>
        <v>881700</v>
      </c>
      <c r="AQ9" s="178">
        <f t="shared" si="1"/>
        <v>-1368275.1178662169</v>
      </c>
      <c r="AR9" s="178">
        <f t="shared" si="1"/>
        <v>444025.79237771389</v>
      </c>
      <c r="AS9" s="178">
        <f t="shared" si="1"/>
        <v>-1812300.9102439315</v>
      </c>
      <c r="AT9" s="178">
        <f t="shared" si="1"/>
        <v>0</v>
      </c>
      <c r="AU9" s="176">
        <f t="shared" si="1"/>
        <v>-1812300.9102439315</v>
      </c>
      <c r="AV9" s="179"/>
      <c r="AW9" s="162"/>
      <c r="AX9" s="162"/>
      <c r="AY9" s="180">
        <f>SUM(AY12:AY44)</f>
        <v>3710775.131333177</v>
      </c>
      <c r="AZ9" s="181">
        <f>SUM(AZ12:AZ44)</f>
        <v>4197350.2491993941</v>
      </c>
      <c r="BA9" s="183">
        <f>SUM(BA12:BA44)</f>
        <v>-486575.11786621722</v>
      </c>
      <c r="BB9" s="180">
        <f t="shared" ref="BB9:BG9" si="2">SUM(BB10:BB44)</f>
        <v>881700</v>
      </c>
      <c r="BC9" s="181">
        <f t="shared" si="2"/>
        <v>881700</v>
      </c>
      <c r="BD9" s="183">
        <f t="shared" si="2"/>
        <v>-1368275.1178662174</v>
      </c>
      <c r="BE9" s="102">
        <f t="shared" si="2"/>
        <v>264510</v>
      </c>
      <c r="BF9" s="102">
        <f t="shared" si="2"/>
        <v>617190</v>
      </c>
      <c r="BG9" s="102">
        <f t="shared" si="2"/>
        <v>881700</v>
      </c>
      <c r="BH9" s="176">
        <f t="shared" ref="BH9:BR9" si="3">SUM(BH12:BH44)</f>
        <v>-486575.11786621722</v>
      </c>
      <c r="BI9" s="180">
        <f>SUM(BI10:BI44)</f>
        <v>0</v>
      </c>
      <c r="BJ9" s="182">
        <f>SUM(BJ10:BJ44)</f>
        <v>0</v>
      </c>
      <c r="BK9" s="183">
        <f>SUM(BK12:BK44)</f>
        <v>-486575.11786621722</v>
      </c>
      <c r="BL9" s="183">
        <f>SUM(BL12:BL44)</f>
        <v>-486575.11786621722</v>
      </c>
      <c r="BM9" s="182">
        <f>SUM(BM12:BM44)</f>
        <v>-486575.11786621722</v>
      </c>
      <c r="BN9" s="180">
        <f t="shared" si="3"/>
        <v>3929431.7909532203</v>
      </c>
      <c r="BO9" s="181">
        <f t="shared" si="3"/>
        <v>3312241.7909532203</v>
      </c>
      <c r="BP9" s="181">
        <f t="shared" si="3"/>
        <v>444025.79237771389</v>
      </c>
      <c r="BQ9" s="181">
        <f t="shared" si="3"/>
        <v>617190</v>
      </c>
      <c r="BR9" s="181">
        <f t="shared" si="3"/>
        <v>1061215.7923777138</v>
      </c>
      <c r="BS9" s="182"/>
      <c r="BT9" s="180">
        <f t="shared" ref="BT9:BY9" si="4">SUM(BT10:BT44)</f>
        <v>-1547790.9102439315</v>
      </c>
      <c r="BU9" s="181">
        <f t="shared" si="4"/>
        <v>-1812300.9102439315</v>
      </c>
      <c r="BV9" s="181">
        <f t="shared" si="4"/>
        <v>-1812300.9102439315</v>
      </c>
      <c r="BW9" s="181">
        <f t="shared" si="4"/>
        <v>0</v>
      </c>
      <c r="BX9" s="181">
        <f t="shared" si="4"/>
        <v>0</v>
      </c>
      <c r="BY9" s="181">
        <f t="shared" si="4"/>
        <v>0</v>
      </c>
      <c r="BZ9" s="181"/>
      <c r="CA9" s="181"/>
      <c r="CB9" s="182" t="e">
        <f>SUM(CB11:CB44)</f>
        <v>#VALUE!</v>
      </c>
      <c r="CC9" s="162"/>
      <c r="CD9" s="162"/>
      <c r="CE9" s="162"/>
      <c r="CF9" s="162"/>
      <c r="CG9" s="162"/>
      <c r="CH9" s="162"/>
      <c r="CI9" s="162"/>
      <c r="CJ9" s="162"/>
      <c r="CK9" s="162"/>
      <c r="CL9" s="162"/>
      <c r="CM9" s="162"/>
      <c r="CN9" s="162"/>
      <c r="CO9" s="102"/>
      <c r="CP9" s="162"/>
      <c r="CQ9" s="162"/>
      <c r="CR9" s="162"/>
      <c r="CS9" s="162"/>
      <c r="CT9" s="162"/>
      <c r="CU9" s="162"/>
      <c r="CY9" s="164"/>
      <c r="DJ9" s="75"/>
      <c r="DP9" s="75"/>
      <c r="DW9" s="75"/>
    </row>
    <row r="10" spans="2:127" s="163" customFormat="1" x14ac:dyDescent="0.3">
      <c r="B10" s="186"/>
      <c r="C10" s="187"/>
      <c r="D10" s="186"/>
      <c r="E10" s="169"/>
      <c r="F10" s="190"/>
      <c r="G10" s="223"/>
      <c r="H10" s="481"/>
      <c r="I10" s="191"/>
      <c r="J10" s="191"/>
      <c r="K10" s="191"/>
      <c r="L10" s="191"/>
      <c r="M10" s="191"/>
      <c r="N10" s="191"/>
      <c r="O10" s="174"/>
      <c r="P10" s="102"/>
      <c r="Q10" s="193"/>
      <c r="R10" s="193"/>
      <c r="S10" s="193"/>
      <c r="T10" s="194"/>
      <c r="U10" s="194"/>
      <c r="V10" s="195"/>
      <c r="W10" s="162"/>
      <c r="X10" s="162"/>
      <c r="Y10" s="162"/>
      <c r="Z10" s="162"/>
      <c r="AA10" s="162"/>
      <c r="AB10" s="162"/>
      <c r="AC10" s="162"/>
      <c r="AD10" s="162"/>
      <c r="AE10" s="162"/>
      <c r="AF10" s="162"/>
      <c r="AG10" s="162"/>
      <c r="AH10" s="162"/>
      <c r="AI10" s="162"/>
      <c r="AJ10" s="162"/>
      <c r="AK10" s="162"/>
      <c r="AL10" s="162"/>
      <c r="AM10" s="195"/>
      <c r="AN10" s="192"/>
      <c r="AO10" s="194"/>
      <c r="AP10" s="195"/>
      <c r="AQ10" s="195"/>
      <c r="AR10" s="195"/>
      <c r="AS10" s="195"/>
      <c r="AT10" s="195"/>
      <c r="AU10" s="192"/>
      <c r="AV10" s="179"/>
      <c r="AW10" s="162"/>
      <c r="AX10" s="162"/>
      <c r="AY10" s="196"/>
      <c r="AZ10" s="86"/>
      <c r="BA10" s="197"/>
      <c r="BB10" s="196"/>
      <c r="BC10" s="198"/>
      <c r="BD10" s="197"/>
      <c r="BE10" s="162"/>
      <c r="BF10" s="162"/>
      <c r="BG10" s="79"/>
      <c r="BH10" s="196"/>
      <c r="BI10" s="196"/>
      <c r="BJ10" s="200"/>
      <c r="BK10" s="197"/>
      <c r="BL10" s="200"/>
      <c r="BM10" s="200"/>
      <c r="BN10" s="196"/>
      <c r="BO10" s="86"/>
      <c r="BP10" s="201"/>
      <c r="BQ10" s="201"/>
      <c r="BR10" s="202"/>
      <c r="BS10" s="203"/>
      <c r="BT10" s="196"/>
      <c r="BU10" s="86"/>
      <c r="BV10" s="193"/>
      <c r="BW10" s="86"/>
      <c r="BX10" s="86"/>
      <c r="BY10" s="86"/>
      <c r="BZ10" s="86"/>
      <c r="CA10" s="86"/>
      <c r="CB10" s="175"/>
      <c r="CC10" s="162"/>
      <c r="CD10" s="162"/>
      <c r="CE10" s="162"/>
      <c r="CF10" s="162"/>
      <c r="CG10" s="162"/>
      <c r="CH10" s="162"/>
      <c r="CI10" s="162"/>
      <c r="CJ10" s="162"/>
      <c r="CK10" s="162"/>
      <c r="CL10" s="162"/>
      <c r="CM10" s="162"/>
      <c r="CN10" s="162"/>
      <c r="CO10" s="102"/>
      <c r="CP10" s="162"/>
      <c r="CQ10" s="162"/>
      <c r="CR10" s="162"/>
      <c r="CS10" s="162"/>
      <c r="CT10" s="162"/>
      <c r="CU10" s="162"/>
      <c r="CY10" s="164"/>
      <c r="DJ10" s="75"/>
      <c r="DP10" s="75"/>
      <c r="DW10" s="75"/>
    </row>
    <row r="11" spans="2:127" s="163" customFormat="1" x14ac:dyDescent="0.3">
      <c r="B11" s="73">
        <v>0</v>
      </c>
      <c r="C11" s="74">
        <f>YEAR(D11)</f>
        <v>2021</v>
      </c>
      <c r="D11" s="205">
        <f>Fish_Inputs!G6</f>
        <v>44197</v>
      </c>
      <c r="E11" s="206">
        <f>EDATE(D11,12)-1</f>
        <v>44561</v>
      </c>
      <c r="F11" s="443">
        <v>0</v>
      </c>
      <c r="G11" s="480"/>
      <c r="H11" s="481"/>
      <c r="I11" s="191"/>
      <c r="J11" s="191"/>
      <c r="K11" s="191"/>
      <c r="L11" s="191"/>
      <c r="M11" s="191"/>
      <c r="N11" s="191"/>
      <c r="O11" s="468"/>
      <c r="P11" s="469"/>
      <c r="Q11" s="469"/>
      <c r="R11" s="469"/>
      <c r="S11" s="469"/>
      <c r="T11" s="470"/>
      <c r="U11" s="207"/>
      <c r="V11" s="454"/>
      <c r="W11" s="102"/>
      <c r="X11" s="102"/>
      <c r="Y11" s="102"/>
      <c r="Z11" s="102"/>
      <c r="AA11" s="102"/>
      <c r="AB11" s="102"/>
      <c r="AC11" s="102"/>
      <c r="AD11" s="102"/>
      <c r="AE11" s="102"/>
      <c r="AF11" s="193"/>
      <c r="AG11" s="193"/>
      <c r="AH11" s="102"/>
      <c r="AI11" s="102"/>
      <c r="AJ11" s="102"/>
      <c r="AK11" s="102"/>
      <c r="AL11" s="102"/>
      <c r="AM11" s="340"/>
      <c r="AN11" s="176"/>
      <c r="AO11" s="175"/>
      <c r="AP11" s="190"/>
      <c r="AQ11" s="190"/>
      <c r="AR11" s="208"/>
      <c r="AS11" s="178"/>
      <c r="AT11" s="178"/>
      <c r="AU11" s="209"/>
      <c r="AV11" s="179"/>
      <c r="AW11" s="162"/>
      <c r="AX11" s="162"/>
      <c r="AY11" s="196"/>
      <c r="AZ11" s="86"/>
      <c r="BA11" s="197"/>
      <c r="BB11" s="680">
        <f>IF(B11=0,Spas_Inputs!$C$29,0)</f>
        <v>881700</v>
      </c>
      <c r="BC11" s="198">
        <f t="shared" ref="BC11:BC44" si="5">SUM(BB11:BB11)</f>
        <v>881700</v>
      </c>
      <c r="BD11" s="197">
        <f t="shared" ref="BD11:BD44" si="6">BA11-BC11</f>
        <v>-881700</v>
      </c>
      <c r="BE11" s="681">
        <f>IF(B11=0,Spas_Inputs!$G$15+Spas_Inputs!$G$16,0)</f>
        <v>264510</v>
      </c>
      <c r="BF11" s="681">
        <f>IF(B11=0,Spas_Inputs!$G$14,0)</f>
        <v>617190</v>
      </c>
      <c r="BG11" s="79">
        <f t="shared" ref="BG11:BG44" si="7">SUM(BE11:BF11)</f>
        <v>881700</v>
      </c>
      <c r="BH11" s="196">
        <f t="shared" ref="BH11:BH44" si="8">BD11+BG11</f>
        <v>0</v>
      </c>
      <c r="BI11" s="682">
        <f>Spas_Inputs!$G$20*AVERAGE(BX11,BY11)</f>
        <v>0</v>
      </c>
      <c r="BJ11" s="231">
        <f t="shared" ref="BJ11:BJ44" si="9">AT11</f>
        <v>0</v>
      </c>
      <c r="BK11" s="210">
        <f>BD11</f>
        <v>-881700</v>
      </c>
      <c r="BL11" s="211">
        <f>BD11</f>
        <v>-881700</v>
      </c>
      <c r="BM11" s="211">
        <f>BD11</f>
        <v>-881700</v>
      </c>
      <c r="BN11" s="212"/>
      <c r="BO11" s="290">
        <f>Spas_Inputs!G14</f>
        <v>617190</v>
      </c>
      <c r="BP11" s="201"/>
      <c r="BQ11" s="201"/>
      <c r="BR11" s="202"/>
      <c r="BS11" s="203"/>
      <c r="BT11" s="196"/>
      <c r="BU11" s="683">
        <f>-Spas_Inputs!G15</f>
        <v>-264510</v>
      </c>
      <c r="BV11" s="683">
        <f>-Spas_Inputs!G15</f>
        <v>-264510</v>
      </c>
      <c r="BW11" s="683">
        <f>BH11</f>
        <v>0</v>
      </c>
      <c r="BX11" s="86"/>
      <c r="BY11" s="683">
        <f t="shared" ref="BY11:BY44" si="10">BW11+BX11</f>
        <v>0</v>
      </c>
      <c r="BZ11" s="683">
        <f>-Spas_Inputs!G15</f>
        <v>-264510</v>
      </c>
      <c r="CA11" s="86"/>
      <c r="CB11" s="214" t="e">
        <f t="shared" ref="CB11:CB44" si="11">BV11/((1+$BV$4)^B11)</f>
        <v>#VALUE!</v>
      </c>
      <c r="CC11" s="162"/>
      <c r="CD11" s="162"/>
      <c r="CE11" s="162"/>
      <c r="CF11" s="162"/>
      <c r="CG11" s="162"/>
      <c r="CH11" s="162"/>
      <c r="CI11" s="162"/>
      <c r="CJ11" s="162"/>
      <c r="CK11" s="162"/>
      <c r="CL11" s="162"/>
      <c r="CM11" s="162"/>
      <c r="CN11" s="162"/>
      <c r="CO11" s="102"/>
      <c r="CP11" s="162"/>
      <c r="CQ11" s="162"/>
      <c r="CR11" s="162"/>
      <c r="CS11" s="162"/>
      <c r="CT11" s="162"/>
      <c r="CU11" s="162"/>
      <c r="CY11" s="164"/>
      <c r="DJ11" s="75"/>
      <c r="DP11" s="75"/>
      <c r="DW11" s="75"/>
    </row>
    <row r="12" spans="2:127" s="162" customFormat="1" x14ac:dyDescent="0.3">
      <c r="B12" s="184">
        <f>B11+1</f>
        <v>1</v>
      </c>
      <c r="C12" s="346">
        <f t="shared" ref="C12:C44" si="12">YEAR(D12)</f>
        <v>2022</v>
      </c>
      <c r="D12" s="347">
        <f>EDATE(D11,12)</f>
        <v>44562</v>
      </c>
      <c r="E12" s="440">
        <f>EDATE(E11,12)</f>
        <v>44926</v>
      </c>
      <c r="F12" s="445">
        <f>IF(AND(B12&gt;0,B12&lt;=Spas_Inputs!$J$24),1,0)</f>
        <v>1</v>
      </c>
      <c r="G12" s="447">
        <f>IF(F12=1,Spas_Inputs!$F$24,0)</f>
        <v>14000</v>
      </c>
      <c r="H12" s="123">
        <f>Spas_Inputs!$J$18</f>
        <v>0.01</v>
      </c>
      <c r="I12" s="131">
        <f>IF(B12=1,Spas_Inputs!$R$15,I11*(1+H12))*F12</f>
        <v>5.82</v>
      </c>
      <c r="J12" s="131">
        <f>IF(B12=1,Spas_Inputs!$R$16,J11*(1+H12))*F12</f>
        <v>2.91</v>
      </c>
      <c r="K12" s="131">
        <f>IF(B12=1,Spas_Inputs!$R$17,K11*(1+H12))*F12</f>
        <v>11.64</v>
      </c>
      <c r="L12" s="131">
        <f>IF(B12=1,Spas_Inputs!$R$18,L11*(1+H12))*F12</f>
        <v>6.79</v>
      </c>
      <c r="M12" s="131">
        <f>IF(B12=1,Spas_Inputs!$R$19,M11*(1+H12))*F12</f>
        <v>19.400000000000002</v>
      </c>
      <c r="N12" s="131">
        <f>IF(B12=1,Spas_Inputs!$R$20,N11*(1+H12))*F12</f>
        <v>10.185</v>
      </c>
      <c r="O12" s="444">
        <f>$G12*I12*Spas_Inputs!$J$12</f>
        <v>16296</v>
      </c>
      <c r="P12" s="444">
        <f>$G12*J12*Spas_Inputs!$J$13</f>
        <v>6111</v>
      </c>
      <c r="Q12" s="444">
        <f>$G12*K12*Spas_Inputs!$J$14</f>
        <v>32592</v>
      </c>
      <c r="R12" s="444">
        <f>$G12*L12*Spas_Inputs!$J$15</f>
        <v>14259</v>
      </c>
      <c r="S12" s="444">
        <f>$G12*M12*Spas_Inputs!$J$16</f>
        <v>40740.000000000007</v>
      </c>
      <c r="T12" s="444">
        <f>$G12*N12*Spas_Inputs!$J$17</f>
        <v>21388.5</v>
      </c>
      <c r="U12" s="753">
        <f>BI11</f>
        <v>0</v>
      </c>
      <c r="V12" s="122">
        <f>SUM(O12:U12)+IF(B12=Spas_Inputs!$J$24,Spas_Inputs!$J$26,0)</f>
        <v>131386.5</v>
      </c>
      <c r="W12" s="218">
        <f>IF(B12=1,Spas_Inputs!$O$7,W11*(1+Spas_Inputs!$N$23))*F12</f>
        <v>3380</v>
      </c>
      <c r="X12" s="122">
        <f>IF(B12=1,Spas_Inputs!$O$8,X11*(1+Spas_Inputs!$N$23))*F12</f>
        <v>13811.565696302125</v>
      </c>
      <c r="Y12" s="122">
        <f>IF(B12=1,Spas_Inputs!$O$9,Y11*(1+Spas_Inputs!$N$23))*F12</f>
        <v>88170</v>
      </c>
      <c r="Z12" s="122">
        <f>IF(B12=1,Spas_Inputs!$O$10,Z11*(1+Spas_Inputs!$N$23))*F12</f>
        <v>19413.847364280096</v>
      </c>
      <c r="AA12" s="122">
        <f>IF(B12=1,Spas_Inputs!$O$11,AA11*(1+Spas_Inputs!$N$23))*F12</f>
        <v>18127.458693941779</v>
      </c>
      <c r="AB12" s="122">
        <f>IF(B12=1,Spas_Inputs!$O$12,AB11*(1+Spas_Inputs!$N$23))*F12</f>
        <v>92.248454607764188</v>
      </c>
      <c r="AC12" s="122">
        <f>IF(B12=1,Spas_Inputs!$O$13,AC11*(1+Spas_Inputs!$N$23))*F12</f>
        <v>0</v>
      </c>
      <c r="AD12" s="122">
        <f>IF(B12=1,Spas_Inputs!$O$14,AD11*(1+Spas_Inputs!$N$23))*F12</f>
        <v>656.9325</v>
      </c>
      <c r="AE12" s="122">
        <f>IF(B12=1,Spas_Inputs!$O$15,AE11*(1+Spas_Inputs!$N$23))*F12</f>
        <v>656.9325</v>
      </c>
      <c r="AF12" s="122">
        <f>IF(B12=1,Spas_Inputs!$O$16,AF11*(1+Spas_Inputs!$N$23))*F12</f>
        <v>4305.5599999999995</v>
      </c>
      <c r="AG12" s="122">
        <f>IF(B12=1,Spas_Inputs!$O$17,AG11*(1+Spas_Inputs!$N$23))*F12</f>
        <v>0</v>
      </c>
      <c r="AH12" s="181">
        <f>IF(B12=1,Spas_Inputs!$O$18,AH11*(1+Spas_Inputs!$N$23))*F12</f>
        <v>0</v>
      </c>
      <c r="AI12" s="482">
        <f>IF(B12=1,Spas_Inputs!$O$19,AI11*(1+Spas_Inputs!$N$23))*F12</f>
        <v>0</v>
      </c>
      <c r="AJ12" s="122">
        <f>IF(B12=1,Spas_Inputs!$O$20,AJ11*(1+Spas_Inputs!$N$23))*F12</f>
        <v>0</v>
      </c>
      <c r="AK12" s="122">
        <f>IF(B12=1,Spas_Inputs!$O$21,AK11*(1+Spas_Inputs!$N$23))*F12</f>
        <v>0</v>
      </c>
      <c r="AL12" s="132">
        <f>IF(B12=1,Spas_Inputs!$O$22,AL11*(1+Spas_Inputs!$N$23))*F12</f>
        <v>0</v>
      </c>
      <c r="AM12" s="132">
        <f t="shared" ref="AM12:AM44" si="13">SUM(W12:AL12)*F12</f>
        <v>148614.54520913176</v>
      </c>
      <c r="AN12" s="122">
        <f t="shared" ref="AN12:AN44" si="14">V12-AM12</f>
        <v>-17228.045209131757</v>
      </c>
      <c r="AO12" s="219">
        <f t="shared" ref="AO12:AO44" si="15">IFERROR(AN12/V12,0)</f>
        <v>-0.13112492690749625</v>
      </c>
      <c r="AP12" s="220">
        <f>Deprec!X11</f>
        <v>35268</v>
      </c>
      <c r="AQ12" s="122">
        <f t="shared" ref="AQ12:AQ44" si="16">AN12-AP12</f>
        <v>-52496.045209131757</v>
      </c>
      <c r="AR12" s="221">
        <f>BP12</f>
        <v>69742.47</v>
      </c>
      <c r="AS12" s="122">
        <f>AQ12-AR12</f>
        <v>-122238.51520913176</v>
      </c>
      <c r="AT12" s="438">
        <f>IF(AS12&lt;0,0,(AS12*Spas_Inputs!$J$21))</f>
        <v>0</v>
      </c>
      <c r="AU12" s="122">
        <f>AS12-AT12</f>
        <v>-122238.51520913176</v>
      </c>
      <c r="AV12" s="123">
        <f t="shared" ref="AV12:AV44" si="17">IFERROR(AU12/V12,0)</f>
        <v>-0.93037347984101681</v>
      </c>
      <c r="AW12" s="185"/>
      <c r="AX12" s="185"/>
      <c r="AY12" s="218">
        <f t="shared" ref="AY12:AY44" si="18">V12</f>
        <v>131386.5</v>
      </c>
      <c r="AZ12" s="122">
        <f t="shared" ref="AZ12:AZ44" si="19">AM12</f>
        <v>148614.54520913176</v>
      </c>
      <c r="BA12" s="438">
        <f>AY12-AZ12</f>
        <v>-17228.045209131757</v>
      </c>
      <c r="BB12" s="218">
        <f>IF(B12=0,Spas_Inputs!$C$29,0)</f>
        <v>0</v>
      </c>
      <c r="BC12" s="435">
        <f t="shared" si="5"/>
        <v>0</v>
      </c>
      <c r="BD12" s="438">
        <f t="shared" si="6"/>
        <v>-17228.045209131757</v>
      </c>
      <c r="BE12" s="184">
        <f>IF(B12=0,Spas_Inputs!$G$15+Spas_Inputs!$G$16,0)</f>
        <v>0</v>
      </c>
      <c r="BF12" s="185">
        <f>IF(B12=0,Spas_Inputs!$G$14,0)</f>
        <v>0</v>
      </c>
      <c r="BG12" s="132">
        <f t="shared" si="7"/>
        <v>0</v>
      </c>
      <c r="BH12" s="218">
        <f t="shared" si="8"/>
        <v>-17228.045209131757</v>
      </c>
      <c r="BI12" s="218">
        <f>Spas_Inputs!$G$20*AVERAGE(BX12,BY12)</f>
        <v>0</v>
      </c>
      <c r="BJ12" s="132">
        <f t="shared" si="9"/>
        <v>0</v>
      </c>
      <c r="BK12" s="132">
        <f t="shared" ref="BK12:BK44" si="20">BM12+BJ12-U12</f>
        <v>-17228.045209131757</v>
      </c>
      <c r="BL12" s="122">
        <f t="shared" ref="BL12:BL44" si="21">BM12-U12</f>
        <v>-17228.045209131757</v>
      </c>
      <c r="BM12" s="438">
        <f t="shared" ref="BM12:BM44" si="22">BH12-BJ12</f>
        <v>-17228.045209131757</v>
      </c>
      <c r="BN12" s="122">
        <f>BO11</f>
        <v>617190</v>
      </c>
      <c r="BO12" s="122">
        <f>BN12-BQ12</f>
        <v>580810.89076222864</v>
      </c>
      <c r="BP12" s="122">
        <f>-Debt_Calc!CE10</f>
        <v>69742.47</v>
      </c>
      <c r="BQ12" s="122">
        <f>Debt_Calc!CF10</f>
        <v>36379.109237771365</v>
      </c>
      <c r="BR12" s="122">
        <f t="shared" ref="BR12:BR44" si="23">SUM(BP12:BQ12)</f>
        <v>106121.57923777137</v>
      </c>
      <c r="BS12" s="217">
        <f>IFERROR(BM12/BR12,0)</f>
        <v>-0.16234252574145502</v>
      </c>
      <c r="BT12" s="122">
        <f>BM12-BR12</f>
        <v>-123349.62444690312</v>
      </c>
      <c r="BU12" s="122">
        <f t="shared" ref="BU12:BU44" si="24">BT12+BJ12</f>
        <v>-123349.62444690312</v>
      </c>
      <c r="BV12" s="122">
        <f>BT12+BX12</f>
        <v>-123349.62444690312</v>
      </c>
      <c r="BW12" s="122">
        <f t="shared" ref="BW12:BW44" si="25">BT12-BV12</f>
        <v>0</v>
      </c>
      <c r="BX12" s="122">
        <f t="shared" ref="BX12:BX44" si="26">BY11</f>
        <v>0</v>
      </c>
      <c r="BY12" s="122">
        <f t="shared" si="10"/>
        <v>0</v>
      </c>
      <c r="BZ12" s="122">
        <f t="shared" ref="BZ12:BZ44" si="27">BV12+BZ11</f>
        <v>-387859.62444690312</v>
      </c>
      <c r="CA12" s="122">
        <f>IF(CA11&gt;=1,2,IF(BZ12&gt;0,1,0))</f>
        <v>0</v>
      </c>
      <c r="CB12" s="222" t="e">
        <f t="shared" si="11"/>
        <v>#VALUE!</v>
      </c>
      <c r="CC12" s="102"/>
      <c r="CD12" s="102"/>
      <c r="CE12" s="102"/>
      <c r="CF12" s="102"/>
      <c r="CG12" s="102"/>
      <c r="CO12" s="102"/>
      <c r="CY12" s="349"/>
      <c r="CZ12" s="102"/>
      <c r="DA12" s="102"/>
      <c r="DB12" s="102"/>
      <c r="DC12" s="102"/>
      <c r="DD12" s="102"/>
      <c r="DE12" s="102"/>
      <c r="DF12" s="102"/>
      <c r="DG12" s="102"/>
      <c r="DH12" s="102"/>
      <c r="DI12" s="102"/>
      <c r="DJ12" s="79"/>
      <c r="DP12" s="79"/>
      <c r="DW12" s="79"/>
    </row>
    <row r="13" spans="2:127" s="193" customFormat="1" x14ac:dyDescent="0.3">
      <c r="B13" s="192">
        <f t="shared" ref="B13:B44" si="28">B12+1</f>
        <v>2</v>
      </c>
      <c r="C13" s="350">
        <f t="shared" si="12"/>
        <v>2023</v>
      </c>
      <c r="D13" s="351">
        <f t="shared" ref="D13:E28" si="29">EDATE(D12,12)</f>
        <v>44927</v>
      </c>
      <c r="E13" s="441">
        <f t="shared" si="29"/>
        <v>45291</v>
      </c>
      <c r="F13" s="445">
        <f>IF(AND(B13&gt;0,B13&lt;=Spas_Inputs!$J$24),1,0)</f>
        <v>1</v>
      </c>
      <c r="G13" s="447">
        <f>IF(F13=1,Spas_Inputs!$F$24,0)</f>
        <v>14000</v>
      </c>
      <c r="H13" s="123">
        <f>Spas_Inputs!$J$18</f>
        <v>0.01</v>
      </c>
      <c r="I13" s="131">
        <f>IF(B13=1,Spas_Inputs!$R$15,I12*(1+H13))*F13</f>
        <v>5.8782000000000005</v>
      </c>
      <c r="J13" s="131">
        <f>IF(B13=1,Spas_Inputs!$R$16,J12*(1+H13))*F13</f>
        <v>2.9391000000000003</v>
      </c>
      <c r="K13" s="131">
        <f>IF(B13=1,Spas_Inputs!$R$17,K12*(1+H13))*F13</f>
        <v>11.756400000000001</v>
      </c>
      <c r="L13" s="131">
        <f>IF(B13=1,Spas_Inputs!$R$18,L12*(1+H13))*F13</f>
        <v>6.8578999999999999</v>
      </c>
      <c r="M13" s="131">
        <f>IF(B13=1,Spas_Inputs!$R$19,M12*(1+H13))*F13</f>
        <v>19.594000000000001</v>
      </c>
      <c r="N13" s="131">
        <f>IF(B13=1,Spas_Inputs!$R$20,N12*(1+H13))*F13</f>
        <v>10.286850000000001</v>
      </c>
      <c r="O13" s="444">
        <f>$G13*I13*Spas_Inputs!$J$12</f>
        <v>16458.960000000003</v>
      </c>
      <c r="P13" s="444">
        <f>$G13*J13*Spas_Inputs!$J$13</f>
        <v>6172.11</v>
      </c>
      <c r="Q13" s="444">
        <f>$G13*K13*Spas_Inputs!$J$14</f>
        <v>32917.920000000006</v>
      </c>
      <c r="R13" s="444">
        <f>$G13*L13*Spas_Inputs!$J$15</f>
        <v>14401.589999999998</v>
      </c>
      <c r="S13" s="444">
        <f>$G13*M13*Spas_Inputs!$J$16</f>
        <v>41147.4</v>
      </c>
      <c r="T13" s="444">
        <f>$G13*N13*Spas_Inputs!$J$17</f>
        <v>21602.385000000002</v>
      </c>
      <c r="U13" s="754">
        <f t="shared" ref="U13:U44" si="30">BI12</f>
        <v>0</v>
      </c>
      <c r="V13" s="122">
        <f>SUM(O13:U13)+IF(B13=Spas_Inputs!$J$24,Spas_Inputs!$J$26,0)</f>
        <v>132700.36500000002</v>
      </c>
      <c r="W13" s="218">
        <f>IF(B13=1,Spas_Inputs!$O$7,W12*(1+Spas_Inputs!$N$23))*F13</f>
        <v>3413.8</v>
      </c>
      <c r="X13" s="122">
        <f>IF(B13=1,Spas_Inputs!$O$8,X12*(1+Spas_Inputs!$N$23))*F13</f>
        <v>13949.681353265147</v>
      </c>
      <c r="Y13" s="122">
        <f>IF(B13=1,Spas_Inputs!$O$9,Y12*(1+Spas_Inputs!$N$23))*F13</f>
        <v>89051.7</v>
      </c>
      <c r="Z13" s="122">
        <f>IF(B13=1,Spas_Inputs!$O$10,Z12*(1+Spas_Inputs!$N$23))*F13</f>
        <v>19607.985837922897</v>
      </c>
      <c r="AA13" s="122">
        <f>IF(B13=1,Spas_Inputs!$O$11,AA12*(1+Spas_Inputs!$N$23))*F13</f>
        <v>18308.733280881195</v>
      </c>
      <c r="AB13" s="122">
        <f>IF(B13=1,Spas_Inputs!$O$12,AB12*(1+Spas_Inputs!$N$23))*F13</f>
        <v>93.170939153841829</v>
      </c>
      <c r="AC13" s="122">
        <f>IF(B13=1,Spas_Inputs!$O$13,AC12*(1+Spas_Inputs!$N$23))*F13</f>
        <v>0</v>
      </c>
      <c r="AD13" s="122">
        <f>IF(B13=1,Spas_Inputs!$O$14,AD12*(1+Spas_Inputs!$N$23))*F13</f>
        <v>663.50182500000005</v>
      </c>
      <c r="AE13" s="122">
        <f>IF(B13=1,Spas_Inputs!$O$15,AE12*(1+Spas_Inputs!$N$23))*F13</f>
        <v>663.50182500000005</v>
      </c>
      <c r="AF13" s="122">
        <f>IF(B13=1,Spas_Inputs!$O$16,AF12*(1+Spas_Inputs!$N$23))*F13</f>
        <v>4348.6155999999992</v>
      </c>
      <c r="AG13" s="122">
        <f>IF(B13=1,Spas_Inputs!$O$17,AG12*(1+Spas_Inputs!$N$23))*F13</f>
        <v>0</v>
      </c>
      <c r="AH13" s="181">
        <f>IF(B13=1,Spas_Inputs!$O$18,AH12*(1+Spas_Inputs!$N$23))*F13</f>
        <v>0</v>
      </c>
      <c r="AI13" s="482">
        <f>IF(B13=1,Spas_Inputs!$O$19,AI12*(1+Spas_Inputs!$N$23))*F13</f>
        <v>0</v>
      </c>
      <c r="AJ13" s="122">
        <f>IF(B13=1,Spas_Inputs!$O$20,AJ12*(1+Spas_Inputs!$N$23))*F13</f>
        <v>0</v>
      </c>
      <c r="AK13" s="122">
        <f>IF(B13=1,Spas_Inputs!$O$21,AK12*(1+Spas_Inputs!$N$23))*F13</f>
        <v>0</v>
      </c>
      <c r="AL13" s="132">
        <f>IF(B13=1,Spas_Inputs!$O$22,AL12*(1+Spas_Inputs!$N$23))*F13</f>
        <v>0</v>
      </c>
      <c r="AM13" s="200">
        <f t="shared" si="13"/>
        <v>150100.69066122311</v>
      </c>
      <c r="AN13" s="86">
        <f t="shared" si="14"/>
        <v>-17400.325661223091</v>
      </c>
      <c r="AO13" s="225">
        <f t="shared" si="15"/>
        <v>-0.13112492690749636</v>
      </c>
      <c r="AP13" s="220">
        <f>Deprec!X12</f>
        <v>35268</v>
      </c>
      <c r="AQ13" s="86">
        <f t="shared" si="16"/>
        <v>-52668.325661223091</v>
      </c>
      <c r="AR13" s="455">
        <f t="shared" ref="AR13:AR44" si="31">BP13</f>
        <v>65631.630656131834</v>
      </c>
      <c r="AS13" s="86">
        <f t="shared" ref="AS13:AS44" si="32">AQ13-AR13</f>
        <v>-118299.95631735492</v>
      </c>
      <c r="AT13" s="438">
        <f>IF(AS13&lt;0,0,(AS13*Spas_Inputs!$J$21))</f>
        <v>0</v>
      </c>
      <c r="AU13" s="86">
        <f t="shared" ref="AU13:AU44" si="33">AS13-AT13</f>
        <v>-118299.95631735492</v>
      </c>
      <c r="AV13" s="226">
        <f t="shared" si="17"/>
        <v>-0.89148177035801601</v>
      </c>
      <c r="AY13" s="196">
        <f t="shared" si="18"/>
        <v>132700.36500000002</v>
      </c>
      <c r="AZ13" s="86">
        <f t="shared" si="19"/>
        <v>150100.69066122311</v>
      </c>
      <c r="BA13" s="197">
        <f t="shared" ref="BA13:BA44" si="34">AY13-AZ13</f>
        <v>-17400.325661223091</v>
      </c>
      <c r="BB13" s="218">
        <f>IF(B13=0,Spas_Inputs!$C$29,0)</f>
        <v>0</v>
      </c>
      <c r="BC13" s="198">
        <f t="shared" si="5"/>
        <v>0</v>
      </c>
      <c r="BD13" s="197">
        <f t="shared" si="6"/>
        <v>-17400.325661223091</v>
      </c>
      <c r="BE13" s="184">
        <f>IF(B13=0,Spas_Inputs!$G$15+Spas_Inputs!$G$16,0)</f>
        <v>0</v>
      </c>
      <c r="BF13" s="185">
        <f>IF(B13=0,Spas_Inputs!$G$14,0)</f>
        <v>0</v>
      </c>
      <c r="BG13" s="200">
        <f t="shared" si="7"/>
        <v>0</v>
      </c>
      <c r="BH13" s="196">
        <f t="shared" si="8"/>
        <v>-17400.325661223091</v>
      </c>
      <c r="BI13" s="218">
        <f>Spas_Inputs!$G$20*AVERAGE(BX13,BY13)</f>
        <v>0</v>
      </c>
      <c r="BJ13" s="200">
        <f t="shared" si="9"/>
        <v>0</v>
      </c>
      <c r="BK13" s="200">
        <f t="shared" si="20"/>
        <v>-17400.325661223091</v>
      </c>
      <c r="BL13" s="86">
        <f t="shared" si="21"/>
        <v>-17400.325661223091</v>
      </c>
      <c r="BM13" s="197">
        <f t="shared" si="22"/>
        <v>-17400.325661223091</v>
      </c>
      <c r="BN13" s="86">
        <f t="shared" ref="BN13:BN44" si="35">BO12</f>
        <v>580810.89076222864</v>
      </c>
      <c r="BO13" s="86">
        <f t="shared" ref="BO13:BO44" si="36">BN13-BQ13</f>
        <v>540320.94218058907</v>
      </c>
      <c r="BP13" s="122">
        <f>-Debt_Calc!CE11</f>
        <v>65631.630656131834</v>
      </c>
      <c r="BQ13" s="122">
        <f>Debt_Calc!CF11</f>
        <v>40489.948581639546</v>
      </c>
      <c r="BR13" s="86">
        <f t="shared" si="23"/>
        <v>106121.57923777138</v>
      </c>
      <c r="BS13" s="423">
        <f t="shared" ref="BS13:BS44" si="37">IFERROR(BM13/BR13,0)</f>
        <v>-0.16396595099886971</v>
      </c>
      <c r="BT13" s="86">
        <f t="shared" ref="BT13:BT44" si="38">BM13-BR13</f>
        <v>-123521.90489899447</v>
      </c>
      <c r="BU13" s="86">
        <f t="shared" si="24"/>
        <v>-123521.90489899447</v>
      </c>
      <c r="BV13" s="86">
        <f t="shared" ref="BV13:BV44" si="39">BT13+BX13</f>
        <v>-123521.90489899447</v>
      </c>
      <c r="BW13" s="86">
        <f t="shared" si="25"/>
        <v>0</v>
      </c>
      <c r="BX13" s="86">
        <f t="shared" si="26"/>
        <v>0</v>
      </c>
      <c r="BY13" s="86">
        <f t="shared" si="10"/>
        <v>0</v>
      </c>
      <c r="BZ13" s="86">
        <f t="shared" si="27"/>
        <v>-511381.52934589761</v>
      </c>
      <c r="CA13" s="86">
        <f t="shared" ref="CA13:CA44" si="40">IF(CA12&gt;=1,2,IF(BZ13&gt;0,1,0))</f>
        <v>0</v>
      </c>
      <c r="CB13" s="214" t="e">
        <f t="shared" si="11"/>
        <v>#VALUE!</v>
      </c>
      <c r="CC13" s="102"/>
      <c r="CD13" s="102"/>
      <c r="CE13" s="102"/>
      <c r="CF13" s="102"/>
      <c r="CG13" s="102"/>
      <c r="CO13" s="102"/>
      <c r="CY13" s="102"/>
      <c r="CZ13" s="102"/>
      <c r="DA13" s="102"/>
      <c r="DB13" s="102"/>
      <c r="DC13" s="102"/>
      <c r="DD13" s="102"/>
      <c r="DE13" s="102"/>
      <c r="DF13" s="102"/>
      <c r="DG13" s="102"/>
      <c r="DH13" s="102"/>
      <c r="DI13" s="102"/>
      <c r="DJ13" s="86"/>
      <c r="DP13" s="86"/>
      <c r="DW13" s="86"/>
    </row>
    <row r="14" spans="2:127" s="193" customFormat="1" x14ac:dyDescent="0.3">
      <c r="B14" s="192">
        <f t="shared" si="28"/>
        <v>3</v>
      </c>
      <c r="C14" s="350">
        <f t="shared" si="12"/>
        <v>2024</v>
      </c>
      <c r="D14" s="351">
        <f t="shared" si="29"/>
        <v>45292</v>
      </c>
      <c r="E14" s="441">
        <f>EDATE(E13,12)</f>
        <v>45657</v>
      </c>
      <c r="F14" s="445">
        <f>IF(AND(B14&gt;0,B14&lt;=Spas_Inputs!$J$24),1,0)</f>
        <v>1</v>
      </c>
      <c r="G14" s="447">
        <f>IF(F14=1,Spas_Inputs!$F$24,0)</f>
        <v>14000</v>
      </c>
      <c r="H14" s="123">
        <f>Spas_Inputs!$J$18</f>
        <v>0.01</v>
      </c>
      <c r="I14" s="131">
        <f>IF(B14=1,Spas_Inputs!$R$15,I13*(1+H14))*F14</f>
        <v>5.9369820000000004</v>
      </c>
      <c r="J14" s="131">
        <f>IF(B14=1,Spas_Inputs!$R$16,J13*(1+H14))*F14</f>
        <v>2.9684910000000002</v>
      </c>
      <c r="K14" s="131">
        <f>IF(B14=1,Spas_Inputs!$R$17,K13*(1+H14))*F14</f>
        <v>11.873964000000001</v>
      </c>
      <c r="L14" s="131">
        <f>IF(B14=1,Spas_Inputs!$R$18,L13*(1+H14))*F14</f>
        <v>6.9264789999999996</v>
      </c>
      <c r="M14" s="131">
        <f>IF(B14=1,Spas_Inputs!$R$19,M13*(1+H14))*F14</f>
        <v>19.789940000000001</v>
      </c>
      <c r="N14" s="131">
        <f>IF(B14=1,Spas_Inputs!$R$20,N13*(1+H14))*F14</f>
        <v>10.389718500000001</v>
      </c>
      <c r="O14" s="444">
        <f>$G14*I14*Spas_Inputs!$J$12</f>
        <v>16623.549600000002</v>
      </c>
      <c r="P14" s="444">
        <f>$G14*J14*Spas_Inputs!$J$13</f>
        <v>6233.8311000000003</v>
      </c>
      <c r="Q14" s="444">
        <f>$G14*K14*Spas_Inputs!$J$14</f>
        <v>33247.099200000004</v>
      </c>
      <c r="R14" s="444">
        <f>$G14*L14*Spas_Inputs!$J$15</f>
        <v>14545.605899999999</v>
      </c>
      <c r="S14" s="444">
        <f>$G14*M14*Spas_Inputs!$J$16</f>
        <v>41558.874000000003</v>
      </c>
      <c r="T14" s="444">
        <f>$G14*N14*Spas_Inputs!$J$17</f>
        <v>21818.40885</v>
      </c>
      <c r="U14" s="754">
        <f t="shared" si="30"/>
        <v>0</v>
      </c>
      <c r="V14" s="122">
        <f>SUM(O14:U14)+IF(B14=Spas_Inputs!$J$24,Spas_Inputs!$J$26,0)</f>
        <v>134027.36865000002</v>
      </c>
      <c r="W14" s="218">
        <f>IF(B14=1,Spas_Inputs!$O$7,W13*(1+Spas_Inputs!$N$23))*F14</f>
        <v>3447.9380000000001</v>
      </c>
      <c r="X14" s="122">
        <f>IF(B14=1,Spas_Inputs!$O$8,X13*(1+Spas_Inputs!$N$23))*F14</f>
        <v>14089.178166797798</v>
      </c>
      <c r="Y14" s="122">
        <f>IF(B14=1,Spas_Inputs!$O$9,Y13*(1+Spas_Inputs!$N$23))*F14</f>
        <v>89942.217000000004</v>
      </c>
      <c r="Z14" s="122">
        <f>IF(B14=1,Spas_Inputs!$O$10,Z13*(1+Spas_Inputs!$N$23))*F14</f>
        <v>19804.065696302125</v>
      </c>
      <c r="AA14" s="122">
        <f>IF(B14=1,Spas_Inputs!$O$11,AA13*(1+Spas_Inputs!$N$23))*F14</f>
        <v>18491.820613690008</v>
      </c>
      <c r="AB14" s="122">
        <f>IF(B14=1,Spas_Inputs!$O$12,AB13*(1+Spas_Inputs!$N$23))*F14</f>
        <v>94.102648545380248</v>
      </c>
      <c r="AC14" s="122">
        <f>IF(B14=1,Spas_Inputs!$O$13,AC13*(1+Spas_Inputs!$N$23))*F14</f>
        <v>0</v>
      </c>
      <c r="AD14" s="122">
        <f>IF(B14=1,Spas_Inputs!$O$14,AD13*(1+Spas_Inputs!$N$23))*F14</f>
        <v>670.13684325000008</v>
      </c>
      <c r="AE14" s="122">
        <f>IF(B14=1,Spas_Inputs!$O$15,AE13*(1+Spas_Inputs!$N$23))*F14</f>
        <v>670.13684325000008</v>
      </c>
      <c r="AF14" s="122">
        <f>IF(B14=1,Spas_Inputs!$O$16,AF13*(1+Spas_Inputs!$N$23))*F14</f>
        <v>4392.1017559999991</v>
      </c>
      <c r="AG14" s="122">
        <f>IF(B14=1,Spas_Inputs!$O$17,AG13*(1+Spas_Inputs!$N$23))*F14</f>
        <v>0</v>
      </c>
      <c r="AH14" s="181">
        <f>IF(B14=1,Spas_Inputs!$O$18,AH13*(1+Spas_Inputs!$N$23))*F14</f>
        <v>0</v>
      </c>
      <c r="AI14" s="482">
        <f>IF(B14=1,Spas_Inputs!$O$19,AI13*(1+Spas_Inputs!$N$23))*F14</f>
        <v>0</v>
      </c>
      <c r="AJ14" s="122">
        <f>IF(B14=1,Spas_Inputs!$O$20,AJ13*(1+Spas_Inputs!$N$23))*F14</f>
        <v>0</v>
      </c>
      <c r="AK14" s="122">
        <f>IF(B14=1,Spas_Inputs!$O$21,AK13*(1+Spas_Inputs!$N$23))*F14</f>
        <v>0</v>
      </c>
      <c r="AL14" s="132">
        <f>IF(B14=1,Spas_Inputs!$O$22,AL13*(1+Spas_Inputs!$N$23))*F14</f>
        <v>0</v>
      </c>
      <c r="AM14" s="200">
        <f t="shared" si="13"/>
        <v>151601.69756783528</v>
      </c>
      <c r="AN14" s="86">
        <f t="shared" si="14"/>
        <v>-17574.328917835257</v>
      </c>
      <c r="AO14" s="225">
        <f t="shared" si="15"/>
        <v>-0.13112492690749589</v>
      </c>
      <c r="AP14" s="220">
        <f>Deprec!X13</f>
        <v>35268</v>
      </c>
      <c r="AQ14" s="86">
        <f t="shared" si="16"/>
        <v>-52842.328917835257</v>
      </c>
      <c r="AR14" s="455">
        <f t="shared" si="31"/>
        <v>61056.266466406567</v>
      </c>
      <c r="AS14" s="86">
        <f t="shared" si="32"/>
        <v>-113898.59538424182</v>
      </c>
      <c r="AT14" s="438">
        <f>IF(AS14&lt;0,0,(AS14*Spas_Inputs!$J$21))</f>
        <v>0</v>
      </c>
      <c r="AU14" s="86">
        <f t="shared" si="33"/>
        <v>-113898.59538424182</v>
      </c>
      <c r="AV14" s="226">
        <f t="shared" si="17"/>
        <v>-0.84981594827603746</v>
      </c>
      <c r="AY14" s="196">
        <f t="shared" si="18"/>
        <v>134027.36865000002</v>
      </c>
      <c r="AZ14" s="86">
        <f t="shared" si="19"/>
        <v>151601.69756783528</v>
      </c>
      <c r="BA14" s="197">
        <f t="shared" si="34"/>
        <v>-17574.328917835257</v>
      </c>
      <c r="BB14" s="218">
        <f>IF(B14=0,Spas_Inputs!$C$29,0)</f>
        <v>0</v>
      </c>
      <c r="BC14" s="198">
        <f t="shared" si="5"/>
        <v>0</v>
      </c>
      <c r="BD14" s="197">
        <f t="shared" si="6"/>
        <v>-17574.328917835257</v>
      </c>
      <c r="BE14" s="184">
        <f>IF(B14=0,Spas_Inputs!$G$15+Spas_Inputs!$G$16,0)</f>
        <v>0</v>
      </c>
      <c r="BF14" s="185">
        <f>IF(B14=0,Spas_Inputs!$G$14,0)</f>
        <v>0</v>
      </c>
      <c r="BG14" s="200">
        <f t="shared" si="7"/>
        <v>0</v>
      </c>
      <c r="BH14" s="196">
        <f t="shared" si="8"/>
        <v>-17574.328917835257</v>
      </c>
      <c r="BI14" s="218">
        <f>Spas_Inputs!$G$20*AVERAGE(BX14,BY14)</f>
        <v>0</v>
      </c>
      <c r="BJ14" s="200">
        <f t="shared" si="9"/>
        <v>0</v>
      </c>
      <c r="BK14" s="200">
        <f t="shared" si="20"/>
        <v>-17574.328917835257</v>
      </c>
      <c r="BL14" s="86">
        <f t="shared" si="21"/>
        <v>-17574.328917835257</v>
      </c>
      <c r="BM14" s="197">
        <f t="shared" si="22"/>
        <v>-17574.328917835257</v>
      </c>
      <c r="BN14" s="86">
        <f t="shared" si="35"/>
        <v>540320.94218058907</v>
      </c>
      <c r="BO14" s="86">
        <f t="shared" si="36"/>
        <v>495255.62940922426</v>
      </c>
      <c r="BP14" s="122">
        <f>-Debt_Calc!CE12</f>
        <v>61056.266466406567</v>
      </c>
      <c r="BQ14" s="122">
        <f>Debt_Calc!CF12</f>
        <v>45065.312771364799</v>
      </c>
      <c r="BR14" s="86">
        <f t="shared" si="23"/>
        <v>106121.57923777137</v>
      </c>
      <c r="BS14" s="423">
        <f t="shared" si="37"/>
        <v>-0.1656056105088578</v>
      </c>
      <c r="BT14" s="86">
        <f t="shared" si="38"/>
        <v>-123695.90815560662</v>
      </c>
      <c r="BU14" s="86">
        <f t="shared" si="24"/>
        <v>-123695.90815560662</v>
      </c>
      <c r="BV14" s="86">
        <f t="shared" si="39"/>
        <v>-123695.90815560662</v>
      </c>
      <c r="BW14" s="86">
        <f t="shared" si="25"/>
        <v>0</v>
      </c>
      <c r="BX14" s="86">
        <f t="shared" si="26"/>
        <v>0</v>
      </c>
      <c r="BY14" s="86">
        <f t="shared" si="10"/>
        <v>0</v>
      </c>
      <c r="BZ14" s="86">
        <f t="shared" si="27"/>
        <v>-635077.4375015042</v>
      </c>
      <c r="CA14" s="86">
        <f t="shared" si="40"/>
        <v>0</v>
      </c>
      <c r="CB14" s="214" t="e">
        <f t="shared" si="11"/>
        <v>#VALUE!</v>
      </c>
      <c r="CC14" s="102"/>
      <c r="CD14" s="102"/>
      <c r="CE14" s="102"/>
      <c r="CF14" s="102"/>
      <c r="CG14" s="102"/>
      <c r="CO14" s="102"/>
      <c r="CY14" s="102"/>
      <c r="CZ14" s="102"/>
      <c r="DA14" s="102"/>
      <c r="DB14" s="102"/>
      <c r="DC14" s="102"/>
      <c r="DD14" s="102"/>
      <c r="DE14" s="102"/>
      <c r="DF14" s="102"/>
      <c r="DG14" s="102"/>
      <c r="DH14" s="102"/>
      <c r="DI14" s="102"/>
      <c r="DJ14" s="86"/>
      <c r="DP14" s="86"/>
      <c r="DW14" s="86"/>
    </row>
    <row r="15" spans="2:127" s="86" customFormat="1" x14ac:dyDescent="0.3">
      <c r="B15" s="192">
        <f t="shared" si="28"/>
        <v>4</v>
      </c>
      <c r="C15" s="350">
        <f t="shared" si="12"/>
        <v>2025</v>
      </c>
      <c r="D15" s="351">
        <f t="shared" si="29"/>
        <v>45658</v>
      </c>
      <c r="E15" s="441">
        <f t="shared" si="29"/>
        <v>46022</v>
      </c>
      <c r="F15" s="445">
        <f>IF(AND(B15&gt;0,B15&lt;=Spas_Inputs!$J$24),1,0)</f>
        <v>1</v>
      </c>
      <c r="G15" s="447">
        <f>IF(F15=1,Spas_Inputs!$F$24,0)</f>
        <v>14000</v>
      </c>
      <c r="H15" s="123">
        <f>Spas_Inputs!$J$18</f>
        <v>0.01</v>
      </c>
      <c r="I15" s="131">
        <f>IF(B15=1,Spas_Inputs!$R$15,I14*(1+H15))*F15</f>
        <v>5.9963518200000001</v>
      </c>
      <c r="J15" s="131">
        <f>IF(B15=1,Spas_Inputs!$R$16,J14*(1+H15))*F15</f>
        <v>2.9981759100000001</v>
      </c>
      <c r="K15" s="131">
        <f>IF(B15=1,Spas_Inputs!$R$17,K14*(1+H15))*F15</f>
        <v>11.99270364</v>
      </c>
      <c r="L15" s="131">
        <f>IF(B15=1,Spas_Inputs!$R$18,L14*(1+H15))*F15</f>
        <v>6.9957437899999997</v>
      </c>
      <c r="M15" s="131">
        <f>IF(B15=1,Spas_Inputs!$R$19,M14*(1+H15))*F15</f>
        <v>19.987839400000002</v>
      </c>
      <c r="N15" s="131">
        <f>IF(B15=1,Spas_Inputs!$R$20,N14*(1+H15))*F15</f>
        <v>10.493615685</v>
      </c>
      <c r="O15" s="444">
        <f>$G15*I15*Spas_Inputs!$J$12</f>
        <v>16789.785096000003</v>
      </c>
      <c r="P15" s="444">
        <f>$G15*J15*Spas_Inputs!$J$13</f>
        <v>6296.1694109999999</v>
      </c>
      <c r="Q15" s="444">
        <f>$G15*K15*Spas_Inputs!$J$14</f>
        <v>33579.570192000007</v>
      </c>
      <c r="R15" s="444">
        <f>$G15*L15*Spas_Inputs!$J$15</f>
        <v>14691.061958999999</v>
      </c>
      <c r="S15" s="444">
        <f>$G15*M15*Spas_Inputs!$J$16</f>
        <v>41974.462740000003</v>
      </c>
      <c r="T15" s="444">
        <f>$G15*N15*Spas_Inputs!$J$17</f>
        <v>22036.592938499998</v>
      </c>
      <c r="U15" s="754">
        <f t="shared" si="30"/>
        <v>0</v>
      </c>
      <c r="V15" s="122">
        <f>SUM(O15:U15)+IF(B15=Spas_Inputs!$J$24,Spas_Inputs!$J$26,0)</f>
        <v>135367.64233650002</v>
      </c>
      <c r="W15" s="218">
        <f>IF(B15=1,Spas_Inputs!$O$7,W14*(1+Spas_Inputs!$N$23))*F15</f>
        <v>3482.4173800000003</v>
      </c>
      <c r="X15" s="122">
        <f>IF(B15=1,Spas_Inputs!$O$8,X14*(1+Spas_Inputs!$N$23))*F15</f>
        <v>14230.069948465776</v>
      </c>
      <c r="Y15" s="122">
        <f>IF(B15=1,Spas_Inputs!$O$9,Y14*(1+Spas_Inputs!$N$23))*F15</f>
        <v>90841.639170000009</v>
      </c>
      <c r="Z15" s="122">
        <f>IF(B15=1,Spas_Inputs!$O$10,Z14*(1+Spas_Inputs!$N$23))*F15</f>
        <v>20002.106353265146</v>
      </c>
      <c r="AA15" s="122">
        <f>IF(B15=1,Spas_Inputs!$O$11,AA14*(1+Spas_Inputs!$N$23))*F15</f>
        <v>18676.738819826907</v>
      </c>
      <c r="AB15" s="122">
        <f>IF(B15=1,Spas_Inputs!$O$12,AB14*(1+Spas_Inputs!$N$23))*F15</f>
        <v>95.043675030834052</v>
      </c>
      <c r="AC15" s="122">
        <f>IF(B15=1,Spas_Inputs!$O$13,AC14*(1+Spas_Inputs!$N$23))*F15</f>
        <v>0</v>
      </c>
      <c r="AD15" s="122">
        <f>IF(B15=1,Spas_Inputs!$O$14,AD14*(1+Spas_Inputs!$N$23))*F15</f>
        <v>676.83821168250006</v>
      </c>
      <c r="AE15" s="122">
        <f>IF(B15=1,Spas_Inputs!$O$15,AE14*(1+Spas_Inputs!$N$23))*F15</f>
        <v>676.83821168250006</v>
      </c>
      <c r="AF15" s="122">
        <f>IF(B15=1,Spas_Inputs!$O$16,AF14*(1+Spas_Inputs!$N$23))*F15</f>
        <v>4436.0227735599992</v>
      </c>
      <c r="AG15" s="122">
        <f>IF(B15=1,Spas_Inputs!$O$17,AG14*(1+Spas_Inputs!$N$23))*F15</f>
        <v>0</v>
      </c>
      <c r="AH15" s="181">
        <f>IF(B15=1,Spas_Inputs!$O$18,AH14*(1+Spas_Inputs!$N$23))*F15</f>
        <v>0</v>
      </c>
      <c r="AI15" s="482">
        <f>IF(B15=1,Spas_Inputs!$O$19,AI14*(1+Spas_Inputs!$N$23))*F15</f>
        <v>0</v>
      </c>
      <c r="AJ15" s="122">
        <f>IF(B15=1,Spas_Inputs!$O$20,AJ14*(1+Spas_Inputs!$N$23))*F15</f>
        <v>0</v>
      </c>
      <c r="AK15" s="122">
        <f>IF(B15=1,Spas_Inputs!$O$21,AK14*(1+Spas_Inputs!$N$23))*F15</f>
        <v>0</v>
      </c>
      <c r="AL15" s="132">
        <f>IF(B15=1,Spas_Inputs!$O$22,AL14*(1+Spas_Inputs!$N$23))*F15</f>
        <v>0</v>
      </c>
      <c r="AM15" s="200">
        <f t="shared" si="13"/>
        <v>153117.71454351369</v>
      </c>
      <c r="AN15" s="86">
        <f t="shared" si="14"/>
        <v>-17750.072207013669</v>
      </c>
      <c r="AO15" s="225">
        <f t="shared" si="15"/>
        <v>-0.1311249269074963</v>
      </c>
      <c r="AP15" s="220">
        <f>Deprec!X14</f>
        <v>35268</v>
      </c>
      <c r="AQ15" s="86">
        <f t="shared" si="16"/>
        <v>-53018.072207013669</v>
      </c>
      <c r="AR15" s="455">
        <f t="shared" si="31"/>
        <v>55963.886123242344</v>
      </c>
      <c r="AS15" s="86">
        <f t="shared" si="32"/>
        <v>-108981.95833025602</v>
      </c>
      <c r="AT15" s="438">
        <f>IF(AS15&lt;0,0,(AS15*Spas_Inputs!$J$21))</f>
        <v>0</v>
      </c>
      <c r="AU15" s="86">
        <f t="shared" si="33"/>
        <v>-108981.95833025602</v>
      </c>
      <c r="AV15" s="226">
        <f t="shared" si="17"/>
        <v>-0.80508130635344999</v>
      </c>
      <c r="AY15" s="196">
        <f t="shared" si="18"/>
        <v>135367.64233650002</v>
      </c>
      <c r="AZ15" s="86">
        <f t="shared" si="19"/>
        <v>153117.71454351369</v>
      </c>
      <c r="BA15" s="197">
        <f t="shared" si="34"/>
        <v>-17750.072207013669</v>
      </c>
      <c r="BB15" s="218">
        <f>IF(B15=0,Spas_Inputs!$C$29,0)</f>
        <v>0</v>
      </c>
      <c r="BC15" s="198">
        <f t="shared" si="5"/>
        <v>0</v>
      </c>
      <c r="BD15" s="197">
        <f t="shared" si="6"/>
        <v>-17750.072207013669</v>
      </c>
      <c r="BE15" s="184">
        <f>IF(B15=0,Spas_Inputs!$G$15+Spas_Inputs!$G$16,0)</f>
        <v>0</v>
      </c>
      <c r="BF15" s="185">
        <f>IF(B15=0,Spas_Inputs!$G$14,0)</f>
        <v>0</v>
      </c>
      <c r="BG15" s="200">
        <f t="shared" si="7"/>
        <v>0</v>
      </c>
      <c r="BH15" s="196">
        <f t="shared" si="8"/>
        <v>-17750.072207013669</v>
      </c>
      <c r="BI15" s="218">
        <f>Spas_Inputs!$G$20*AVERAGE(BX15,BY15)</f>
        <v>0</v>
      </c>
      <c r="BJ15" s="200">
        <f t="shared" si="9"/>
        <v>0</v>
      </c>
      <c r="BK15" s="200">
        <f t="shared" si="20"/>
        <v>-17750.072207013669</v>
      </c>
      <c r="BL15" s="86">
        <f t="shared" si="21"/>
        <v>-17750.072207013669</v>
      </c>
      <c r="BM15" s="197">
        <f t="shared" si="22"/>
        <v>-17750.072207013669</v>
      </c>
      <c r="BN15" s="86">
        <f t="shared" si="35"/>
        <v>495255.62940922426</v>
      </c>
      <c r="BO15" s="86">
        <f t="shared" si="36"/>
        <v>445097.93629469525</v>
      </c>
      <c r="BP15" s="122">
        <f>-Debt_Calc!CE13</f>
        <v>55963.886123242344</v>
      </c>
      <c r="BQ15" s="122">
        <f>Debt_Calc!CF13</f>
        <v>50157.693114529036</v>
      </c>
      <c r="BR15" s="86">
        <f t="shared" si="23"/>
        <v>106121.57923777138</v>
      </c>
      <c r="BS15" s="423">
        <f t="shared" si="37"/>
        <v>-0.16726166661394692</v>
      </c>
      <c r="BT15" s="86">
        <f t="shared" si="38"/>
        <v>-123871.65144478505</v>
      </c>
      <c r="BU15" s="86">
        <f t="shared" si="24"/>
        <v>-123871.65144478505</v>
      </c>
      <c r="BV15" s="86">
        <f t="shared" si="39"/>
        <v>-123871.65144478505</v>
      </c>
      <c r="BW15" s="86">
        <f t="shared" si="25"/>
        <v>0</v>
      </c>
      <c r="BX15" s="86">
        <f t="shared" si="26"/>
        <v>0</v>
      </c>
      <c r="BY15" s="86">
        <f t="shared" si="10"/>
        <v>0</v>
      </c>
      <c r="BZ15" s="86">
        <f t="shared" si="27"/>
        <v>-758949.08894628927</v>
      </c>
      <c r="CA15" s="86">
        <f t="shared" si="40"/>
        <v>0</v>
      </c>
      <c r="CB15" s="214" t="e">
        <f t="shared" si="11"/>
        <v>#VALUE!</v>
      </c>
    </row>
    <row r="16" spans="2:127" s="86" customFormat="1" x14ac:dyDescent="0.3">
      <c r="B16" s="192">
        <f t="shared" si="28"/>
        <v>5</v>
      </c>
      <c r="C16" s="350">
        <f t="shared" si="12"/>
        <v>2026</v>
      </c>
      <c r="D16" s="351">
        <f t="shared" si="29"/>
        <v>46023</v>
      </c>
      <c r="E16" s="441">
        <f t="shared" si="29"/>
        <v>46387</v>
      </c>
      <c r="F16" s="445">
        <f>IF(AND(B16&gt;0,B16&lt;=Spas_Inputs!$J$24),1,0)</f>
        <v>1</v>
      </c>
      <c r="G16" s="447">
        <f>IF(F16=1,Spas_Inputs!$F$24,0)</f>
        <v>14000</v>
      </c>
      <c r="H16" s="123">
        <f>Spas_Inputs!$J$18</f>
        <v>0.01</v>
      </c>
      <c r="I16" s="131">
        <f>IF(B16=1,Spas_Inputs!$R$15,I15*(1+H16))*F16</f>
        <v>6.0563153382000001</v>
      </c>
      <c r="J16" s="131">
        <f>IF(B16=1,Spas_Inputs!$R$16,J15*(1+H16))*F16</f>
        <v>3.0281576691000001</v>
      </c>
      <c r="K16" s="131">
        <f>IF(B16=1,Spas_Inputs!$R$17,K15*(1+H16))*F16</f>
        <v>12.1126306764</v>
      </c>
      <c r="L16" s="131">
        <f>IF(B16=1,Spas_Inputs!$R$18,L15*(1+H16))*F16</f>
        <v>7.0657012279</v>
      </c>
      <c r="M16" s="131">
        <f>IF(B16=1,Spas_Inputs!$R$19,M15*(1+H16))*F16</f>
        <v>20.187717794000001</v>
      </c>
      <c r="N16" s="131">
        <f>IF(B16=1,Spas_Inputs!$R$20,N15*(1+H16))*F16</f>
        <v>10.59855184185</v>
      </c>
      <c r="O16" s="444">
        <f>$G16*I16*Spas_Inputs!$J$12</f>
        <v>16957.682946960002</v>
      </c>
      <c r="P16" s="444">
        <f>$G16*J16*Spas_Inputs!$J$13</f>
        <v>6359.1311051099992</v>
      </c>
      <c r="Q16" s="444">
        <f>$G16*K16*Spas_Inputs!$J$14</f>
        <v>33915.365893920003</v>
      </c>
      <c r="R16" s="444">
        <f>$G16*L16*Spas_Inputs!$J$15</f>
        <v>14837.972578590001</v>
      </c>
      <c r="S16" s="444">
        <f>$G16*M16*Spas_Inputs!$J$16</f>
        <v>42394.207367399998</v>
      </c>
      <c r="T16" s="444">
        <f>$G16*N16*Spas_Inputs!$J$17</f>
        <v>22256.958867884998</v>
      </c>
      <c r="U16" s="754">
        <f t="shared" si="30"/>
        <v>0</v>
      </c>
      <c r="V16" s="122">
        <f>SUM(O16:U16)+IF(B16=Spas_Inputs!$J$24,Spas_Inputs!$J$26,0)</f>
        <v>136721.31875986501</v>
      </c>
      <c r="W16" s="218">
        <f>IF(B16=1,Spas_Inputs!$O$7,W15*(1+Spas_Inputs!$N$23))*F16</f>
        <v>3517.2415538000005</v>
      </c>
      <c r="X16" s="122">
        <f>IF(B16=1,Spas_Inputs!$O$8,X15*(1+Spas_Inputs!$N$23))*F16</f>
        <v>14372.370647950434</v>
      </c>
      <c r="Y16" s="122">
        <f>IF(B16=1,Spas_Inputs!$O$9,Y15*(1+Spas_Inputs!$N$23))*F16</f>
        <v>91750.055561700006</v>
      </c>
      <c r="Z16" s="122">
        <f>IF(B16=1,Spas_Inputs!$O$10,Z15*(1+Spas_Inputs!$N$23))*F16</f>
        <v>20202.127416797797</v>
      </c>
      <c r="AA16" s="122">
        <f>IF(B16=1,Spas_Inputs!$O$11,AA15*(1+Spas_Inputs!$N$23))*F16</f>
        <v>18863.506208025177</v>
      </c>
      <c r="AB16" s="122">
        <f>IF(B16=1,Spas_Inputs!$O$12,AB15*(1+Spas_Inputs!$N$23))*F16</f>
        <v>95.994111781142394</v>
      </c>
      <c r="AC16" s="122">
        <f>IF(B16=1,Spas_Inputs!$O$13,AC15*(1+Spas_Inputs!$N$23))*F16</f>
        <v>0</v>
      </c>
      <c r="AD16" s="122">
        <f>IF(B16=1,Spas_Inputs!$O$14,AD15*(1+Spas_Inputs!$N$23))*F16</f>
        <v>683.60659379932508</v>
      </c>
      <c r="AE16" s="122">
        <f>IF(B16=1,Spas_Inputs!$O$15,AE15*(1+Spas_Inputs!$N$23))*F16</f>
        <v>683.60659379932508</v>
      </c>
      <c r="AF16" s="122">
        <f>IF(B16=1,Spas_Inputs!$O$16,AF15*(1+Spas_Inputs!$N$23))*F16</f>
        <v>4480.3830012955996</v>
      </c>
      <c r="AG16" s="122">
        <f>IF(B16=1,Spas_Inputs!$O$17,AG15*(1+Spas_Inputs!$N$23))*F16</f>
        <v>0</v>
      </c>
      <c r="AH16" s="181">
        <f>IF(B16=1,Spas_Inputs!$O$18,AH15*(1+Spas_Inputs!$N$23))*F16</f>
        <v>0</v>
      </c>
      <c r="AI16" s="482">
        <f>IF(B16=1,Spas_Inputs!$O$19,AI15*(1+Spas_Inputs!$N$23))*F16</f>
        <v>0</v>
      </c>
      <c r="AJ16" s="122">
        <f>IF(B16=1,Spas_Inputs!$O$20,AJ15*(1+Spas_Inputs!$N$23))*F16</f>
        <v>0</v>
      </c>
      <c r="AK16" s="122">
        <f>IF(B16=1,Spas_Inputs!$O$21,AK15*(1+Spas_Inputs!$N$23))*F16</f>
        <v>0</v>
      </c>
      <c r="AL16" s="132">
        <f>IF(B16=1,Spas_Inputs!$O$22,AL15*(1+Spas_Inputs!$N$23))*F16</f>
        <v>0</v>
      </c>
      <c r="AM16" s="200">
        <f t="shared" si="13"/>
        <v>154648.89168894879</v>
      </c>
      <c r="AN16" s="86">
        <f t="shared" si="14"/>
        <v>-17927.572929083777</v>
      </c>
      <c r="AO16" s="225">
        <f t="shared" si="15"/>
        <v>-0.13112492690749611</v>
      </c>
      <c r="AP16" s="220">
        <f>Deprec!X15</f>
        <v>35268</v>
      </c>
      <c r="AQ16" s="86">
        <f t="shared" si="16"/>
        <v>-53195.572929083777</v>
      </c>
      <c r="AR16" s="455">
        <f t="shared" si="31"/>
        <v>50296.066801300563</v>
      </c>
      <c r="AS16" s="86">
        <f t="shared" si="32"/>
        <v>-103491.63973038434</v>
      </c>
      <c r="AT16" s="438">
        <f>IF(AS16&lt;0,0,(AS16*Spas_Inputs!$J$21))</f>
        <v>0</v>
      </c>
      <c r="AU16" s="86">
        <f t="shared" si="33"/>
        <v>-103491.63973038434</v>
      </c>
      <c r="AV16" s="226">
        <f t="shared" si="17"/>
        <v>-0.75695319990407117</v>
      </c>
      <c r="AY16" s="196">
        <f t="shared" si="18"/>
        <v>136721.31875986501</v>
      </c>
      <c r="AZ16" s="86">
        <f t="shared" si="19"/>
        <v>154648.89168894879</v>
      </c>
      <c r="BA16" s="197">
        <f t="shared" si="34"/>
        <v>-17927.572929083777</v>
      </c>
      <c r="BB16" s="218">
        <f>IF(B16=0,Spas_Inputs!$C$29,0)</f>
        <v>0</v>
      </c>
      <c r="BC16" s="198">
        <f t="shared" si="5"/>
        <v>0</v>
      </c>
      <c r="BD16" s="197">
        <f t="shared" si="6"/>
        <v>-17927.572929083777</v>
      </c>
      <c r="BE16" s="184">
        <f>IF(B16=0,Spas_Inputs!$G$15+Spas_Inputs!$G$16,0)</f>
        <v>0</v>
      </c>
      <c r="BF16" s="185">
        <f>IF(B16=0,Spas_Inputs!$G$14,0)</f>
        <v>0</v>
      </c>
      <c r="BG16" s="200">
        <f t="shared" si="7"/>
        <v>0</v>
      </c>
      <c r="BH16" s="196">
        <f t="shared" si="8"/>
        <v>-17927.572929083777</v>
      </c>
      <c r="BI16" s="218">
        <f>Spas_Inputs!$G$20*AVERAGE(BX16,BY16)</f>
        <v>0</v>
      </c>
      <c r="BJ16" s="200">
        <f t="shared" si="9"/>
        <v>0</v>
      </c>
      <c r="BK16" s="200">
        <f t="shared" si="20"/>
        <v>-17927.572929083777</v>
      </c>
      <c r="BL16" s="86">
        <f t="shared" si="21"/>
        <v>-17927.572929083777</v>
      </c>
      <c r="BM16" s="197">
        <f t="shared" si="22"/>
        <v>-17927.572929083777</v>
      </c>
      <c r="BN16" s="86">
        <f t="shared" si="35"/>
        <v>445097.93629469525</v>
      </c>
      <c r="BO16" s="86">
        <f t="shared" si="36"/>
        <v>389272.42385822441</v>
      </c>
      <c r="BP16" s="122">
        <f>-Debt_Calc!CE14</f>
        <v>50296.066801300563</v>
      </c>
      <c r="BQ16" s="122">
        <f>Debt_Calc!CF14</f>
        <v>55825.512436470832</v>
      </c>
      <c r="BR16" s="86">
        <f t="shared" si="23"/>
        <v>106121.5792377714</v>
      </c>
      <c r="BS16" s="423">
        <f t="shared" si="37"/>
        <v>-0.16893428328008611</v>
      </c>
      <c r="BT16" s="86">
        <f t="shared" si="38"/>
        <v>-124049.15216685517</v>
      </c>
      <c r="BU16" s="86">
        <f t="shared" si="24"/>
        <v>-124049.15216685517</v>
      </c>
      <c r="BV16" s="86">
        <f t="shared" si="39"/>
        <v>-124049.15216685517</v>
      </c>
      <c r="BW16" s="86">
        <f t="shared" si="25"/>
        <v>0</v>
      </c>
      <c r="BX16" s="86">
        <f t="shared" si="26"/>
        <v>0</v>
      </c>
      <c r="BY16" s="86">
        <f t="shared" si="10"/>
        <v>0</v>
      </c>
      <c r="BZ16" s="86">
        <f t="shared" si="27"/>
        <v>-882998.24111314444</v>
      </c>
      <c r="CA16" s="86">
        <f t="shared" si="40"/>
        <v>0</v>
      </c>
      <c r="CB16" s="214" t="e">
        <f t="shared" si="11"/>
        <v>#VALUE!</v>
      </c>
    </row>
    <row r="17" spans="2:80" s="86" customFormat="1" x14ac:dyDescent="0.3">
      <c r="B17" s="192">
        <f t="shared" si="28"/>
        <v>6</v>
      </c>
      <c r="C17" s="350">
        <f t="shared" si="12"/>
        <v>2027</v>
      </c>
      <c r="D17" s="351">
        <f t="shared" si="29"/>
        <v>46388</v>
      </c>
      <c r="E17" s="441">
        <f t="shared" si="29"/>
        <v>46752</v>
      </c>
      <c r="F17" s="445">
        <f>IF(AND(B17&gt;0,B17&lt;=Spas_Inputs!$J$24),1,0)</f>
        <v>1</v>
      </c>
      <c r="G17" s="447">
        <f>IF(F17=1,Spas_Inputs!$F$24,0)</f>
        <v>14000</v>
      </c>
      <c r="H17" s="123">
        <f>Spas_Inputs!$J$18</f>
        <v>0.01</v>
      </c>
      <c r="I17" s="131">
        <f>IF(B17=1,Spas_Inputs!$R$15,I16*(1+H17))*F17</f>
        <v>6.1168784915819998</v>
      </c>
      <c r="J17" s="131">
        <f>IF(B17=1,Spas_Inputs!$R$16,J16*(1+H17))*F17</f>
        <v>3.0584392457909999</v>
      </c>
      <c r="K17" s="131">
        <f>IF(B17=1,Spas_Inputs!$R$17,K16*(1+H17))*F17</f>
        <v>12.233756983164</v>
      </c>
      <c r="L17" s="131">
        <f>IF(B17=1,Spas_Inputs!$R$18,L16*(1+H17))*F17</f>
        <v>7.1363582401789998</v>
      </c>
      <c r="M17" s="131">
        <f>IF(B17=1,Spas_Inputs!$R$19,M16*(1+H17))*F17</f>
        <v>20.389594971940003</v>
      </c>
      <c r="N17" s="131">
        <f>IF(B17=1,Spas_Inputs!$R$20,N16*(1+H17))*F17</f>
        <v>10.7045373602685</v>
      </c>
      <c r="O17" s="444">
        <f>$G17*I17*Spas_Inputs!$J$12</f>
        <v>17127.259776429601</v>
      </c>
      <c r="P17" s="444">
        <f>$G17*J17*Spas_Inputs!$J$13</f>
        <v>6422.7224161610993</v>
      </c>
      <c r="Q17" s="444">
        <f>$G17*K17*Spas_Inputs!$J$14</f>
        <v>34254.519552859201</v>
      </c>
      <c r="R17" s="444">
        <f>$G17*L17*Spas_Inputs!$J$15</f>
        <v>14986.352304375898</v>
      </c>
      <c r="S17" s="444">
        <f>$G17*M17*Spas_Inputs!$J$16</f>
        <v>42818.149441074005</v>
      </c>
      <c r="T17" s="444">
        <f>$G17*N17*Spas_Inputs!$J$17</f>
        <v>22479.528456563847</v>
      </c>
      <c r="U17" s="754">
        <f t="shared" si="30"/>
        <v>0</v>
      </c>
      <c r="V17" s="122">
        <f>SUM(O17:U17)+IF(B17=Spas_Inputs!$J$24,Spas_Inputs!$J$26,0)</f>
        <v>138088.53194746366</v>
      </c>
      <c r="W17" s="218">
        <f>IF(B17=1,Spas_Inputs!$O$7,W16*(1+Spas_Inputs!$N$23))*F17</f>
        <v>3552.4139693380007</v>
      </c>
      <c r="X17" s="122">
        <f>IF(B17=1,Spas_Inputs!$O$8,X16*(1+Spas_Inputs!$N$23))*F17</f>
        <v>14516.094354429939</v>
      </c>
      <c r="Y17" s="122">
        <f>IF(B17=1,Spas_Inputs!$O$9,Y16*(1+Spas_Inputs!$N$23))*F17</f>
        <v>92667.556117317014</v>
      </c>
      <c r="Z17" s="122">
        <f>IF(B17=1,Spas_Inputs!$O$10,Z16*(1+Spas_Inputs!$N$23))*F17</f>
        <v>20404.148690965776</v>
      </c>
      <c r="AA17" s="122">
        <f>IF(B17=1,Spas_Inputs!$O$11,AA16*(1+Spas_Inputs!$N$23))*F17</f>
        <v>19052.141270105429</v>
      </c>
      <c r="AB17" s="122">
        <f>IF(B17=1,Spas_Inputs!$O$12,AB16*(1+Spas_Inputs!$N$23))*F17</f>
        <v>96.954052898953819</v>
      </c>
      <c r="AC17" s="122">
        <f>IF(B17=1,Spas_Inputs!$O$13,AC16*(1+Spas_Inputs!$N$23))*F17</f>
        <v>0</v>
      </c>
      <c r="AD17" s="122">
        <f>IF(B17=1,Spas_Inputs!$O$14,AD16*(1+Spas_Inputs!$N$23))*F17</f>
        <v>690.44265973731831</v>
      </c>
      <c r="AE17" s="122">
        <f>IF(B17=1,Spas_Inputs!$O$15,AE16*(1+Spas_Inputs!$N$23))*F17</f>
        <v>690.44265973731831</v>
      </c>
      <c r="AF17" s="122">
        <f>IF(B17=1,Spas_Inputs!$O$16,AF16*(1+Spas_Inputs!$N$23))*F17</f>
        <v>4525.1868313085552</v>
      </c>
      <c r="AG17" s="122">
        <f>IF(B17=1,Spas_Inputs!$O$17,AG16*(1+Spas_Inputs!$N$23))*F17</f>
        <v>0</v>
      </c>
      <c r="AH17" s="181">
        <f>IF(B17=1,Spas_Inputs!$O$18,AH16*(1+Spas_Inputs!$N$23))*F17</f>
        <v>0</v>
      </c>
      <c r="AI17" s="482">
        <f>IF(B17=1,Spas_Inputs!$O$19,AI16*(1+Spas_Inputs!$N$23))*F17</f>
        <v>0</v>
      </c>
      <c r="AJ17" s="122">
        <f>IF(B17=1,Spas_Inputs!$O$20,AJ16*(1+Spas_Inputs!$N$23))*F17</f>
        <v>0</v>
      </c>
      <c r="AK17" s="122">
        <f>IF(B17=1,Spas_Inputs!$O$21,AK16*(1+Spas_Inputs!$N$23))*F17</f>
        <v>0</v>
      </c>
      <c r="AL17" s="132">
        <f>IF(B17=1,Spas_Inputs!$O$22,AL16*(1+Spas_Inputs!$N$23))*F17</f>
        <v>0</v>
      </c>
      <c r="AM17" s="200">
        <f t="shared" si="13"/>
        <v>156195.38060583829</v>
      </c>
      <c r="AN17" s="86">
        <f t="shared" si="14"/>
        <v>-18106.848658374627</v>
      </c>
      <c r="AO17" s="225">
        <f t="shared" si="15"/>
        <v>-0.13112492690749619</v>
      </c>
      <c r="AP17" s="220">
        <f>Deprec!X16</f>
        <v>35268</v>
      </c>
      <c r="AQ17" s="86">
        <f t="shared" si="16"/>
        <v>-53374.848658374627</v>
      </c>
      <c r="AR17" s="455">
        <f t="shared" si="31"/>
        <v>43987.783895979359</v>
      </c>
      <c r="AS17" s="86">
        <f t="shared" si="32"/>
        <v>-97362.632554353986</v>
      </c>
      <c r="AT17" s="438">
        <f>IF(AS17&lt;0,0,(AS17*Spas_Inputs!$J$21))</f>
        <v>0</v>
      </c>
      <c r="AU17" s="86">
        <f t="shared" si="33"/>
        <v>-97362.632554353986</v>
      </c>
      <c r="AV17" s="226">
        <f t="shared" si="17"/>
        <v>-0.70507399261363712</v>
      </c>
      <c r="AY17" s="196">
        <f t="shared" si="18"/>
        <v>138088.53194746366</v>
      </c>
      <c r="AZ17" s="86">
        <f t="shared" si="19"/>
        <v>156195.38060583829</v>
      </c>
      <c r="BA17" s="197">
        <f t="shared" si="34"/>
        <v>-18106.848658374627</v>
      </c>
      <c r="BB17" s="218">
        <f>IF(B17=0,Spas_Inputs!$C$29,0)</f>
        <v>0</v>
      </c>
      <c r="BC17" s="198">
        <f t="shared" si="5"/>
        <v>0</v>
      </c>
      <c r="BD17" s="197">
        <f t="shared" si="6"/>
        <v>-18106.848658374627</v>
      </c>
      <c r="BE17" s="184">
        <f>IF(B17=0,Spas_Inputs!$G$15+Spas_Inputs!$G$16,0)</f>
        <v>0</v>
      </c>
      <c r="BF17" s="185">
        <f>IF(B17=0,Spas_Inputs!$G$14,0)</f>
        <v>0</v>
      </c>
      <c r="BG17" s="200">
        <f t="shared" si="7"/>
        <v>0</v>
      </c>
      <c r="BH17" s="196">
        <f t="shared" si="8"/>
        <v>-18106.848658374627</v>
      </c>
      <c r="BI17" s="218">
        <f>Spas_Inputs!$G$20*AVERAGE(BX17,BY17)</f>
        <v>0</v>
      </c>
      <c r="BJ17" s="200">
        <f t="shared" si="9"/>
        <v>0</v>
      </c>
      <c r="BK17" s="200">
        <f t="shared" si="20"/>
        <v>-18106.848658374627</v>
      </c>
      <c r="BL17" s="86">
        <f t="shared" si="21"/>
        <v>-18106.848658374627</v>
      </c>
      <c r="BM17" s="197">
        <f t="shared" si="22"/>
        <v>-18106.848658374627</v>
      </c>
      <c r="BN17" s="86">
        <f t="shared" si="35"/>
        <v>389272.42385822441</v>
      </c>
      <c r="BO17" s="86">
        <f t="shared" si="36"/>
        <v>327138.62851643236</v>
      </c>
      <c r="BP17" s="122">
        <f>-Debt_Calc!CE15</f>
        <v>43987.783895979359</v>
      </c>
      <c r="BQ17" s="122">
        <f>Debt_Calc!CF15</f>
        <v>62133.795341792036</v>
      </c>
      <c r="BR17" s="86">
        <f t="shared" si="23"/>
        <v>106121.5792377714</v>
      </c>
      <c r="BS17" s="423">
        <f t="shared" si="37"/>
        <v>-0.17062362611288709</v>
      </c>
      <c r="BT17" s="86">
        <f t="shared" si="38"/>
        <v>-124228.42789614602</v>
      </c>
      <c r="BU17" s="86">
        <f t="shared" si="24"/>
        <v>-124228.42789614602</v>
      </c>
      <c r="BV17" s="86">
        <f t="shared" si="39"/>
        <v>-124228.42789614602</v>
      </c>
      <c r="BW17" s="86">
        <f t="shared" si="25"/>
        <v>0</v>
      </c>
      <c r="BX17" s="86">
        <f t="shared" si="26"/>
        <v>0</v>
      </c>
      <c r="BY17" s="86">
        <f t="shared" si="10"/>
        <v>0</v>
      </c>
      <c r="BZ17" s="86">
        <f t="shared" si="27"/>
        <v>-1007226.6690092904</v>
      </c>
      <c r="CA17" s="86">
        <f t="shared" si="40"/>
        <v>0</v>
      </c>
      <c r="CB17" s="214" t="e">
        <f t="shared" si="11"/>
        <v>#VALUE!</v>
      </c>
    </row>
    <row r="18" spans="2:80" s="86" customFormat="1" x14ac:dyDescent="0.3">
      <c r="B18" s="192">
        <f t="shared" si="28"/>
        <v>7</v>
      </c>
      <c r="C18" s="350">
        <f t="shared" si="12"/>
        <v>2028</v>
      </c>
      <c r="D18" s="351">
        <f t="shared" si="29"/>
        <v>46753</v>
      </c>
      <c r="E18" s="441">
        <f t="shared" si="29"/>
        <v>47118</v>
      </c>
      <c r="F18" s="445">
        <f>IF(AND(B18&gt;0,B18&lt;=Spas_Inputs!$J$24),1,0)</f>
        <v>1</v>
      </c>
      <c r="G18" s="447">
        <f>IF(F18=1,Spas_Inputs!$F$24,0)</f>
        <v>14000</v>
      </c>
      <c r="H18" s="123">
        <f>Spas_Inputs!$J$18</f>
        <v>0.01</v>
      </c>
      <c r="I18" s="131">
        <f>IF(B18=1,Spas_Inputs!$R$15,I17*(1+H18))*F18</f>
        <v>6.1780472764978196</v>
      </c>
      <c r="J18" s="131">
        <f>IF(B18=1,Spas_Inputs!$R$16,J17*(1+H18))*F18</f>
        <v>3.0890236382489098</v>
      </c>
      <c r="K18" s="131">
        <f>IF(B18=1,Spas_Inputs!$R$17,K17*(1+H18))*F18</f>
        <v>12.356094552995639</v>
      </c>
      <c r="L18" s="131">
        <f>IF(B18=1,Spas_Inputs!$R$18,L17*(1+H18))*F18</f>
        <v>7.2077218225807895</v>
      </c>
      <c r="M18" s="131">
        <f>IF(B18=1,Spas_Inputs!$R$19,M17*(1+H18))*F18</f>
        <v>20.593490921659402</v>
      </c>
      <c r="N18" s="131">
        <f>IF(B18=1,Spas_Inputs!$R$20,N17*(1+H18))*F18</f>
        <v>10.811582733871186</v>
      </c>
      <c r="O18" s="444">
        <f>$G18*I18*Spas_Inputs!$J$12</f>
        <v>17298.532374193896</v>
      </c>
      <c r="P18" s="444">
        <f>$G18*J18*Spas_Inputs!$J$13</f>
        <v>6486.9496403227104</v>
      </c>
      <c r="Q18" s="444">
        <f>$G18*K18*Spas_Inputs!$J$14</f>
        <v>34597.064748387791</v>
      </c>
      <c r="R18" s="444">
        <f>$G18*L18*Spas_Inputs!$J$15</f>
        <v>15136.215827419657</v>
      </c>
      <c r="S18" s="444">
        <f>$G18*M18*Spas_Inputs!$J$16</f>
        <v>43246.330935484744</v>
      </c>
      <c r="T18" s="444">
        <f>$G18*N18*Spas_Inputs!$J$17</f>
        <v>22704.32374112949</v>
      </c>
      <c r="U18" s="754">
        <f t="shared" si="30"/>
        <v>0</v>
      </c>
      <c r="V18" s="122">
        <f>SUM(O18:U18)+IF(B18=Spas_Inputs!$J$24,Spas_Inputs!$J$26,0)</f>
        <v>139469.41726693828</v>
      </c>
      <c r="W18" s="218">
        <f>IF(B18=1,Spas_Inputs!$O$7,W17*(1+Spas_Inputs!$N$23))*F18</f>
        <v>3587.9381090313809</v>
      </c>
      <c r="X18" s="122">
        <f>IF(B18=1,Spas_Inputs!$O$8,X17*(1+Spas_Inputs!$N$23))*F18</f>
        <v>14661.255297974238</v>
      </c>
      <c r="Y18" s="122">
        <f>IF(B18=1,Spas_Inputs!$O$9,Y17*(1+Spas_Inputs!$N$23))*F18</f>
        <v>93594.231678490178</v>
      </c>
      <c r="Z18" s="122">
        <f>IF(B18=1,Spas_Inputs!$O$10,Z17*(1+Spas_Inputs!$N$23))*F18</f>
        <v>20608.190177875433</v>
      </c>
      <c r="AA18" s="122">
        <f>IF(B18=1,Spas_Inputs!$O$11,AA17*(1+Spas_Inputs!$N$23))*F18</f>
        <v>19242.662682806484</v>
      </c>
      <c r="AB18" s="122">
        <f>IF(B18=1,Spas_Inputs!$O$12,AB17*(1+Spas_Inputs!$N$23))*F18</f>
        <v>97.923593427943359</v>
      </c>
      <c r="AC18" s="122">
        <f>IF(B18=1,Spas_Inputs!$O$13,AC17*(1+Spas_Inputs!$N$23))*F18</f>
        <v>0</v>
      </c>
      <c r="AD18" s="122">
        <f>IF(B18=1,Spas_Inputs!$O$14,AD17*(1+Spas_Inputs!$N$23))*F18</f>
        <v>697.34708633469154</v>
      </c>
      <c r="AE18" s="122">
        <f>IF(B18=1,Spas_Inputs!$O$15,AE17*(1+Spas_Inputs!$N$23))*F18</f>
        <v>697.34708633469154</v>
      </c>
      <c r="AF18" s="122">
        <f>IF(B18=1,Spas_Inputs!$O$16,AF17*(1+Spas_Inputs!$N$23))*F18</f>
        <v>4570.4386996216408</v>
      </c>
      <c r="AG18" s="122">
        <f>IF(B18=1,Spas_Inputs!$O$17,AG17*(1+Spas_Inputs!$N$23))*F18</f>
        <v>0</v>
      </c>
      <c r="AH18" s="181">
        <f>IF(B18=1,Spas_Inputs!$O$18,AH17*(1+Spas_Inputs!$N$23))*F18</f>
        <v>0</v>
      </c>
      <c r="AI18" s="482">
        <f>IF(B18=1,Spas_Inputs!$O$19,AI17*(1+Spas_Inputs!$N$23))*F18</f>
        <v>0</v>
      </c>
      <c r="AJ18" s="122">
        <f>IF(B18=1,Spas_Inputs!$O$20,AJ17*(1+Spas_Inputs!$N$23))*F18</f>
        <v>0</v>
      </c>
      <c r="AK18" s="122">
        <f>IF(B18=1,Spas_Inputs!$O$21,AK17*(1+Spas_Inputs!$N$23))*F18</f>
        <v>0</v>
      </c>
      <c r="AL18" s="132">
        <f>IF(B18=1,Spas_Inputs!$O$22,AL17*(1+Spas_Inputs!$N$23))*F18</f>
        <v>0</v>
      </c>
      <c r="AM18" s="200">
        <f t="shared" si="13"/>
        <v>157757.33441189671</v>
      </c>
      <c r="AN18" s="86">
        <f t="shared" si="14"/>
        <v>-18287.917144958425</v>
      </c>
      <c r="AO18" s="225">
        <f t="shared" si="15"/>
        <v>-0.13112492690749658</v>
      </c>
      <c r="AP18" s="220">
        <f>Deprec!X17</f>
        <v>35268</v>
      </c>
      <c r="AQ18" s="86">
        <f t="shared" si="16"/>
        <v>-53555.917144958425</v>
      </c>
      <c r="AR18" s="455">
        <f t="shared" si="31"/>
        <v>36966.665022356858</v>
      </c>
      <c r="AS18" s="86">
        <f t="shared" si="32"/>
        <v>-90522.582167315282</v>
      </c>
      <c r="AT18" s="438">
        <f>IF(AS18&lt;0,0,(AS18*Spas_Inputs!$J$21))</f>
        <v>0</v>
      </c>
      <c r="AU18" s="86">
        <f t="shared" si="33"/>
        <v>-90522.582167315282</v>
      </c>
      <c r="AV18" s="226">
        <f t="shared" si="17"/>
        <v>-0.64904969090147613</v>
      </c>
      <c r="AY18" s="196">
        <f t="shared" si="18"/>
        <v>139469.41726693828</v>
      </c>
      <c r="AZ18" s="86">
        <f t="shared" si="19"/>
        <v>157757.33441189671</v>
      </c>
      <c r="BA18" s="197">
        <f t="shared" si="34"/>
        <v>-18287.917144958425</v>
      </c>
      <c r="BB18" s="218">
        <f>IF(B18=0,Spas_Inputs!$C$29,0)</f>
        <v>0</v>
      </c>
      <c r="BC18" s="198">
        <f t="shared" si="5"/>
        <v>0</v>
      </c>
      <c r="BD18" s="197">
        <f t="shared" si="6"/>
        <v>-18287.917144958425</v>
      </c>
      <c r="BE18" s="184">
        <f>IF(B18=0,Spas_Inputs!$G$15+Spas_Inputs!$G$16,0)</f>
        <v>0</v>
      </c>
      <c r="BF18" s="185">
        <f>IF(B18=0,Spas_Inputs!$G$14,0)</f>
        <v>0</v>
      </c>
      <c r="BG18" s="200">
        <f t="shared" si="7"/>
        <v>0</v>
      </c>
      <c r="BH18" s="196">
        <f t="shared" si="8"/>
        <v>-18287.917144958425</v>
      </c>
      <c r="BI18" s="218">
        <f>Spas_Inputs!$G$20*AVERAGE(BX18,BY18)</f>
        <v>0</v>
      </c>
      <c r="BJ18" s="200">
        <f t="shared" si="9"/>
        <v>0</v>
      </c>
      <c r="BK18" s="200">
        <f t="shared" si="20"/>
        <v>-18287.917144958425</v>
      </c>
      <c r="BL18" s="86">
        <f t="shared" si="21"/>
        <v>-18287.917144958425</v>
      </c>
      <c r="BM18" s="197">
        <f t="shared" si="22"/>
        <v>-18287.917144958425</v>
      </c>
      <c r="BN18" s="86">
        <f t="shared" si="35"/>
        <v>327138.62851643236</v>
      </c>
      <c r="BO18" s="86">
        <f t="shared" si="36"/>
        <v>257983.71430101787</v>
      </c>
      <c r="BP18" s="122">
        <f>-Debt_Calc!CE16</f>
        <v>36966.665022356858</v>
      </c>
      <c r="BQ18" s="122">
        <f>Debt_Calc!CF16</f>
        <v>69154.914215414508</v>
      </c>
      <c r="BR18" s="86">
        <f t="shared" si="23"/>
        <v>106121.57923777137</v>
      </c>
      <c r="BS18" s="423">
        <f t="shared" si="37"/>
        <v>-0.17232986237401648</v>
      </c>
      <c r="BT18" s="86">
        <f t="shared" si="38"/>
        <v>-124409.49638272979</v>
      </c>
      <c r="BU18" s="86">
        <f t="shared" si="24"/>
        <v>-124409.49638272979</v>
      </c>
      <c r="BV18" s="86">
        <f t="shared" si="39"/>
        <v>-124409.49638272979</v>
      </c>
      <c r="BW18" s="86">
        <f t="shared" si="25"/>
        <v>0</v>
      </c>
      <c r="BX18" s="86">
        <f t="shared" si="26"/>
        <v>0</v>
      </c>
      <c r="BY18" s="86">
        <f t="shared" si="10"/>
        <v>0</v>
      </c>
      <c r="BZ18" s="86">
        <f t="shared" si="27"/>
        <v>-1131636.1653920203</v>
      </c>
      <c r="CA18" s="86">
        <f t="shared" si="40"/>
        <v>0</v>
      </c>
      <c r="CB18" s="214" t="e">
        <f t="shared" si="11"/>
        <v>#VALUE!</v>
      </c>
    </row>
    <row r="19" spans="2:80" s="86" customFormat="1" x14ac:dyDescent="0.3">
      <c r="B19" s="192">
        <f t="shared" si="28"/>
        <v>8</v>
      </c>
      <c r="C19" s="350">
        <f t="shared" si="12"/>
        <v>2029</v>
      </c>
      <c r="D19" s="351">
        <f t="shared" si="29"/>
        <v>47119</v>
      </c>
      <c r="E19" s="441">
        <f t="shared" si="29"/>
        <v>47483</v>
      </c>
      <c r="F19" s="445">
        <f>IF(AND(B19&gt;0,B19&lt;=Spas_Inputs!$J$24),1,0)</f>
        <v>1</v>
      </c>
      <c r="G19" s="447">
        <f>IF(F19=1,Spas_Inputs!$F$24,0)</f>
        <v>14000</v>
      </c>
      <c r="H19" s="123">
        <f>Spas_Inputs!$J$18</f>
        <v>0.01</v>
      </c>
      <c r="I19" s="131">
        <f>IF(B19=1,Spas_Inputs!$R$15,I18*(1+H19))*F19</f>
        <v>6.2398277492627976</v>
      </c>
      <c r="J19" s="131">
        <f>IF(B19=1,Spas_Inputs!$R$16,J18*(1+H19))*F19</f>
        <v>3.1199138746313988</v>
      </c>
      <c r="K19" s="131">
        <f>IF(B19=1,Spas_Inputs!$R$17,K18*(1+H19))*F19</f>
        <v>12.479655498525595</v>
      </c>
      <c r="L19" s="131">
        <f>IF(B19=1,Spas_Inputs!$R$18,L18*(1+H19))*F19</f>
        <v>7.2797990408065978</v>
      </c>
      <c r="M19" s="131">
        <f>IF(B19=1,Spas_Inputs!$R$19,M18*(1+H19))*F19</f>
        <v>20.799425830875997</v>
      </c>
      <c r="N19" s="131">
        <f>IF(B19=1,Spas_Inputs!$R$20,N18*(1+H19))*F19</f>
        <v>10.919698561209898</v>
      </c>
      <c r="O19" s="444">
        <f>$G19*I19*Spas_Inputs!$J$12</f>
        <v>17471.517697935833</v>
      </c>
      <c r="P19" s="444">
        <f>$G19*J19*Spas_Inputs!$J$13</f>
        <v>6551.8191367259378</v>
      </c>
      <c r="Q19" s="444">
        <f>$G19*K19*Spas_Inputs!$J$14</f>
        <v>34943.035395871666</v>
      </c>
      <c r="R19" s="444">
        <f>$G19*L19*Spas_Inputs!$J$15</f>
        <v>15287.577985693855</v>
      </c>
      <c r="S19" s="444">
        <f>$G19*M19*Spas_Inputs!$J$16</f>
        <v>43678.794244839592</v>
      </c>
      <c r="T19" s="444">
        <f>$G19*N19*Spas_Inputs!$J$17</f>
        <v>22931.366978540787</v>
      </c>
      <c r="U19" s="754">
        <f t="shared" si="30"/>
        <v>0</v>
      </c>
      <c r="V19" s="122">
        <f>SUM(O19:U19)+IF(B19=Spas_Inputs!$J$24,Spas_Inputs!$J$26,0)</f>
        <v>140864.11143960769</v>
      </c>
      <c r="W19" s="218">
        <f>IF(B19=1,Spas_Inputs!$O$7,W18*(1+Spas_Inputs!$N$23))*F19</f>
        <v>3623.8174901216948</v>
      </c>
      <c r="X19" s="122">
        <f>IF(B19=1,Spas_Inputs!$O$8,X18*(1+Spas_Inputs!$N$23))*F19</f>
        <v>14807.86785095398</v>
      </c>
      <c r="Y19" s="122">
        <f>IF(B19=1,Spas_Inputs!$O$9,Y18*(1+Spas_Inputs!$N$23))*F19</f>
        <v>94530.17399527508</v>
      </c>
      <c r="Z19" s="122">
        <f>IF(B19=1,Spas_Inputs!$O$10,Z18*(1+Spas_Inputs!$N$23))*F19</f>
        <v>20814.272079654187</v>
      </c>
      <c r="AA19" s="122">
        <f>IF(B19=1,Spas_Inputs!$O$11,AA18*(1+Spas_Inputs!$N$23))*F19</f>
        <v>19435.08930963455</v>
      </c>
      <c r="AB19" s="122">
        <f>IF(B19=1,Spas_Inputs!$O$12,AB18*(1+Spas_Inputs!$N$23))*F19</f>
        <v>98.902829362222789</v>
      </c>
      <c r="AC19" s="122">
        <f>IF(B19=1,Spas_Inputs!$O$13,AC18*(1+Spas_Inputs!$N$23))*F19</f>
        <v>0</v>
      </c>
      <c r="AD19" s="122">
        <f>IF(B19=1,Spas_Inputs!$O$14,AD18*(1+Spas_Inputs!$N$23))*F19</f>
        <v>704.3205571980385</v>
      </c>
      <c r="AE19" s="122">
        <f>IF(B19=1,Spas_Inputs!$O$15,AE18*(1+Spas_Inputs!$N$23))*F19</f>
        <v>704.3205571980385</v>
      </c>
      <c r="AF19" s="122">
        <f>IF(B19=1,Spas_Inputs!$O$16,AF18*(1+Spas_Inputs!$N$23))*F19</f>
        <v>4616.1430866178571</v>
      </c>
      <c r="AG19" s="122">
        <f>IF(B19=1,Spas_Inputs!$O$17,AG18*(1+Spas_Inputs!$N$23))*F19</f>
        <v>0</v>
      </c>
      <c r="AH19" s="181">
        <f>IF(B19=1,Spas_Inputs!$O$18,AH18*(1+Spas_Inputs!$N$23))*F19</f>
        <v>0</v>
      </c>
      <c r="AI19" s="482">
        <f>IF(B19=1,Spas_Inputs!$O$19,AI18*(1+Spas_Inputs!$N$23))*F19</f>
        <v>0</v>
      </c>
      <c r="AJ19" s="122">
        <f>IF(B19=1,Spas_Inputs!$O$20,AJ18*(1+Spas_Inputs!$N$23))*F19</f>
        <v>0</v>
      </c>
      <c r="AK19" s="122">
        <f>IF(B19=1,Spas_Inputs!$O$21,AK18*(1+Spas_Inputs!$N$23))*F19</f>
        <v>0</v>
      </c>
      <c r="AL19" s="132">
        <f>IF(B19=1,Spas_Inputs!$O$22,AL18*(1+Spas_Inputs!$N$23))*F19</f>
        <v>0</v>
      </c>
      <c r="AM19" s="200">
        <f t="shared" si="13"/>
        <v>159334.90775601569</v>
      </c>
      <c r="AN19" s="86">
        <f t="shared" si="14"/>
        <v>-18470.796316407999</v>
      </c>
      <c r="AO19" s="225">
        <f t="shared" si="15"/>
        <v>-0.1311249269074965</v>
      </c>
      <c r="AP19" s="220">
        <f>Deprec!X18</f>
        <v>35268</v>
      </c>
      <c r="AQ19" s="86">
        <f t="shared" si="16"/>
        <v>-53738.796316407999</v>
      </c>
      <c r="AR19" s="455">
        <f t="shared" si="31"/>
        <v>29152.15971601502</v>
      </c>
      <c r="AS19" s="86">
        <f t="shared" si="32"/>
        <v>-82890.956032423011</v>
      </c>
      <c r="AT19" s="438">
        <f>IF(AS19&lt;0,0,(AS19*Spas_Inputs!$J$21))</f>
        <v>0</v>
      </c>
      <c r="AU19" s="86">
        <f t="shared" si="33"/>
        <v>-82890.956032423011</v>
      </c>
      <c r="AV19" s="226">
        <f t="shared" si="17"/>
        <v>-0.58844623506506577</v>
      </c>
      <c r="AY19" s="196">
        <f t="shared" si="18"/>
        <v>140864.11143960769</v>
      </c>
      <c r="AZ19" s="86">
        <f t="shared" si="19"/>
        <v>159334.90775601569</v>
      </c>
      <c r="BA19" s="197">
        <f t="shared" si="34"/>
        <v>-18470.796316407999</v>
      </c>
      <c r="BB19" s="218">
        <f>IF(B19=0,Spas_Inputs!$C$29,0)</f>
        <v>0</v>
      </c>
      <c r="BC19" s="198">
        <f t="shared" si="5"/>
        <v>0</v>
      </c>
      <c r="BD19" s="197">
        <f t="shared" si="6"/>
        <v>-18470.796316407999</v>
      </c>
      <c r="BE19" s="184">
        <f>IF(B19=0,Spas_Inputs!$G$15+Spas_Inputs!$G$16,0)</f>
        <v>0</v>
      </c>
      <c r="BF19" s="185">
        <f>IF(B19=0,Spas_Inputs!$G$14,0)</f>
        <v>0</v>
      </c>
      <c r="BG19" s="200">
        <f t="shared" si="7"/>
        <v>0</v>
      </c>
      <c r="BH19" s="196">
        <f t="shared" si="8"/>
        <v>-18470.796316407999</v>
      </c>
      <c r="BI19" s="218">
        <f>Spas_Inputs!$G$20*AVERAGE(BX19,BY19)</f>
        <v>0</v>
      </c>
      <c r="BJ19" s="200">
        <f t="shared" si="9"/>
        <v>0</v>
      </c>
      <c r="BK19" s="200">
        <f t="shared" si="20"/>
        <v>-18470.796316407999</v>
      </c>
      <c r="BL19" s="86">
        <f t="shared" si="21"/>
        <v>-18470.796316407999</v>
      </c>
      <c r="BM19" s="197">
        <f t="shared" si="22"/>
        <v>-18470.796316407999</v>
      </c>
      <c r="BN19" s="86">
        <f t="shared" si="35"/>
        <v>257983.71430101787</v>
      </c>
      <c r="BO19" s="86">
        <f t="shared" si="36"/>
        <v>181014.29477926149</v>
      </c>
      <c r="BP19" s="122">
        <f>-Debt_Calc!CE17</f>
        <v>29152.15971601502</v>
      </c>
      <c r="BQ19" s="122">
        <f>Debt_Calc!CF17</f>
        <v>76969.419521756383</v>
      </c>
      <c r="BR19" s="86">
        <f t="shared" si="23"/>
        <v>106121.5792377714</v>
      </c>
      <c r="BS19" s="423">
        <f t="shared" si="37"/>
        <v>-0.1740531609977565</v>
      </c>
      <c r="BT19" s="86">
        <f t="shared" si="38"/>
        <v>-124592.37555417939</v>
      </c>
      <c r="BU19" s="86">
        <f t="shared" si="24"/>
        <v>-124592.37555417939</v>
      </c>
      <c r="BV19" s="86">
        <f t="shared" si="39"/>
        <v>-124592.37555417939</v>
      </c>
      <c r="BW19" s="86">
        <f t="shared" si="25"/>
        <v>0</v>
      </c>
      <c r="BX19" s="86">
        <f t="shared" si="26"/>
        <v>0</v>
      </c>
      <c r="BY19" s="86">
        <f t="shared" si="10"/>
        <v>0</v>
      </c>
      <c r="BZ19" s="86">
        <f t="shared" si="27"/>
        <v>-1256228.5409461996</v>
      </c>
      <c r="CA19" s="86">
        <f t="shared" si="40"/>
        <v>0</v>
      </c>
      <c r="CB19" s="214" t="e">
        <f t="shared" si="11"/>
        <v>#VALUE!</v>
      </c>
    </row>
    <row r="20" spans="2:80" s="86" customFormat="1" x14ac:dyDescent="0.3">
      <c r="B20" s="192">
        <f t="shared" si="28"/>
        <v>9</v>
      </c>
      <c r="C20" s="350">
        <f t="shared" si="12"/>
        <v>2030</v>
      </c>
      <c r="D20" s="351">
        <f t="shared" si="29"/>
        <v>47484</v>
      </c>
      <c r="E20" s="441">
        <f t="shared" si="29"/>
        <v>47848</v>
      </c>
      <c r="F20" s="445">
        <f>IF(AND(B20&gt;0,B20&lt;=Spas_Inputs!$J$24),1,0)</f>
        <v>1</v>
      </c>
      <c r="G20" s="447">
        <f>IF(F20=1,Spas_Inputs!$F$24,0)</f>
        <v>14000</v>
      </c>
      <c r="H20" s="123">
        <f>Spas_Inputs!$J$18</f>
        <v>0.01</v>
      </c>
      <c r="I20" s="131">
        <f>IF(B20=1,Spas_Inputs!$R$15,I19*(1+H20))*F20</f>
        <v>6.3022260267554255</v>
      </c>
      <c r="J20" s="131">
        <f>IF(B20=1,Spas_Inputs!$R$16,J19*(1+H20))*F20</f>
        <v>3.1511130133777128</v>
      </c>
      <c r="K20" s="131">
        <f>IF(B20=1,Spas_Inputs!$R$17,K19*(1+H20))*F20</f>
        <v>12.604452053510851</v>
      </c>
      <c r="L20" s="131">
        <f>IF(B20=1,Spas_Inputs!$R$18,L19*(1+H20))*F20</f>
        <v>7.352597031214664</v>
      </c>
      <c r="M20" s="131">
        <f>IF(B20=1,Spas_Inputs!$R$19,M19*(1+H20))*F20</f>
        <v>21.007420089184755</v>
      </c>
      <c r="N20" s="131">
        <f>IF(B20=1,Spas_Inputs!$R$20,N19*(1+H20))*F20</f>
        <v>11.028895546821998</v>
      </c>
      <c r="O20" s="444">
        <f>$G20*I20*Spas_Inputs!$J$12</f>
        <v>17646.232874915193</v>
      </c>
      <c r="P20" s="444">
        <f>$G20*J20*Spas_Inputs!$J$13</f>
        <v>6617.3373280931974</v>
      </c>
      <c r="Q20" s="444">
        <f>$G20*K20*Spas_Inputs!$J$14</f>
        <v>35292.465749830386</v>
      </c>
      <c r="R20" s="444">
        <f>$G20*L20*Spas_Inputs!$J$15</f>
        <v>15440.453765550794</v>
      </c>
      <c r="S20" s="444">
        <f>$G20*M20*Spas_Inputs!$J$16</f>
        <v>44115.582187287982</v>
      </c>
      <c r="T20" s="444">
        <f>$G20*N20*Spas_Inputs!$J$17</f>
        <v>23160.680648326193</v>
      </c>
      <c r="U20" s="754">
        <f t="shared" si="30"/>
        <v>0</v>
      </c>
      <c r="V20" s="122">
        <f>SUM(O20:U20)+IF(B20=Spas_Inputs!$J$24,Spas_Inputs!$J$26,0)</f>
        <v>142272.75255400376</v>
      </c>
      <c r="W20" s="218">
        <f>IF(B20=1,Spas_Inputs!$O$7,W19*(1+Spas_Inputs!$N$23))*F20</f>
        <v>3660.0556650229119</v>
      </c>
      <c r="X20" s="122">
        <f>IF(B20=1,Spas_Inputs!$O$8,X19*(1+Spas_Inputs!$N$23))*F20</f>
        <v>14955.946529463521</v>
      </c>
      <c r="Y20" s="122">
        <f>IF(B20=1,Spas_Inputs!$O$9,Y19*(1+Spas_Inputs!$N$23))*F20</f>
        <v>95475.475735227825</v>
      </c>
      <c r="Z20" s="122">
        <f>IF(B20=1,Spas_Inputs!$O$10,Z19*(1+Spas_Inputs!$N$23))*F20</f>
        <v>21022.41480045073</v>
      </c>
      <c r="AA20" s="122">
        <f>IF(B20=1,Spas_Inputs!$O$11,AA19*(1+Spas_Inputs!$N$23))*F20</f>
        <v>19629.440202730897</v>
      </c>
      <c r="AB20" s="122">
        <f>IF(B20=1,Spas_Inputs!$O$12,AB19*(1+Spas_Inputs!$N$23))*F20</f>
        <v>99.891857655845016</v>
      </c>
      <c r="AC20" s="122">
        <f>IF(B20=1,Spas_Inputs!$O$13,AC19*(1+Spas_Inputs!$N$23))*F20</f>
        <v>0</v>
      </c>
      <c r="AD20" s="122">
        <f>IF(B20=1,Spas_Inputs!$O$14,AD19*(1+Spas_Inputs!$N$23))*F20</f>
        <v>711.36376277001887</v>
      </c>
      <c r="AE20" s="122">
        <f>IF(B20=1,Spas_Inputs!$O$15,AE19*(1+Spas_Inputs!$N$23))*F20</f>
        <v>711.36376277001887</v>
      </c>
      <c r="AF20" s="122">
        <f>IF(B20=1,Spas_Inputs!$O$16,AF19*(1+Spas_Inputs!$N$23))*F20</f>
        <v>4662.3045174840354</v>
      </c>
      <c r="AG20" s="122">
        <f>IF(B20=1,Spas_Inputs!$O$17,AG19*(1+Spas_Inputs!$N$23))*F20</f>
        <v>0</v>
      </c>
      <c r="AH20" s="181">
        <f>IF(B20=1,Spas_Inputs!$O$18,AH19*(1+Spas_Inputs!$N$23))*F20</f>
        <v>0</v>
      </c>
      <c r="AI20" s="482">
        <f>IF(B20=1,Spas_Inputs!$O$19,AI19*(1+Spas_Inputs!$N$23))*F20</f>
        <v>0</v>
      </c>
      <c r="AJ20" s="122">
        <f>IF(B20=1,Spas_Inputs!$O$20,AJ19*(1+Spas_Inputs!$N$23))*F20</f>
        <v>0</v>
      </c>
      <c r="AK20" s="122">
        <f>IF(B20=1,Spas_Inputs!$O$21,AK19*(1+Spas_Inputs!$N$23))*F20</f>
        <v>0</v>
      </c>
      <c r="AL20" s="132">
        <f>IF(B20=1,Spas_Inputs!$O$22,AL19*(1+Spas_Inputs!$N$23))*F20</f>
        <v>0</v>
      </c>
      <c r="AM20" s="200">
        <f t="shared" si="13"/>
        <v>160928.25683357578</v>
      </c>
      <c r="AN20" s="86">
        <f t="shared" si="14"/>
        <v>-18655.504279572022</v>
      </c>
      <c r="AO20" s="225">
        <f t="shared" si="15"/>
        <v>-0.13112492690749611</v>
      </c>
      <c r="AP20" s="220">
        <f>Deprec!X19</f>
        <v>35268</v>
      </c>
      <c r="AQ20" s="86">
        <f t="shared" si="16"/>
        <v>-53923.504279572022</v>
      </c>
      <c r="AR20" s="455">
        <f t="shared" si="31"/>
        <v>20454.61531005655</v>
      </c>
      <c r="AS20" s="86">
        <f t="shared" si="32"/>
        <v>-74378.119589628564</v>
      </c>
      <c r="AT20" s="438">
        <f>IF(AS20&lt;0,0,(AS20*Spas_Inputs!$J$21))</f>
        <v>0</v>
      </c>
      <c r="AU20" s="86">
        <f t="shared" si="33"/>
        <v>-74378.119589628564</v>
      </c>
      <c r="AV20" s="226">
        <f t="shared" si="17"/>
        <v>-0.52278541220601038</v>
      </c>
      <c r="AY20" s="196">
        <f t="shared" si="18"/>
        <v>142272.75255400376</v>
      </c>
      <c r="AZ20" s="86">
        <f t="shared" si="19"/>
        <v>160928.25683357578</v>
      </c>
      <c r="BA20" s="197">
        <f t="shared" si="34"/>
        <v>-18655.504279572022</v>
      </c>
      <c r="BB20" s="218">
        <f>IF(B20=0,Spas_Inputs!$C$29,0)</f>
        <v>0</v>
      </c>
      <c r="BC20" s="198">
        <f t="shared" si="5"/>
        <v>0</v>
      </c>
      <c r="BD20" s="197">
        <f t="shared" si="6"/>
        <v>-18655.504279572022</v>
      </c>
      <c r="BE20" s="184">
        <f>IF(B20=0,Spas_Inputs!$G$15+Spas_Inputs!$G$16,0)</f>
        <v>0</v>
      </c>
      <c r="BF20" s="185">
        <f>IF(B20=0,Spas_Inputs!$G$14,0)</f>
        <v>0</v>
      </c>
      <c r="BG20" s="200">
        <f t="shared" si="7"/>
        <v>0</v>
      </c>
      <c r="BH20" s="196">
        <f t="shared" si="8"/>
        <v>-18655.504279572022</v>
      </c>
      <c r="BI20" s="218">
        <f>Spas_Inputs!$G$20*AVERAGE(BX20,BY20)</f>
        <v>0</v>
      </c>
      <c r="BJ20" s="200">
        <f t="shared" si="9"/>
        <v>0</v>
      </c>
      <c r="BK20" s="200">
        <f t="shared" si="20"/>
        <v>-18655.504279572022</v>
      </c>
      <c r="BL20" s="86">
        <f t="shared" si="21"/>
        <v>-18655.504279572022</v>
      </c>
      <c r="BM20" s="197">
        <f t="shared" si="22"/>
        <v>-18655.504279572022</v>
      </c>
      <c r="BN20" s="86">
        <f t="shared" si="35"/>
        <v>181014.29477926149</v>
      </c>
      <c r="BO20" s="86">
        <f t="shared" si="36"/>
        <v>95347.330851546605</v>
      </c>
      <c r="BP20" s="122">
        <f>-Debt_Calc!CE18</f>
        <v>20454.61531005655</v>
      </c>
      <c r="BQ20" s="122">
        <f>Debt_Calc!CF18</f>
        <v>85666.963927714882</v>
      </c>
      <c r="BR20" s="86">
        <f t="shared" si="23"/>
        <v>106121.57923777142</v>
      </c>
      <c r="BS20" s="423">
        <f t="shared" si="37"/>
        <v>-0.17579369260773348</v>
      </c>
      <c r="BT20" s="86">
        <f t="shared" si="38"/>
        <v>-124777.08351734345</v>
      </c>
      <c r="BU20" s="86">
        <f t="shared" si="24"/>
        <v>-124777.08351734345</v>
      </c>
      <c r="BV20" s="86">
        <f t="shared" si="39"/>
        <v>-124777.08351734345</v>
      </c>
      <c r="BW20" s="86">
        <f t="shared" si="25"/>
        <v>0</v>
      </c>
      <c r="BX20" s="86">
        <f t="shared" si="26"/>
        <v>0</v>
      </c>
      <c r="BY20" s="86">
        <f t="shared" si="10"/>
        <v>0</v>
      </c>
      <c r="BZ20" s="86">
        <f t="shared" si="27"/>
        <v>-1381005.6244635431</v>
      </c>
      <c r="CA20" s="86">
        <f t="shared" si="40"/>
        <v>0</v>
      </c>
      <c r="CB20" s="214" t="e">
        <f t="shared" si="11"/>
        <v>#VALUE!</v>
      </c>
    </row>
    <row r="21" spans="2:80" s="86" customFormat="1" x14ac:dyDescent="0.3">
      <c r="B21" s="192">
        <f t="shared" si="28"/>
        <v>10</v>
      </c>
      <c r="C21" s="350">
        <f t="shared" si="12"/>
        <v>2031</v>
      </c>
      <c r="D21" s="351">
        <f t="shared" si="29"/>
        <v>47849</v>
      </c>
      <c r="E21" s="441">
        <f t="shared" si="29"/>
        <v>48213</v>
      </c>
      <c r="F21" s="445">
        <f>IF(AND(B21&gt;0,B21&lt;=Spas_Inputs!$J$24),1,0)</f>
        <v>1</v>
      </c>
      <c r="G21" s="447">
        <f>IF(F21=1,Spas_Inputs!$F$24,0)</f>
        <v>14000</v>
      </c>
      <c r="H21" s="123">
        <f>Spas_Inputs!$J$18</f>
        <v>0.01</v>
      </c>
      <c r="I21" s="131">
        <f>IF(B21=1,Spas_Inputs!$R$15,I20*(1+H21))*F21</f>
        <v>6.3652482870229798</v>
      </c>
      <c r="J21" s="131">
        <f>IF(B21=1,Spas_Inputs!$R$16,J20*(1+H21))*F21</f>
        <v>3.1826241435114899</v>
      </c>
      <c r="K21" s="131">
        <f>IF(B21=1,Spas_Inputs!$R$17,K20*(1+H21))*F21</f>
        <v>12.73049657404596</v>
      </c>
      <c r="L21" s="131">
        <f>IF(B21=1,Spas_Inputs!$R$18,L20*(1+H21))*F21</f>
        <v>7.4261230015268112</v>
      </c>
      <c r="M21" s="131">
        <f>IF(B21=1,Spas_Inputs!$R$19,M20*(1+H21))*F21</f>
        <v>21.217494290076605</v>
      </c>
      <c r="N21" s="131">
        <f>IF(B21=1,Spas_Inputs!$R$20,N20*(1+H21))*F21</f>
        <v>11.139184502290219</v>
      </c>
      <c r="O21" s="444">
        <f>$G21*I21*Spas_Inputs!$J$12</f>
        <v>17822.695203664345</v>
      </c>
      <c r="P21" s="444">
        <f>$G21*J21*Spas_Inputs!$J$13</f>
        <v>6683.5107013741281</v>
      </c>
      <c r="Q21" s="444">
        <f>$G21*K21*Spas_Inputs!$J$14</f>
        <v>35645.39040732869</v>
      </c>
      <c r="R21" s="444">
        <f>$G21*L21*Spas_Inputs!$J$15</f>
        <v>15594.858303206303</v>
      </c>
      <c r="S21" s="444">
        <f>$G21*M21*Spas_Inputs!$J$16</f>
        <v>44556.738009160865</v>
      </c>
      <c r="T21" s="444">
        <f>$G21*N21*Spas_Inputs!$J$17</f>
        <v>23392.287454809459</v>
      </c>
      <c r="U21" s="754">
        <f t="shared" si="30"/>
        <v>0</v>
      </c>
      <c r="V21" s="122">
        <f>SUM(O21:U21)+IF(B21=Spas_Inputs!$J$24,Spas_Inputs!$J$26,0)</f>
        <v>143695.48007954381</v>
      </c>
      <c r="W21" s="218">
        <f>IF(B21=1,Spas_Inputs!$O$7,W20*(1+Spas_Inputs!$N$23))*F21</f>
        <v>3696.6562216731409</v>
      </c>
      <c r="X21" s="122">
        <f>IF(B21=1,Spas_Inputs!$O$8,X20*(1+Spas_Inputs!$N$23))*F21</f>
        <v>15105.505994758156</v>
      </c>
      <c r="Y21" s="122">
        <f>IF(B21=1,Spas_Inputs!$O$9,Y20*(1+Spas_Inputs!$N$23))*F21</f>
        <v>96430.2304925801</v>
      </c>
      <c r="Z21" s="122">
        <f>IF(B21=1,Spas_Inputs!$O$10,Z20*(1+Spas_Inputs!$N$23))*F21</f>
        <v>21232.638948455238</v>
      </c>
      <c r="AA21" s="122">
        <f>IF(B21=1,Spas_Inputs!$O$11,AA20*(1+Spas_Inputs!$N$23))*F21</f>
        <v>19825.734604758207</v>
      </c>
      <c r="AB21" s="122">
        <f>IF(B21=1,Spas_Inputs!$O$12,AB20*(1+Spas_Inputs!$N$23))*F21</f>
        <v>100.89077623240347</v>
      </c>
      <c r="AC21" s="122">
        <f>IF(B21=1,Spas_Inputs!$O$13,AC20*(1+Spas_Inputs!$N$23))*F21</f>
        <v>0</v>
      </c>
      <c r="AD21" s="122">
        <f>IF(B21=1,Spas_Inputs!$O$14,AD20*(1+Spas_Inputs!$N$23))*F21</f>
        <v>718.47740039771907</v>
      </c>
      <c r="AE21" s="122">
        <f>IF(B21=1,Spas_Inputs!$O$15,AE20*(1+Spas_Inputs!$N$23))*F21</f>
        <v>718.47740039771907</v>
      </c>
      <c r="AF21" s="122">
        <f>IF(B21=1,Spas_Inputs!$O$16,AF20*(1+Spas_Inputs!$N$23))*F21</f>
        <v>4708.927562658876</v>
      </c>
      <c r="AG21" s="122">
        <f>IF(B21=1,Spas_Inputs!$O$17,AG20*(1+Spas_Inputs!$N$23))*F21</f>
        <v>0</v>
      </c>
      <c r="AH21" s="181">
        <f>IF(B21=1,Spas_Inputs!$O$18,AH20*(1+Spas_Inputs!$N$23))*F21</f>
        <v>0</v>
      </c>
      <c r="AI21" s="482">
        <f>IF(B21=1,Spas_Inputs!$O$19,AI20*(1+Spas_Inputs!$N$23))*F21</f>
        <v>0</v>
      </c>
      <c r="AJ21" s="122">
        <f>IF(B21=1,Spas_Inputs!$O$20,AJ20*(1+Spas_Inputs!$N$23))*F21</f>
        <v>0</v>
      </c>
      <c r="AK21" s="122">
        <f>IF(B21=1,Spas_Inputs!$O$21,AK20*(1+Spas_Inputs!$N$23))*F21</f>
        <v>0</v>
      </c>
      <c r="AL21" s="132">
        <f>IF(B21=1,Spas_Inputs!$O$22,AL20*(1+Spas_Inputs!$N$23))*F21</f>
        <v>0</v>
      </c>
      <c r="AM21" s="200">
        <f t="shared" si="13"/>
        <v>162537.53940191155</v>
      </c>
      <c r="AN21" s="86">
        <f t="shared" si="14"/>
        <v>-18842.059322367742</v>
      </c>
      <c r="AO21" s="225">
        <f t="shared" si="15"/>
        <v>-0.13112492690749608</v>
      </c>
      <c r="AP21" s="220">
        <f>Deprec!X20</f>
        <v>35268</v>
      </c>
      <c r="AQ21" s="86">
        <f t="shared" si="16"/>
        <v>-54110.059322367742</v>
      </c>
      <c r="AR21" s="455">
        <f t="shared" si="31"/>
        <v>10774.248386224766</v>
      </c>
      <c r="AS21" s="86">
        <f t="shared" si="32"/>
        <v>-64884.307708592511</v>
      </c>
      <c r="AT21" s="438">
        <f>IF(AS21&lt;0,0,(AS21*Spas_Inputs!$J$21))</f>
        <v>0</v>
      </c>
      <c r="AU21" s="86">
        <f t="shared" si="33"/>
        <v>-64884.307708592511</v>
      </c>
      <c r="AV21" s="226">
        <f t="shared" si="17"/>
        <v>-0.45154035236651335</v>
      </c>
      <c r="AY21" s="196">
        <f t="shared" si="18"/>
        <v>143695.48007954381</v>
      </c>
      <c r="AZ21" s="86">
        <f t="shared" si="19"/>
        <v>162537.53940191155</v>
      </c>
      <c r="BA21" s="197">
        <f t="shared" si="34"/>
        <v>-18842.059322367742</v>
      </c>
      <c r="BB21" s="218">
        <f>IF(B21=0,Spas_Inputs!$C$29,0)</f>
        <v>0</v>
      </c>
      <c r="BC21" s="198">
        <f t="shared" si="5"/>
        <v>0</v>
      </c>
      <c r="BD21" s="197">
        <f t="shared" si="6"/>
        <v>-18842.059322367742</v>
      </c>
      <c r="BE21" s="184">
        <f>IF(B21=0,Spas_Inputs!$G$15+Spas_Inputs!$G$16,0)</f>
        <v>0</v>
      </c>
      <c r="BF21" s="185">
        <f>IF(B21=0,Spas_Inputs!$G$14,0)</f>
        <v>0</v>
      </c>
      <c r="BG21" s="200">
        <f t="shared" si="7"/>
        <v>0</v>
      </c>
      <c r="BH21" s="196">
        <f t="shared" si="8"/>
        <v>-18842.059322367742</v>
      </c>
      <c r="BI21" s="218">
        <f>Spas_Inputs!$G$20*AVERAGE(BX21,BY21)</f>
        <v>0</v>
      </c>
      <c r="BJ21" s="200">
        <f t="shared" si="9"/>
        <v>0</v>
      </c>
      <c r="BK21" s="200">
        <f t="shared" si="20"/>
        <v>-18842.059322367742</v>
      </c>
      <c r="BL21" s="86">
        <f t="shared" si="21"/>
        <v>-18842.059322367742</v>
      </c>
      <c r="BM21" s="197">
        <f t="shared" si="22"/>
        <v>-18842.059322367742</v>
      </c>
      <c r="BN21" s="86">
        <f t="shared" si="35"/>
        <v>95347.330851546605</v>
      </c>
      <c r="BO21" s="86">
        <f t="shared" si="36"/>
        <v>0</v>
      </c>
      <c r="BP21" s="122">
        <f>-Debt_Calc!CE19</f>
        <v>10774.248386224766</v>
      </c>
      <c r="BQ21" s="122">
        <f>Debt_Calc!CF19</f>
        <v>95347.33085154662</v>
      </c>
      <c r="BR21" s="86">
        <f t="shared" si="23"/>
        <v>106121.57923777138</v>
      </c>
      <c r="BS21" s="423">
        <f t="shared" si="37"/>
        <v>-0.1775516295338109</v>
      </c>
      <c r="BT21" s="86">
        <f t="shared" si="38"/>
        <v>-124963.63856013912</v>
      </c>
      <c r="BU21" s="86">
        <f t="shared" si="24"/>
        <v>-124963.63856013912</v>
      </c>
      <c r="BV21" s="86">
        <f t="shared" si="39"/>
        <v>-124963.63856013912</v>
      </c>
      <c r="BW21" s="86">
        <f t="shared" si="25"/>
        <v>0</v>
      </c>
      <c r="BX21" s="86">
        <f t="shared" si="26"/>
        <v>0</v>
      </c>
      <c r="BY21" s="86">
        <f t="shared" si="10"/>
        <v>0</v>
      </c>
      <c r="BZ21" s="86">
        <f t="shared" si="27"/>
        <v>-1505969.2630236822</v>
      </c>
      <c r="CA21" s="86">
        <f t="shared" si="40"/>
        <v>0</v>
      </c>
      <c r="CB21" s="214" t="e">
        <f t="shared" si="11"/>
        <v>#VALUE!</v>
      </c>
    </row>
    <row r="22" spans="2:80" s="86" customFormat="1" x14ac:dyDescent="0.3">
      <c r="B22" s="192">
        <f t="shared" si="28"/>
        <v>11</v>
      </c>
      <c r="C22" s="350">
        <f t="shared" si="12"/>
        <v>2032</v>
      </c>
      <c r="D22" s="351">
        <f t="shared" si="29"/>
        <v>48214</v>
      </c>
      <c r="E22" s="441">
        <f t="shared" si="29"/>
        <v>48579</v>
      </c>
      <c r="F22" s="445">
        <f>IF(AND(B22&gt;0,B22&lt;=Spas_Inputs!$J$24),1,0)</f>
        <v>1</v>
      </c>
      <c r="G22" s="447">
        <f>IF(F22=1,Spas_Inputs!$F$24,0)</f>
        <v>14000</v>
      </c>
      <c r="H22" s="123">
        <f>Spas_Inputs!$J$18</f>
        <v>0.01</v>
      </c>
      <c r="I22" s="131">
        <f>IF(B22=1,Spas_Inputs!$R$15,I21*(1+H22))*F22</f>
        <v>6.4289007698932101</v>
      </c>
      <c r="J22" s="131">
        <f>IF(B22=1,Spas_Inputs!$R$16,J21*(1+H22))*F22</f>
        <v>3.2144503849466051</v>
      </c>
      <c r="K22" s="131">
        <f>IF(B22=1,Spas_Inputs!$R$17,K21*(1+H22))*F22</f>
        <v>12.85780153978642</v>
      </c>
      <c r="L22" s="131">
        <f>IF(B22=1,Spas_Inputs!$R$18,L21*(1+H22))*F22</f>
        <v>7.5003842315420792</v>
      </c>
      <c r="M22" s="131">
        <f>IF(B22=1,Spas_Inputs!$R$19,M21*(1+H22))*F22</f>
        <v>21.429669232977371</v>
      </c>
      <c r="N22" s="131">
        <f>IF(B22=1,Spas_Inputs!$R$20,N21*(1+H22))*F22</f>
        <v>11.250576347313121</v>
      </c>
      <c r="O22" s="444">
        <f>$G22*I22*Spas_Inputs!$J$12</f>
        <v>18000.922155700988</v>
      </c>
      <c r="P22" s="444">
        <f>$G22*J22*Spas_Inputs!$J$13</f>
        <v>6750.3458083878704</v>
      </c>
      <c r="Q22" s="444">
        <f>$G22*K22*Spas_Inputs!$J$14</f>
        <v>36001.844311401976</v>
      </c>
      <c r="R22" s="444">
        <f>$G22*L22*Spas_Inputs!$J$15</f>
        <v>15750.806886238366</v>
      </c>
      <c r="S22" s="444">
        <f>$G22*M22*Spas_Inputs!$J$16</f>
        <v>45002.305389252477</v>
      </c>
      <c r="T22" s="444">
        <f>$G22*N22*Spas_Inputs!$J$17</f>
        <v>23626.210329357553</v>
      </c>
      <c r="U22" s="754">
        <f t="shared" si="30"/>
        <v>0</v>
      </c>
      <c r="V22" s="122">
        <f>SUM(O22:U22)+IF(B22=Spas_Inputs!$J$24,Spas_Inputs!$J$26,0)</f>
        <v>145132.43488033922</v>
      </c>
      <c r="W22" s="218">
        <f>IF(B22=1,Spas_Inputs!$O$7,W21*(1+Spas_Inputs!$N$23))*F22</f>
        <v>3733.6227838898722</v>
      </c>
      <c r="X22" s="122">
        <f>IF(B22=1,Spas_Inputs!$O$8,X21*(1+Spas_Inputs!$N$23))*F22</f>
        <v>15256.561054705737</v>
      </c>
      <c r="Y22" s="122">
        <f>IF(B22=1,Spas_Inputs!$O$9,Y21*(1+Spas_Inputs!$N$23))*F22</f>
        <v>97394.532797505904</v>
      </c>
      <c r="Z22" s="122">
        <f>IF(B22=1,Spas_Inputs!$O$10,Z21*(1+Spas_Inputs!$N$23))*F22</f>
        <v>21444.96533793979</v>
      </c>
      <c r="AA22" s="122">
        <f>IF(B22=1,Spas_Inputs!$O$11,AA21*(1+Spas_Inputs!$N$23))*F22</f>
        <v>20023.99195080579</v>
      </c>
      <c r="AB22" s="122">
        <f>IF(B22=1,Spas_Inputs!$O$12,AB21*(1+Spas_Inputs!$N$23))*F22</f>
        <v>101.8996839947275</v>
      </c>
      <c r="AC22" s="122">
        <f>IF(B22=1,Spas_Inputs!$O$13,AC21*(1+Spas_Inputs!$N$23))*F22</f>
        <v>0</v>
      </c>
      <c r="AD22" s="122">
        <f>IF(B22=1,Spas_Inputs!$O$14,AD21*(1+Spas_Inputs!$N$23))*F22</f>
        <v>725.66217440169623</v>
      </c>
      <c r="AE22" s="122">
        <f>IF(B22=1,Spas_Inputs!$O$15,AE21*(1+Spas_Inputs!$N$23))*F22</f>
        <v>725.66217440169623</v>
      </c>
      <c r="AF22" s="122">
        <f>IF(B22=1,Spas_Inputs!$O$16,AF21*(1+Spas_Inputs!$N$23))*F22</f>
        <v>4756.0168382854645</v>
      </c>
      <c r="AG22" s="122">
        <f>IF(B22=1,Spas_Inputs!$O$17,AG21*(1+Spas_Inputs!$N$23))*F22</f>
        <v>0</v>
      </c>
      <c r="AH22" s="181">
        <f>IF(B22=1,Spas_Inputs!$O$18,AH21*(1+Spas_Inputs!$N$23))*F22</f>
        <v>0</v>
      </c>
      <c r="AI22" s="482">
        <f>IF(B22=1,Spas_Inputs!$O$19,AI21*(1+Spas_Inputs!$N$23))*F22</f>
        <v>0</v>
      </c>
      <c r="AJ22" s="122">
        <f>IF(B22=1,Spas_Inputs!$O$20,AJ21*(1+Spas_Inputs!$N$23))*F22</f>
        <v>0</v>
      </c>
      <c r="AK22" s="122">
        <f>IF(B22=1,Spas_Inputs!$O$21,AK21*(1+Spas_Inputs!$N$23))*F22</f>
        <v>0</v>
      </c>
      <c r="AL22" s="132">
        <f>IF(B22=1,Spas_Inputs!$O$22,AL21*(1+Spas_Inputs!$N$23))*F22</f>
        <v>0</v>
      </c>
      <c r="AM22" s="200">
        <f t="shared" si="13"/>
        <v>164162.91479593067</v>
      </c>
      <c r="AN22" s="86">
        <f t="shared" si="14"/>
        <v>-19030.479915591452</v>
      </c>
      <c r="AO22" s="225">
        <f t="shared" si="15"/>
        <v>-0.13112492690749633</v>
      </c>
      <c r="AP22" s="220">
        <f>Deprec!X21</f>
        <v>35268</v>
      </c>
      <c r="AQ22" s="86">
        <f t="shared" si="16"/>
        <v>-54298.479915591452</v>
      </c>
      <c r="AR22" s="455">
        <f t="shared" si="31"/>
        <v>0</v>
      </c>
      <c r="AS22" s="86">
        <f t="shared" si="32"/>
        <v>-54298.479915591452</v>
      </c>
      <c r="AT22" s="438">
        <f>IF(AS22&lt;0,0,(AS22*Spas_Inputs!$J$21))</f>
        <v>0</v>
      </c>
      <c r="AU22" s="86">
        <f t="shared" si="33"/>
        <v>-54298.479915591452</v>
      </c>
      <c r="AV22" s="226">
        <f t="shared" si="17"/>
        <v>-0.37413056537196671</v>
      </c>
      <c r="AY22" s="196">
        <f t="shared" si="18"/>
        <v>145132.43488033922</v>
      </c>
      <c r="AZ22" s="86">
        <f t="shared" si="19"/>
        <v>164162.91479593067</v>
      </c>
      <c r="BA22" s="197">
        <f t="shared" si="34"/>
        <v>-19030.479915591452</v>
      </c>
      <c r="BB22" s="218">
        <f>IF(B22=0,Spas_Inputs!$C$29,0)</f>
        <v>0</v>
      </c>
      <c r="BC22" s="198">
        <f t="shared" si="5"/>
        <v>0</v>
      </c>
      <c r="BD22" s="197">
        <f t="shared" si="6"/>
        <v>-19030.479915591452</v>
      </c>
      <c r="BE22" s="184">
        <f>IF(B22=0,Spas_Inputs!$G$15+Spas_Inputs!$G$16,0)</f>
        <v>0</v>
      </c>
      <c r="BF22" s="185">
        <f>IF(B22=0,Spas_Inputs!$G$14,0)</f>
        <v>0</v>
      </c>
      <c r="BG22" s="200">
        <f t="shared" si="7"/>
        <v>0</v>
      </c>
      <c r="BH22" s="196">
        <f t="shared" si="8"/>
        <v>-19030.479915591452</v>
      </c>
      <c r="BI22" s="218">
        <f>Spas_Inputs!$G$20*AVERAGE(BX22,BY22)</f>
        <v>0</v>
      </c>
      <c r="BJ22" s="200">
        <f t="shared" si="9"/>
        <v>0</v>
      </c>
      <c r="BK22" s="200">
        <f t="shared" si="20"/>
        <v>-19030.479915591452</v>
      </c>
      <c r="BL22" s="86">
        <f t="shared" si="21"/>
        <v>-19030.479915591452</v>
      </c>
      <c r="BM22" s="197">
        <f t="shared" si="22"/>
        <v>-19030.479915591452</v>
      </c>
      <c r="BN22" s="86">
        <f t="shared" si="35"/>
        <v>0</v>
      </c>
      <c r="BO22" s="86">
        <f t="shared" si="36"/>
        <v>0</v>
      </c>
      <c r="BP22" s="122">
        <f>-Debt_Calc!CE20</f>
        <v>0</v>
      </c>
      <c r="BQ22" s="122">
        <f>Debt_Calc!CF20</f>
        <v>0</v>
      </c>
      <c r="BR22" s="86">
        <f t="shared" si="23"/>
        <v>0</v>
      </c>
      <c r="BS22" s="423">
        <f t="shared" si="37"/>
        <v>0</v>
      </c>
      <c r="BT22" s="86">
        <f t="shared" si="38"/>
        <v>-19030.479915591452</v>
      </c>
      <c r="BU22" s="86">
        <f t="shared" si="24"/>
        <v>-19030.479915591452</v>
      </c>
      <c r="BV22" s="86">
        <f t="shared" si="39"/>
        <v>-19030.479915591452</v>
      </c>
      <c r="BW22" s="86">
        <f t="shared" si="25"/>
        <v>0</v>
      </c>
      <c r="BX22" s="86">
        <f t="shared" si="26"/>
        <v>0</v>
      </c>
      <c r="BY22" s="86">
        <f t="shared" si="10"/>
        <v>0</v>
      </c>
      <c r="BZ22" s="86">
        <f t="shared" si="27"/>
        <v>-1524999.7429392736</v>
      </c>
      <c r="CA22" s="86">
        <f t="shared" si="40"/>
        <v>0</v>
      </c>
      <c r="CB22" s="214" t="e">
        <f t="shared" si="11"/>
        <v>#VALUE!</v>
      </c>
    </row>
    <row r="23" spans="2:80" s="86" customFormat="1" x14ac:dyDescent="0.3">
      <c r="B23" s="192">
        <f t="shared" si="28"/>
        <v>12</v>
      </c>
      <c r="C23" s="350">
        <f t="shared" si="12"/>
        <v>2033</v>
      </c>
      <c r="D23" s="351">
        <f t="shared" si="29"/>
        <v>48580</v>
      </c>
      <c r="E23" s="441">
        <f t="shared" si="29"/>
        <v>48944</v>
      </c>
      <c r="F23" s="445">
        <f>IF(AND(B23&gt;0,B23&lt;=Spas_Inputs!$J$24),1,0)</f>
        <v>1</v>
      </c>
      <c r="G23" s="447">
        <f>IF(F23=1,Spas_Inputs!$F$24,0)</f>
        <v>14000</v>
      </c>
      <c r="H23" s="123">
        <f>Spas_Inputs!$J$18</f>
        <v>0.01</v>
      </c>
      <c r="I23" s="131">
        <f>IF(B23=1,Spas_Inputs!$R$15,I22*(1+H23))*F23</f>
        <v>6.4931897775921419</v>
      </c>
      <c r="J23" s="131">
        <f>IF(B23=1,Spas_Inputs!$R$16,J22*(1+H23))*F23</f>
        <v>3.2465948887960709</v>
      </c>
      <c r="K23" s="131">
        <f>IF(B23=1,Spas_Inputs!$R$17,K22*(1+H23))*F23</f>
        <v>12.986379555184284</v>
      </c>
      <c r="L23" s="131">
        <f>IF(B23=1,Spas_Inputs!$R$18,L22*(1+H23))*F23</f>
        <v>7.5753880738574999</v>
      </c>
      <c r="M23" s="131">
        <f>IF(B23=1,Spas_Inputs!$R$19,M22*(1+H23))*F23</f>
        <v>21.643965925307146</v>
      </c>
      <c r="N23" s="131">
        <f>IF(B23=1,Spas_Inputs!$R$20,N22*(1+H23))*F23</f>
        <v>11.363082110786252</v>
      </c>
      <c r="O23" s="444">
        <f>$G23*I23*Spas_Inputs!$J$12</f>
        <v>18180.931377257999</v>
      </c>
      <c r="P23" s="444">
        <f>$G23*J23*Spas_Inputs!$J$13</f>
        <v>6817.8492664717487</v>
      </c>
      <c r="Q23" s="444">
        <f>$G23*K23*Spas_Inputs!$J$14</f>
        <v>36361.862754515998</v>
      </c>
      <c r="R23" s="444">
        <f>$G23*L23*Spas_Inputs!$J$15</f>
        <v>15908.314955100748</v>
      </c>
      <c r="S23" s="444">
        <f>$G23*M23*Spas_Inputs!$J$16</f>
        <v>45452.328443145008</v>
      </c>
      <c r="T23" s="444">
        <f>$G23*N23*Spas_Inputs!$J$17</f>
        <v>23862.472432651128</v>
      </c>
      <c r="U23" s="754">
        <f t="shared" si="30"/>
        <v>0</v>
      </c>
      <c r="V23" s="122">
        <f>SUM(O23:U23)+IF(B23=Spas_Inputs!$J$24,Spas_Inputs!$J$26,0)</f>
        <v>146583.75922914263</v>
      </c>
      <c r="W23" s="218">
        <f>IF(B23=1,Spas_Inputs!$O$7,W22*(1+Spas_Inputs!$N$23))*F23</f>
        <v>3770.9590117287707</v>
      </c>
      <c r="X23" s="122">
        <f>IF(B23=1,Spas_Inputs!$O$8,X22*(1+Spas_Inputs!$N$23))*F23</f>
        <v>15409.126665252794</v>
      </c>
      <c r="Y23" s="122">
        <f>IF(B23=1,Spas_Inputs!$O$9,Y22*(1+Spas_Inputs!$N$23))*F23</f>
        <v>98368.478125480964</v>
      </c>
      <c r="Z23" s="122">
        <f>IF(B23=1,Spas_Inputs!$O$10,Z22*(1+Spas_Inputs!$N$23))*F23</f>
        <v>21659.414991319187</v>
      </c>
      <c r="AA23" s="122">
        <f>IF(B23=1,Spas_Inputs!$O$11,AA22*(1+Spas_Inputs!$N$23))*F23</f>
        <v>20224.231870313848</v>
      </c>
      <c r="AB23" s="122">
        <f>IF(B23=1,Spas_Inputs!$O$12,AB22*(1+Spas_Inputs!$N$23))*F23</f>
        <v>102.91868083467477</v>
      </c>
      <c r="AC23" s="122">
        <f>IF(B23=1,Spas_Inputs!$O$13,AC22*(1+Spas_Inputs!$N$23))*F23</f>
        <v>0</v>
      </c>
      <c r="AD23" s="122">
        <f>IF(B23=1,Spas_Inputs!$O$14,AD22*(1+Spas_Inputs!$N$23))*F23</f>
        <v>732.91879614571326</v>
      </c>
      <c r="AE23" s="122">
        <f>IF(B23=1,Spas_Inputs!$O$15,AE22*(1+Spas_Inputs!$N$23))*F23</f>
        <v>732.91879614571326</v>
      </c>
      <c r="AF23" s="122">
        <f>IF(B23=1,Spas_Inputs!$O$16,AF22*(1+Spas_Inputs!$N$23))*F23</f>
        <v>4803.577006668319</v>
      </c>
      <c r="AG23" s="122">
        <f>IF(B23=1,Spas_Inputs!$O$17,AG22*(1+Spas_Inputs!$N$23))*F23</f>
        <v>0</v>
      </c>
      <c r="AH23" s="181">
        <f>IF(B23=1,Spas_Inputs!$O$18,AH22*(1+Spas_Inputs!$N$23))*F23</f>
        <v>0</v>
      </c>
      <c r="AI23" s="482">
        <f>IF(B23=1,Spas_Inputs!$O$19,AI22*(1+Spas_Inputs!$N$23))*F23</f>
        <v>0</v>
      </c>
      <c r="AJ23" s="122">
        <f>IF(B23=1,Spas_Inputs!$O$20,AJ22*(1+Spas_Inputs!$N$23))*F23</f>
        <v>0</v>
      </c>
      <c r="AK23" s="122">
        <f>IF(B23=1,Spas_Inputs!$O$21,AK22*(1+Spas_Inputs!$N$23))*F23</f>
        <v>0</v>
      </c>
      <c r="AL23" s="132">
        <f>IF(B23=1,Spas_Inputs!$O$22,AL22*(1+Spas_Inputs!$N$23))*F23</f>
        <v>0</v>
      </c>
      <c r="AM23" s="200">
        <f t="shared" si="13"/>
        <v>165804.54394388996</v>
      </c>
      <c r="AN23" s="86">
        <f t="shared" si="14"/>
        <v>-19220.784714747337</v>
      </c>
      <c r="AO23" s="225">
        <f t="shared" si="15"/>
        <v>-0.13112492690749611</v>
      </c>
      <c r="AP23" s="220">
        <f>Deprec!X22</f>
        <v>35268</v>
      </c>
      <c r="AQ23" s="86">
        <f t="shared" si="16"/>
        <v>-54488.784714747337</v>
      </c>
      <c r="AR23" s="455">
        <f t="shared" si="31"/>
        <v>0</v>
      </c>
      <c r="AS23" s="86">
        <f t="shared" si="32"/>
        <v>-54488.784714747337</v>
      </c>
      <c r="AT23" s="438">
        <f>IF(AS23&lt;0,0,(AS23*Spas_Inputs!$J$21))</f>
        <v>0</v>
      </c>
      <c r="AU23" s="86">
        <f t="shared" si="33"/>
        <v>-54488.784714747337</v>
      </c>
      <c r="AV23" s="226">
        <f t="shared" si="17"/>
        <v>-0.37172456895152617</v>
      </c>
      <c r="AY23" s="196">
        <f t="shared" si="18"/>
        <v>146583.75922914263</v>
      </c>
      <c r="AZ23" s="86">
        <f t="shared" si="19"/>
        <v>165804.54394388996</v>
      </c>
      <c r="BA23" s="197">
        <f t="shared" si="34"/>
        <v>-19220.784714747337</v>
      </c>
      <c r="BB23" s="218">
        <f>IF(B23=0,Spas_Inputs!$C$29,0)</f>
        <v>0</v>
      </c>
      <c r="BC23" s="198">
        <f t="shared" si="5"/>
        <v>0</v>
      </c>
      <c r="BD23" s="197">
        <f t="shared" si="6"/>
        <v>-19220.784714747337</v>
      </c>
      <c r="BE23" s="184">
        <f>IF(B23=0,Spas_Inputs!$G$15+Spas_Inputs!$G$16,0)</f>
        <v>0</v>
      </c>
      <c r="BF23" s="185">
        <f>IF(B23=0,Spas_Inputs!$G$14,0)</f>
        <v>0</v>
      </c>
      <c r="BG23" s="200">
        <f t="shared" si="7"/>
        <v>0</v>
      </c>
      <c r="BH23" s="196">
        <f t="shared" si="8"/>
        <v>-19220.784714747337</v>
      </c>
      <c r="BI23" s="218">
        <f>Spas_Inputs!$G$20*AVERAGE(BX23,BY23)</f>
        <v>0</v>
      </c>
      <c r="BJ23" s="200">
        <f t="shared" si="9"/>
        <v>0</v>
      </c>
      <c r="BK23" s="200">
        <f t="shared" si="20"/>
        <v>-19220.784714747337</v>
      </c>
      <c r="BL23" s="86">
        <f t="shared" si="21"/>
        <v>-19220.784714747337</v>
      </c>
      <c r="BM23" s="197">
        <f t="shared" si="22"/>
        <v>-19220.784714747337</v>
      </c>
      <c r="BN23" s="86">
        <f t="shared" si="35"/>
        <v>0</v>
      </c>
      <c r="BO23" s="86">
        <f t="shared" si="36"/>
        <v>0</v>
      </c>
      <c r="BP23" s="122">
        <f>-Debt_Calc!CE21</f>
        <v>0</v>
      </c>
      <c r="BQ23" s="122">
        <f>Debt_Calc!CF21</f>
        <v>0</v>
      </c>
      <c r="BR23" s="86">
        <f t="shared" si="23"/>
        <v>0</v>
      </c>
      <c r="BS23" s="423">
        <f t="shared" si="37"/>
        <v>0</v>
      </c>
      <c r="BT23" s="86">
        <f t="shared" si="38"/>
        <v>-19220.784714747337</v>
      </c>
      <c r="BU23" s="86">
        <f t="shared" si="24"/>
        <v>-19220.784714747337</v>
      </c>
      <c r="BV23" s="86">
        <f t="shared" si="39"/>
        <v>-19220.784714747337</v>
      </c>
      <c r="BW23" s="86">
        <f t="shared" si="25"/>
        <v>0</v>
      </c>
      <c r="BX23" s="86">
        <f t="shared" si="26"/>
        <v>0</v>
      </c>
      <c r="BY23" s="86">
        <f t="shared" si="10"/>
        <v>0</v>
      </c>
      <c r="BZ23" s="86">
        <f t="shared" si="27"/>
        <v>-1544220.527654021</v>
      </c>
      <c r="CA23" s="86">
        <f t="shared" si="40"/>
        <v>0</v>
      </c>
      <c r="CB23" s="214" t="e">
        <f t="shared" si="11"/>
        <v>#VALUE!</v>
      </c>
    </row>
    <row r="24" spans="2:80" s="86" customFormat="1" x14ac:dyDescent="0.3">
      <c r="B24" s="192">
        <f t="shared" si="28"/>
        <v>13</v>
      </c>
      <c r="C24" s="350">
        <f t="shared" si="12"/>
        <v>2034</v>
      </c>
      <c r="D24" s="351">
        <f t="shared" si="29"/>
        <v>48945</v>
      </c>
      <c r="E24" s="441">
        <f t="shared" si="29"/>
        <v>49309</v>
      </c>
      <c r="F24" s="445">
        <f>IF(AND(B24&gt;0,B24&lt;=Spas_Inputs!$J$24),1,0)</f>
        <v>1</v>
      </c>
      <c r="G24" s="447">
        <f>IF(F24=1,Spas_Inputs!$F$24,0)</f>
        <v>14000</v>
      </c>
      <c r="H24" s="123">
        <f>Spas_Inputs!$J$18</f>
        <v>0.01</v>
      </c>
      <c r="I24" s="131">
        <f>IF(B24=1,Spas_Inputs!$R$15,I23*(1+H24))*F24</f>
        <v>6.5581216753680636</v>
      </c>
      <c r="J24" s="131">
        <f>IF(B24=1,Spas_Inputs!$R$16,J23*(1+H24))*F24</f>
        <v>3.2790608376840318</v>
      </c>
      <c r="K24" s="131">
        <f>IF(B24=1,Spas_Inputs!$R$17,K23*(1+H24))*F24</f>
        <v>13.116243350736127</v>
      </c>
      <c r="L24" s="131">
        <f>IF(B24=1,Spas_Inputs!$R$18,L23*(1+H24))*F24</f>
        <v>7.651141954596075</v>
      </c>
      <c r="M24" s="131">
        <f>IF(B24=1,Spas_Inputs!$R$19,M23*(1+H24))*F24</f>
        <v>21.860405584560219</v>
      </c>
      <c r="N24" s="131">
        <f>IF(B24=1,Spas_Inputs!$R$20,N23*(1+H24))*F24</f>
        <v>11.476712931894115</v>
      </c>
      <c r="O24" s="444">
        <f>$G24*I24*Spas_Inputs!$J$12</f>
        <v>18362.74069103058</v>
      </c>
      <c r="P24" s="444">
        <f>$G24*J24*Spas_Inputs!$J$13</f>
        <v>6886.0277591364666</v>
      </c>
      <c r="Q24" s="444">
        <f>$G24*K24*Spas_Inputs!$J$14</f>
        <v>36725.48138206116</v>
      </c>
      <c r="R24" s="444">
        <f>$G24*L24*Spas_Inputs!$J$15</f>
        <v>16067.398104651758</v>
      </c>
      <c r="S24" s="444">
        <f>$G24*M24*Spas_Inputs!$J$16</f>
        <v>45906.851727576461</v>
      </c>
      <c r="T24" s="444">
        <f>$G24*N24*Spas_Inputs!$J$17</f>
        <v>24101.097156977641</v>
      </c>
      <c r="U24" s="754">
        <f t="shared" si="30"/>
        <v>0</v>
      </c>
      <c r="V24" s="122">
        <f>SUM(O24:U24)+IF(B24=Spas_Inputs!$J$24,Spas_Inputs!$J$26,0)</f>
        <v>148049.59682143407</v>
      </c>
      <c r="W24" s="218">
        <f>IF(B24=1,Spas_Inputs!$O$7,W23*(1+Spas_Inputs!$N$23))*F24</f>
        <v>3808.6686018460587</v>
      </c>
      <c r="X24" s="122">
        <f>IF(B24=1,Spas_Inputs!$O$8,X23*(1+Spas_Inputs!$N$23))*F24</f>
        <v>15563.217931905321</v>
      </c>
      <c r="Y24" s="122">
        <f>IF(B24=1,Spas_Inputs!$O$9,Y23*(1+Spas_Inputs!$N$23))*F24</f>
        <v>99352.162906735772</v>
      </c>
      <c r="Z24" s="122">
        <f>IF(B24=1,Spas_Inputs!$O$10,Z23*(1+Spas_Inputs!$N$23))*F24</f>
        <v>21876.009141232378</v>
      </c>
      <c r="AA24" s="122">
        <f>IF(B24=1,Spas_Inputs!$O$11,AA23*(1+Spas_Inputs!$N$23))*F24</f>
        <v>20426.474189016986</v>
      </c>
      <c r="AB24" s="122">
        <f>IF(B24=1,Spas_Inputs!$O$12,AB23*(1+Spas_Inputs!$N$23))*F24</f>
        <v>103.94786764302152</v>
      </c>
      <c r="AC24" s="122">
        <f>IF(B24=1,Spas_Inputs!$O$13,AC23*(1+Spas_Inputs!$N$23))*F24</f>
        <v>0</v>
      </c>
      <c r="AD24" s="122">
        <f>IF(B24=1,Spas_Inputs!$O$14,AD23*(1+Spas_Inputs!$N$23))*F24</f>
        <v>740.2479841071704</v>
      </c>
      <c r="AE24" s="122">
        <f>IF(B24=1,Spas_Inputs!$O$15,AE23*(1+Spas_Inputs!$N$23))*F24</f>
        <v>740.2479841071704</v>
      </c>
      <c r="AF24" s="122">
        <f>IF(B24=1,Spas_Inputs!$O$16,AF23*(1+Spas_Inputs!$N$23))*F24</f>
        <v>4851.6127767350026</v>
      </c>
      <c r="AG24" s="122">
        <f>IF(B24=1,Spas_Inputs!$O$17,AG23*(1+Spas_Inputs!$N$23))*F24</f>
        <v>0</v>
      </c>
      <c r="AH24" s="181">
        <f>IF(B24=1,Spas_Inputs!$O$18,AH23*(1+Spas_Inputs!$N$23))*F24</f>
        <v>0</v>
      </c>
      <c r="AI24" s="482">
        <f>IF(B24=1,Spas_Inputs!$O$19,AI23*(1+Spas_Inputs!$N$23))*F24</f>
        <v>0</v>
      </c>
      <c r="AJ24" s="122">
        <f>IF(B24=1,Spas_Inputs!$O$20,AJ23*(1+Spas_Inputs!$N$23))*F24</f>
        <v>0</v>
      </c>
      <c r="AK24" s="122">
        <f>IF(B24=1,Spas_Inputs!$O$21,AK23*(1+Spas_Inputs!$N$23))*F24</f>
        <v>0</v>
      </c>
      <c r="AL24" s="132">
        <f>IF(B24=1,Spas_Inputs!$O$22,AL23*(1+Spas_Inputs!$N$23))*F24</f>
        <v>0</v>
      </c>
      <c r="AM24" s="200">
        <f t="shared" si="13"/>
        <v>167462.58938332892</v>
      </c>
      <c r="AN24" s="86">
        <f t="shared" si="14"/>
        <v>-19412.992561894847</v>
      </c>
      <c r="AO24" s="225">
        <f t="shared" si="15"/>
        <v>-0.13112492690749636</v>
      </c>
      <c r="AP24" s="220">
        <f>Deprec!X23</f>
        <v>35268</v>
      </c>
      <c r="AQ24" s="86">
        <f t="shared" si="16"/>
        <v>-54680.992561894847</v>
      </c>
      <c r="AR24" s="455">
        <f t="shared" si="31"/>
        <v>0</v>
      </c>
      <c r="AS24" s="86">
        <f t="shared" si="32"/>
        <v>-54680.992561894847</v>
      </c>
      <c r="AT24" s="438">
        <f>IF(AS24&lt;0,0,(AS24*Spas_Inputs!$J$21))</f>
        <v>0</v>
      </c>
      <c r="AU24" s="86">
        <f t="shared" si="33"/>
        <v>-54680.992561894847</v>
      </c>
      <c r="AV24" s="226">
        <f t="shared" si="17"/>
        <v>-0.36934239427782312</v>
      </c>
      <c r="AY24" s="196">
        <f t="shared" si="18"/>
        <v>148049.59682143407</v>
      </c>
      <c r="AZ24" s="86">
        <f t="shared" si="19"/>
        <v>167462.58938332892</v>
      </c>
      <c r="BA24" s="197">
        <f t="shared" si="34"/>
        <v>-19412.992561894847</v>
      </c>
      <c r="BB24" s="218">
        <f>IF(B24=0,Spas_Inputs!$C$29,0)</f>
        <v>0</v>
      </c>
      <c r="BC24" s="198">
        <f t="shared" si="5"/>
        <v>0</v>
      </c>
      <c r="BD24" s="197">
        <f t="shared" si="6"/>
        <v>-19412.992561894847</v>
      </c>
      <c r="BE24" s="184">
        <f>IF(B24=0,Spas_Inputs!$G$15+Spas_Inputs!$G$16,0)</f>
        <v>0</v>
      </c>
      <c r="BF24" s="185">
        <f>IF(B24=0,Spas_Inputs!$G$14,0)</f>
        <v>0</v>
      </c>
      <c r="BG24" s="200">
        <f t="shared" si="7"/>
        <v>0</v>
      </c>
      <c r="BH24" s="196">
        <f t="shared" si="8"/>
        <v>-19412.992561894847</v>
      </c>
      <c r="BI24" s="218">
        <f>Spas_Inputs!$G$20*AVERAGE(BX24,BY24)</f>
        <v>0</v>
      </c>
      <c r="BJ24" s="200">
        <f t="shared" si="9"/>
        <v>0</v>
      </c>
      <c r="BK24" s="200">
        <f t="shared" si="20"/>
        <v>-19412.992561894847</v>
      </c>
      <c r="BL24" s="86">
        <f t="shared" si="21"/>
        <v>-19412.992561894847</v>
      </c>
      <c r="BM24" s="197">
        <f t="shared" si="22"/>
        <v>-19412.992561894847</v>
      </c>
      <c r="BN24" s="86">
        <f t="shared" si="35"/>
        <v>0</v>
      </c>
      <c r="BO24" s="86">
        <f t="shared" si="36"/>
        <v>0</v>
      </c>
      <c r="BP24" s="122">
        <f>-Debt_Calc!CE22</f>
        <v>0</v>
      </c>
      <c r="BQ24" s="122">
        <f>Debt_Calc!CF22</f>
        <v>0</v>
      </c>
      <c r="BR24" s="86">
        <f t="shared" si="23"/>
        <v>0</v>
      </c>
      <c r="BS24" s="423">
        <f t="shared" si="37"/>
        <v>0</v>
      </c>
      <c r="BT24" s="86">
        <f t="shared" si="38"/>
        <v>-19412.992561894847</v>
      </c>
      <c r="BU24" s="86">
        <f t="shared" si="24"/>
        <v>-19412.992561894847</v>
      </c>
      <c r="BV24" s="86">
        <f t="shared" si="39"/>
        <v>-19412.992561894847</v>
      </c>
      <c r="BW24" s="86">
        <f t="shared" si="25"/>
        <v>0</v>
      </c>
      <c r="BX24" s="86">
        <f t="shared" si="26"/>
        <v>0</v>
      </c>
      <c r="BY24" s="86">
        <f t="shared" si="10"/>
        <v>0</v>
      </c>
      <c r="BZ24" s="86">
        <f t="shared" si="27"/>
        <v>-1563633.520215916</v>
      </c>
      <c r="CA24" s="86">
        <f t="shared" si="40"/>
        <v>0</v>
      </c>
      <c r="CB24" s="214" t="e">
        <f t="shared" si="11"/>
        <v>#VALUE!</v>
      </c>
    </row>
    <row r="25" spans="2:80" s="86" customFormat="1" x14ac:dyDescent="0.3">
      <c r="B25" s="192">
        <f t="shared" si="28"/>
        <v>14</v>
      </c>
      <c r="C25" s="350">
        <f t="shared" si="12"/>
        <v>2035</v>
      </c>
      <c r="D25" s="351">
        <f t="shared" si="29"/>
        <v>49310</v>
      </c>
      <c r="E25" s="441">
        <f t="shared" si="29"/>
        <v>49674</v>
      </c>
      <c r="F25" s="445">
        <f>IF(AND(B25&gt;0,B25&lt;=Spas_Inputs!$J$24),1,0)</f>
        <v>1</v>
      </c>
      <c r="G25" s="447">
        <f>IF(F25=1,Spas_Inputs!$F$24,0)</f>
        <v>14000</v>
      </c>
      <c r="H25" s="123">
        <f>Spas_Inputs!$J$18</f>
        <v>0.01</v>
      </c>
      <c r="I25" s="131">
        <f>IF(B25=1,Spas_Inputs!$R$15,I24*(1+H25))*F25</f>
        <v>6.6237028921217442</v>
      </c>
      <c r="J25" s="131">
        <f>IF(B25=1,Spas_Inputs!$R$16,J24*(1+H25))*F25</f>
        <v>3.3118514460608721</v>
      </c>
      <c r="K25" s="131">
        <f>IF(B25=1,Spas_Inputs!$R$17,K24*(1+H25))*F25</f>
        <v>13.247405784243488</v>
      </c>
      <c r="L25" s="131">
        <f>IF(B25=1,Spas_Inputs!$R$18,L24*(1+H25))*F25</f>
        <v>7.7276533741420357</v>
      </c>
      <c r="M25" s="131">
        <f>IF(B25=1,Spas_Inputs!$R$19,M24*(1+H25))*F25</f>
        <v>22.079009640405822</v>
      </c>
      <c r="N25" s="131">
        <f>IF(B25=1,Spas_Inputs!$R$20,N24*(1+H25))*F25</f>
        <v>11.591480061213057</v>
      </c>
      <c r="O25" s="444">
        <f>$G25*I25*Spas_Inputs!$J$12</f>
        <v>18546.368097940885</v>
      </c>
      <c r="P25" s="444">
        <f>$G25*J25*Spas_Inputs!$J$13</f>
        <v>6954.8880367278316</v>
      </c>
      <c r="Q25" s="444">
        <f>$G25*K25*Spas_Inputs!$J$14</f>
        <v>37092.736195881771</v>
      </c>
      <c r="R25" s="444">
        <f>$G25*L25*Spas_Inputs!$J$15</f>
        <v>16228.072085698273</v>
      </c>
      <c r="S25" s="444">
        <f>$G25*M25*Spas_Inputs!$J$16</f>
        <v>46365.920244852226</v>
      </c>
      <c r="T25" s="444">
        <f>$G25*N25*Spas_Inputs!$J$17</f>
        <v>24342.108128547421</v>
      </c>
      <c r="U25" s="754">
        <f t="shared" si="30"/>
        <v>0</v>
      </c>
      <c r="V25" s="122">
        <f>SUM(O25:U25)+IF(B25=Spas_Inputs!$J$24,Spas_Inputs!$J$26,0)</f>
        <v>149530.09278964839</v>
      </c>
      <c r="W25" s="218">
        <f>IF(B25=1,Spas_Inputs!$O$7,W24*(1+Spas_Inputs!$N$23))*F25</f>
        <v>3846.7552878645192</v>
      </c>
      <c r="X25" s="122">
        <f>IF(B25=1,Spas_Inputs!$O$8,X24*(1+Spas_Inputs!$N$23))*F25</f>
        <v>15718.850111224374</v>
      </c>
      <c r="Y25" s="122">
        <f>IF(B25=1,Spas_Inputs!$O$9,Y24*(1+Spas_Inputs!$N$23))*F25</f>
        <v>100345.68453580313</v>
      </c>
      <c r="Z25" s="122">
        <f>IF(B25=1,Spas_Inputs!$O$10,Z24*(1+Spas_Inputs!$N$23))*F25</f>
        <v>22094.769232644703</v>
      </c>
      <c r="AA25" s="122">
        <f>IF(B25=1,Spas_Inputs!$O$11,AA24*(1+Spas_Inputs!$N$23))*F25</f>
        <v>20630.738930907155</v>
      </c>
      <c r="AB25" s="122">
        <f>IF(B25=1,Spas_Inputs!$O$12,AB24*(1+Spas_Inputs!$N$23))*F25</f>
        <v>104.98734631945175</v>
      </c>
      <c r="AC25" s="122">
        <f>IF(B25=1,Spas_Inputs!$O$13,AC24*(1+Spas_Inputs!$N$23))*F25</f>
        <v>0</v>
      </c>
      <c r="AD25" s="122">
        <f>IF(B25=1,Spas_Inputs!$O$14,AD24*(1+Spas_Inputs!$N$23))*F25</f>
        <v>747.65046394824208</v>
      </c>
      <c r="AE25" s="122">
        <f>IF(B25=1,Spas_Inputs!$O$15,AE24*(1+Spas_Inputs!$N$23))*F25</f>
        <v>747.65046394824208</v>
      </c>
      <c r="AF25" s="122">
        <f>IF(B25=1,Spas_Inputs!$O$16,AF24*(1+Spas_Inputs!$N$23))*F25</f>
        <v>4900.1289045023523</v>
      </c>
      <c r="AG25" s="122">
        <f>IF(B25=1,Spas_Inputs!$O$17,AG24*(1+Spas_Inputs!$N$23))*F25</f>
        <v>0</v>
      </c>
      <c r="AH25" s="181">
        <f>IF(B25=1,Spas_Inputs!$O$18,AH24*(1+Spas_Inputs!$N$23))*F25</f>
        <v>0</v>
      </c>
      <c r="AI25" s="482">
        <f>IF(B25=1,Spas_Inputs!$O$19,AI24*(1+Spas_Inputs!$N$23))*F25</f>
        <v>0</v>
      </c>
      <c r="AJ25" s="122">
        <f>IF(B25=1,Spas_Inputs!$O$20,AJ24*(1+Spas_Inputs!$N$23))*F25</f>
        <v>0</v>
      </c>
      <c r="AK25" s="122">
        <f>IF(B25=1,Spas_Inputs!$O$21,AK24*(1+Spas_Inputs!$N$23))*F25</f>
        <v>0</v>
      </c>
      <c r="AL25" s="132">
        <f>IF(B25=1,Spas_Inputs!$O$22,AL24*(1+Spas_Inputs!$N$23))*F25</f>
        <v>0</v>
      </c>
      <c r="AM25" s="200">
        <f t="shared" si="13"/>
        <v>169137.21527716215</v>
      </c>
      <c r="AN25" s="86">
        <f t="shared" si="14"/>
        <v>-19607.122487513756</v>
      </c>
      <c r="AO25" s="225">
        <f t="shared" si="15"/>
        <v>-0.13112492690749611</v>
      </c>
      <c r="AP25" s="220">
        <f>Deprec!X24</f>
        <v>35268</v>
      </c>
      <c r="AQ25" s="86">
        <f t="shared" si="16"/>
        <v>-54875.122487513756</v>
      </c>
      <c r="AR25" s="455">
        <f t="shared" si="31"/>
        <v>0</v>
      </c>
      <c r="AS25" s="86">
        <f t="shared" si="32"/>
        <v>-54875.122487513756</v>
      </c>
      <c r="AT25" s="438">
        <f>IF(AS25&lt;0,0,(AS25*Spas_Inputs!$J$21))</f>
        <v>0</v>
      </c>
      <c r="AU25" s="86">
        <f t="shared" si="33"/>
        <v>-54875.122487513756</v>
      </c>
      <c r="AV25" s="226">
        <f t="shared" si="17"/>
        <v>-0.36698380549197807</v>
      </c>
      <c r="AY25" s="196">
        <f t="shared" si="18"/>
        <v>149530.09278964839</v>
      </c>
      <c r="AZ25" s="86">
        <f t="shared" si="19"/>
        <v>169137.21527716215</v>
      </c>
      <c r="BA25" s="197">
        <f t="shared" si="34"/>
        <v>-19607.122487513756</v>
      </c>
      <c r="BB25" s="218">
        <f>IF(B25=0,Spas_Inputs!$C$29,0)</f>
        <v>0</v>
      </c>
      <c r="BC25" s="198">
        <f t="shared" si="5"/>
        <v>0</v>
      </c>
      <c r="BD25" s="197">
        <f t="shared" si="6"/>
        <v>-19607.122487513756</v>
      </c>
      <c r="BE25" s="184">
        <f>IF(B25=0,Spas_Inputs!$G$15+Spas_Inputs!$G$16,0)</f>
        <v>0</v>
      </c>
      <c r="BF25" s="185">
        <f>IF(B25=0,Spas_Inputs!$G$14,0)</f>
        <v>0</v>
      </c>
      <c r="BG25" s="200">
        <f t="shared" si="7"/>
        <v>0</v>
      </c>
      <c r="BH25" s="196">
        <f t="shared" si="8"/>
        <v>-19607.122487513756</v>
      </c>
      <c r="BI25" s="218">
        <f>Spas_Inputs!$G$20*AVERAGE(BX25,BY25)</f>
        <v>0</v>
      </c>
      <c r="BJ25" s="200">
        <f t="shared" si="9"/>
        <v>0</v>
      </c>
      <c r="BK25" s="200">
        <f t="shared" si="20"/>
        <v>-19607.122487513756</v>
      </c>
      <c r="BL25" s="86">
        <f t="shared" si="21"/>
        <v>-19607.122487513756</v>
      </c>
      <c r="BM25" s="197">
        <f t="shared" si="22"/>
        <v>-19607.122487513756</v>
      </c>
      <c r="BN25" s="86">
        <f t="shared" si="35"/>
        <v>0</v>
      </c>
      <c r="BO25" s="86">
        <f t="shared" si="36"/>
        <v>0</v>
      </c>
      <c r="BP25" s="122">
        <f>-Debt_Calc!CE23</f>
        <v>0</v>
      </c>
      <c r="BQ25" s="122">
        <f>Debt_Calc!CF23</f>
        <v>0</v>
      </c>
      <c r="BR25" s="86">
        <f t="shared" si="23"/>
        <v>0</v>
      </c>
      <c r="BS25" s="423">
        <f t="shared" si="37"/>
        <v>0</v>
      </c>
      <c r="BT25" s="86">
        <f t="shared" si="38"/>
        <v>-19607.122487513756</v>
      </c>
      <c r="BU25" s="86">
        <f t="shared" si="24"/>
        <v>-19607.122487513756</v>
      </c>
      <c r="BV25" s="86">
        <f t="shared" si="39"/>
        <v>-19607.122487513756</v>
      </c>
      <c r="BW25" s="86">
        <f t="shared" si="25"/>
        <v>0</v>
      </c>
      <c r="BX25" s="86">
        <f t="shared" si="26"/>
        <v>0</v>
      </c>
      <c r="BY25" s="86">
        <f t="shared" si="10"/>
        <v>0</v>
      </c>
      <c r="BZ25" s="86">
        <f t="shared" si="27"/>
        <v>-1583240.6427034298</v>
      </c>
      <c r="CA25" s="86">
        <f t="shared" si="40"/>
        <v>0</v>
      </c>
      <c r="CB25" s="214" t="e">
        <f t="shared" si="11"/>
        <v>#VALUE!</v>
      </c>
    </row>
    <row r="26" spans="2:80" s="86" customFormat="1" x14ac:dyDescent="0.3">
      <c r="B26" s="192">
        <f t="shared" si="28"/>
        <v>15</v>
      </c>
      <c r="C26" s="350">
        <f t="shared" si="12"/>
        <v>2036</v>
      </c>
      <c r="D26" s="351">
        <f t="shared" si="29"/>
        <v>49675</v>
      </c>
      <c r="E26" s="441">
        <f t="shared" si="29"/>
        <v>50040</v>
      </c>
      <c r="F26" s="445">
        <f>IF(AND(B26&gt;0,B26&lt;=Spas_Inputs!$J$24),1,0)</f>
        <v>1</v>
      </c>
      <c r="G26" s="447">
        <f>IF(F26=1,Spas_Inputs!$F$24,0)</f>
        <v>14000</v>
      </c>
      <c r="H26" s="123">
        <f>Spas_Inputs!$J$18</f>
        <v>0.01</v>
      </c>
      <c r="I26" s="131">
        <f>IF(B26=1,Spas_Inputs!$R$15,I25*(1+H26))*F26</f>
        <v>6.6899399210429618</v>
      </c>
      <c r="J26" s="131">
        <f>IF(B26=1,Spas_Inputs!$R$16,J25*(1+H26))*F26</f>
        <v>3.3449699605214809</v>
      </c>
      <c r="K26" s="131">
        <f>IF(B26=1,Spas_Inputs!$R$17,K25*(1+H26))*F26</f>
        <v>13.379879842085924</v>
      </c>
      <c r="L26" s="131">
        <f>IF(B26=1,Spas_Inputs!$R$18,L25*(1+H26))*F26</f>
        <v>7.804929907883456</v>
      </c>
      <c r="M26" s="131">
        <f>IF(B26=1,Spas_Inputs!$R$19,M25*(1+H26))*F26</f>
        <v>22.299799736809881</v>
      </c>
      <c r="N26" s="131">
        <f>IF(B26=1,Spas_Inputs!$R$20,N25*(1+H26))*F26</f>
        <v>11.707394861825188</v>
      </c>
      <c r="O26" s="444">
        <f>$G26*I26*Spas_Inputs!$J$12</f>
        <v>18731.831778920296</v>
      </c>
      <c r="P26" s="444">
        <f>$G26*J26*Spas_Inputs!$J$13</f>
        <v>7024.4369170951095</v>
      </c>
      <c r="Q26" s="444">
        <f>$G26*K26*Spas_Inputs!$J$14</f>
        <v>37463.663557840591</v>
      </c>
      <c r="R26" s="444">
        <f>$G26*L26*Spas_Inputs!$J$15</f>
        <v>16390.352806555256</v>
      </c>
      <c r="S26" s="444">
        <f>$G26*M26*Spas_Inputs!$J$16</f>
        <v>46829.579447300748</v>
      </c>
      <c r="T26" s="444">
        <f>$G26*N26*Spas_Inputs!$J$17</f>
        <v>24585.529209832897</v>
      </c>
      <c r="U26" s="754">
        <f t="shared" si="30"/>
        <v>0</v>
      </c>
      <c r="V26" s="122">
        <f>SUM(O26:U26)+IF(B26=Spas_Inputs!$J$24,Spas_Inputs!$J$26,0)</f>
        <v>151025.39371754488</v>
      </c>
      <c r="W26" s="218">
        <f>IF(B26=1,Spas_Inputs!$O$7,W25*(1+Spas_Inputs!$N$23))*F26</f>
        <v>3885.2228407431644</v>
      </c>
      <c r="X26" s="122">
        <f>IF(B26=1,Spas_Inputs!$O$8,X25*(1+Spas_Inputs!$N$23))*F26</f>
        <v>15876.038612336617</v>
      </c>
      <c r="Y26" s="122">
        <f>IF(B26=1,Spas_Inputs!$O$9,Y25*(1+Spas_Inputs!$N$23))*F26</f>
        <v>101349.14138116116</v>
      </c>
      <c r="Z26" s="122">
        <f>IF(B26=1,Spas_Inputs!$O$10,Z25*(1+Spas_Inputs!$N$23))*F26</f>
        <v>22315.716924971151</v>
      </c>
      <c r="AA26" s="122">
        <f>IF(B26=1,Spas_Inputs!$O$11,AA25*(1+Spas_Inputs!$N$23))*F26</f>
        <v>20837.046320216228</v>
      </c>
      <c r="AB26" s="122">
        <f>IF(B26=1,Spas_Inputs!$O$12,AB25*(1+Spas_Inputs!$N$23))*F26</f>
        <v>106.03721978264626</v>
      </c>
      <c r="AC26" s="122">
        <f>IF(B26=1,Spas_Inputs!$O$13,AC25*(1+Spas_Inputs!$N$23))*F26</f>
        <v>0</v>
      </c>
      <c r="AD26" s="122">
        <f>IF(B26=1,Spas_Inputs!$O$14,AD25*(1+Spas_Inputs!$N$23))*F26</f>
        <v>755.12696858772449</v>
      </c>
      <c r="AE26" s="122">
        <f>IF(B26=1,Spas_Inputs!$O$15,AE25*(1+Spas_Inputs!$N$23))*F26</f>
        <v>755.12696858772449</v>
      </c>
      <c r="AF26" s="122">
        <f>IF(B26=1,Spas_Inputs!$O$16,AF25*(1+Spas_Inputs!$N$23))*F26</f>
        <v>4949.1301935473757</v>
      </c>
      <c r="AG26" s="122">
        <f>IF(B26=1,Spas_Inputs!$O$17,AG25*(1+Spas_Inputs!$N$23))*F26</f>
        <v>0</v>
      </c>
      <c r="AH26" s="181">
        <f>IF(B26=1,Spas_Inputs!$O$18,AH25*(1+Spas_Inputs!$N$23))*F26</f>
        <v>0</v>
      </c>
      <c r="AI26" s="482">
        <f>IF(B26=1,Spas_Inputs!$O$19,AI25*(1+Spas_Inputs!$N$23))*F26</f>
        <v>0</v>
      </c>
      <c r="AJ26" s="122">
        <f>IF(B26=1,Spas_Inputs!$O$20,AJ25*(1+Spas_Inputs!$N$23))*F26</f>
        <v>0</v>
      </c>
      <c r="AK26" s="122">
        <f>IF(B26=1,Spas_Inputs!$O$21,AK25*(1+Spas_Inputs!$N$23))*F26</f>
        <v>0</v>
      </c>
      <c r="AL26" s="132">
        <f>IF(B26=1,Spas_Inputs!$O$22,AL25*(1+Spas_Inputs!$N$23))*F26</f>
        <v>0</v>
      </c>
      <c r="AM26" s="200">
        <f t="shared" si="13"/>
        <v>170828.58742993377</v>
      </c>
      <c r="AN26" s="86">
        <f t="shared" si="14"/>
        <v>-19803.193712388893</v>
      </c>
      <c r="AO26" s="225">
        <f t="shared" si="15"/>
        <v>-0.13112492690749611</v>
      </c>
      <c r="AP26" s="220">
        <f>Deprec!X25</f>
        <v>35268</v>
      </c>
      <c r="AQ26" s="86">
        <f t="shared" si="16"/>
        <v>-55071.193712388893</v>
      </c>
      <c r="AR26" s="455">
        <f t="shared" si="31"/>
        <v>0</v>
      </c>
      <c r="AS26" s="86">
        <f t="shared" si="32"/>
        <v>-55071.193712388893</v>
      </c>
      <c r="AT26" s="438">
        <f>IF(AS26&lt;0,0,(AS26*Spas_Inputs!$J$21))</f>
        <v>0</v>
      </c>
      <c r="AU26" s="86">
        <f t="shared" si="33"/>
        <v>-55071.193712388893</v>
      </c>
      <c r="AV26" s="226">
        <f t="shared" si="17"/>
        <v>-0.36464856907034948</v>
      </c>
      <c r="AY26" s="196">
        <f t="shared" si="18"/>
        <v>151025.39371754488</v>
      </c>
      <c r="AZ26" s="86">
        <f t="shared" si="19"/>
        <v>170828.58742993377</v>
      </c>
      <c r="BA26" s="197">
        <f t="shared" si="34"/>
        <v>-19803.193712388893</v>
      </c>
      <c r="BB26" s="218">
        <f>IF(B26=0,Spas_Inputs!$C$29,0)</f>
        <v>0</v>
      </c>
      <c r="BC26" s="198">
        <f t="shared" si="5"/>
        <v>0</v>
      </c>
      <c r="BD26" s="197">
        <f t="shared" si="6"/>
        <v>-19803.193712388893</v>
      </c>
      <c r="BE26" s="184">
        <f>IF(B26=0,Spas_Inputs!$G$15+Spas_Inputs!$G$16,0)</f>
        <v>0</v>
      </c>
      <c r="BF26" s="185">
        <f>IF(B26=0,Spas_Inputs!$G$14,0)</f>
        <v>0</v>
      </c>
      <c r="BG26" s="200">
        <f t="shared" si="7"/>
        <v>0</v>
      </c>
      <c r="BH26" s="196">
        <f t="shared" si="8"/>
        <v>-19803.193712388893</v>
      </c>
      <c r="BI26" s="218">
        <f>Spas_Inputs!$G$20*AVERAGE(BX26,BY26)</f>
        <v>0</v>
      </c>
      <c r="BJ26" s="200">
        <f t="shared" si="9"/>
        <v>0</v>
      </c>
      <c r="BK26" s="200">
        <f t="shared" si="20"/>
        <v>-19803.193712388893</v>
      </c>
      <c r="BL26" s="86">
        <f t="shared" si="21"/>
        <v>-19803.193712388893</v>
      </c>
      <c r="BM26" s="197">
        <f t="shared" si="22"/>
        <v>-19803.193712388893</v>
      </c>
      <c r="BN26" s="86">
        <f t="shared" si="35"/>
        <v>0</v>
      </c>
      <c r="BO26" s="86">
        <f t="shared" si="36"/>
        <v>0</v>
      </c>
      <c r="BP26" s="122">
        <f>-Debt_Calc!CE24</f>
        <v>0</v>
      </c>
      <c r="BQ26" s="122">
        <f>Debt_Calc!CF24</f>
        <v>0</v>
      </c>
      <c r="BR26" s="86">
        <f t="shared" si="23"/>
        <v>0</v>
      </c>
      <c r="BS26" s="423">
        <f t="shared" si="37"/>
        <v>0</v>
      </c>
      <c r="BT26" s="86">
        <f t="shared" si="38"/>
        <v>-19803.193712388893</v>
      </c>
      <c r="BU26" s="86">
        <f t="shared" si="24"/>
        <v>-19803.193712388893</v>
      </c>
      <c r="BV26" s="86">
        <f t="shared" si="39"/>
        <v>-19803.193712388893</v>
      </c>
      <c r="BW26" s="86">
        <f t="shared" si="25"/>
        <v>0</v>
      </c>
      <c r="BX26" s="86">
        <f t="shared" si="26"/>
        <v>0</v>
      </c>
      <c r="BY26" s="86">
        <f t="shared" si="10"/>
        <v>0</v>
      </c>
      <c r="BZ26" s="86">
        <f t="shared" si="27"/>
        <v>-1603043.8364158187</v>
      </c>
      <c r="CA26" s="86">
        <f t="shared" si="40"/>
        <v>0</v>
      </c>
      <c r="CB26" s="214" t="e">
        <f t="shared" si="11"/>
        <v>#VALUE!</v>
      </c>
    </row>
    <row r="27" spans="2:80" s="86" customFormat="1" x14ac:dyDescent="0.3">
      <c r="B27" s="192">
        <f t="shared" si="28"/>
        <v>16</v>
      </c>
      <c r="C27" s="350">
        <f t="shared" si="12"/>
        <v>2037</v>
      </c>
      <c r="D27" s="351">
        <f t="shared" si="29"/>
        <v>50041</v>
      </c>
      <c r="E27" s="441">
        <f t="shared" si="29"/>
        <v>50405</v>
      </c>
      <c r="F27" s="445">
        <f>IF(AND(B27&gt;0,B27&lt;=Spas_Inputs!$J$24),1,0)</f>
        <v>1</v>
      </c>
      <c r="G27" s="447">
        <f>IF(F27=1,Spas_Inputs!$F$24,0)</f>
        <v>14000</v>
      </c>
      <c r="H27" s="123">
        <f>Spas_Inputs!$J$18</f>
        <v>0.01</v>
      </c>
      <c r="I27" s="131">
        <f>IF(B27=1,Spas_Inputs!$R$15,I26*(1+H27))*F27</f>
        <v>6.7568393202533912</v>
      </c>
      <c r="J27" s="131">
        <f>IF(B27=1,Spas_Inputs!$R$16,J26*(1+H27))*F27</f>
        <v>3.3784196601266956</v>
      </c>
      <c r="K27" s="131">
        <f>IF(B27=1,Spas_Inputs!$R$17,K26*(1+H27))*F27</f>
        <v>13.513678640506782</v>
      </c>
      <c r="L27" s="131">
        <f>IF(B27=1,Spas_Inputs!$R$18,L26*(1+H27))*F27</f>
        <v>7.8829792069622906</v>
      </c>
      <c r="M27" s="131">
        <f>IF(B27=1,Spas_Inputs!$R$19,M26*(1+H27))*F27</f>
        <v>22.522797734177981</v>
      </c>
      <c r="N27" s="131">
        <f>IF(B27=1,Spas_Inputs!$R$20,N26*(1+H27))*F27</f>
        <v>11.82446881044344</v>
      </c>
      <c r="O27" s="444">
        <f>$G27*I27*Spas_Inputs!$J$12</f>
        <v>18919.150096709498</v>
      </c>
      <c r="P27" s="444">
        <f>$G27*J27*Spas_Inputs!$J$13</f>
        <v>7094.6812862660609</v>
      </c>
      <c r="Q27" s="444">
        <f>$G27*K27*Spas_Inputs!$J$14</f>
        <v>37838.300193418996</v>
      </c>
      <c r="R27" s="444">
        <f>$G27*L27*Spas_Inputs!$J$15</f>
        <v>16554.256334620808</v>
      </c>
      <c r="S27" s="444">
        <f>$G27*M27*Spas_Inputs!$J$16</f>
        <v>47297.875241773763</v>
      </c>
      <c r="T27" s="444">
        <f>$G27*N27*Spas_Inputs!$J$17</f>
        <v>24831.384501931225</v>
      </c>
      <c r="U27" s="754">
        <f t="shared" si="30"/>
        <v>0</v>
      </c>
      <c r="V27" s="122">
        <f>SUM(O27:U27)+IF(B27=Spas_Inputs!$J$24,Spas_Inputs!$J$26,0)</f>
        <v>152535.64765472035</v>
      </c>
      <c r="W27" s="218">
        <f>IF(B27=1,Spas_Inputs!$O$7,W26*(1+Spas_Inputs!$N$23))*F27</f>
        <v>3924.0750691505959</v>
      </c>
      <c r="X27" s="122">
        <f>IF(B27=1,Spas_Inputs!$O$8,X26*(1+Spas_Inputs!$N$23))*F27</f>
        <v>16034.798998459983</v>
      </c>
      <c r="Y27" s="122">
        <f>IF(B27=1,Spas_Inputs!$O$9,Y26*(1+Spas_Inputs!$N$23))*F27</f>
        <v>102362.63279497277</v>
      </c>
      <c r="Z27" s="122">
        <f>IF(B27=1,Spas_Inputs!$O$10,Z26*(1+Spas_Inputs!$N$23))*F27</f>
        <v>22538.874094220864</v>
      </c>
      <c r="AA27" s="122">
        <f>IF(B27=1,Spas_Inputs!$O$11,AA26*(1+Spas_Inputs!$N$23))*F27</f>
        <v>21045.41678341839</v>
      </c>
      <c r="AB27" s="122">
        <f>IF(B27=1,Spas_Inputs!$O$12,AB26*(1+Spas_Inputs!$N$23))*F27</f>
        <v>107.09759198047273</v>
      </c>
      <c r="AC27" s="122">
        <f>IF(B27=1,Spas_Inputs!$O$13,AC26*(1+Spas_Inputs!$N$23))*F27</f>
        <v>0</v>
      </c>
      <c r="AD27" s="122">
        <f>IF(B27=1,Spas_Inputs!$O$14,AD26*(1+Spas_Inputs!$N$23))*F27</f>
        <v>762.67823827360178</v>
      </c>
      <c r="AE27" s="122">
        <f>IF(B27=1,Spas_Inputs!$O$15,AE26*(1+Spas_Inputs!$N$23))*F27</f>
        <v>762.67823827360178</v>
      </c>
      <c r="AF27" s="122">
        <f>IF(B27=1,Spas_Inputs!$O$16,AF26*(1+Spas_Inputs!$N$23))*F27</f>
        <v>4998.6214954828492</v>
      </c>
      <c r="AG27" s="122">
        <f>IF(B27=1,Spas_Inputs!$O$17,AG26*(1+Spas_Inputs!$N$23))*F27</f>
        <v>0</v>
      </c>
      <c r="AH27" s="181">
        <f>IF(B27=1,Spas_Inputs!$O$18,AH26*(1+Spas_Inputs!$N$23))*F27</f>
        <v>0</v>
      </c>
      <c r="AI27" s="482">
        <f>IF(B27=1,Spas_Inputs!$O$19,AI26*(1+Spas_Inputs!$N$23))*F27</f>
        <v>0</v>
      </c>
      <c r="AJ27" s="122">
        <f>IF(B27=1,Spas_Inputs!$O$20,AJ26*(1+Spas_Inputs!$N$23))*F27</f>
        <v>0</v>
      </c>
      <c r="AK27" s="122">
        <f>IF(B27=1,Spas_Inputs!$O$21,AK26*(1+Spas_Inputs!$N$23))*F27</f>
        <v>0</v>
      </c>
      <c r="AL27" s="132">
        <f>IF(B27=1,Spas_Inputs!$O$22,AL26*(1+Spas_Inputs!$N$23))*F27</f>
        <v>0</v>
      </c>
      <c r="AM27" s="200">
        <f t="shared" si="13"/>
        <v>172536.87330423313</v>
      </c>
      <c r="AN27" s="86">
        <f t="shared" si="14"/>
        <v>-20001.22564951278</v>
      </c>
      <c r="AO27" s="225">
        <f t="shared" si="15"/>
        <v>-0.13112492690749608</v>
      </c>
      <c r="AP27" s="220">
        <f>Deprec!X26</f>
        <v>35268</v>
      </c>
      <c r="AQ27" s="86">
        <f t="shared" si="16"/>
        <v>-55269.22564951278</v>
      </c>
      <c r="AR27" s="455">
        <f t="shared" si="31"/>
        <v>0</v>
      </c>
      <c r="AS27" s="86">
        <f t="shared" si="32"/>
        <v>-55269.22564951278</v>
      </c>
      <c r="AT27" s="438">
        <f>IF(AS27&lt;0,0,(AS27*Spas_Inputs!$J$21))</f>
        <v>0</v>
      </c>
      <c r="AU27" s="86">
        <f t="shared" si="33"/>
        <v>-55269.22564951278</v>
      </c>
      <c r="AV27" s="226">
        <f t="shared" si="17"/>
        <v>-0.36233645380141033</v>
      </c>
      <c r="AY27" s="196">
        <f t="shared" si="18"/>
        <v>152535.64765472035</v>
      </c>
      <c r="AZ27" s="86">
        <f t="shared" si="19"/>
        <v>172536.87330423313</v>
      </c>
      <c r="BA27" s="197">
        <f t="shared" si="34"/>
        <v>-20001.22564951278</v>
      </c>
      <c r="BB27" s="218">
        <f>IF(B27=0,Spas_Inputs!$C$29,0)</f>
        <v>0</v>
      </c>
      <c r="BC27" s="198">
        <f t="shared" si="5"/>
        <v>0</v>
      </c>
      <c r="BD27" s="197">
        <f t="shared" si="6"/>
        <v>-20001.22564951278</v>
      </c>
      <c r="BE27" s="184">
        <f>IF(B27=0,Spas_Inputs!$G$15+Spas_Inputs!$G$16,0)</f>
        <v>0</v>
      </c>
      <c r="BF27" s="185">
        <f>IF(B27=0,Spas_Inputs!$G$14,0)</f>
        <v>0</v>
      </c>
      <c r="BG27" s="200">
        <f t="shared" si="7"/>
        <v>0</v>
      </c>
      <c r="BH27" s="196">
        <f t="shared" si="8"/>
        <v>-20001.22564951278</v>
      </c>
      <c r="BI27" s="218">
        <f>Spas_Inputs!$G$20*AVERAGE(BX27,BY27)</f>
        <v>0</v>
      </c>
      <c r="BJ27" s="200">
        <f t="shared" si="9"/>
        <v>0</v>
      </c>
      <c r="BK27" s="200">
        <f t="shared" si="20"/>
        <v>-20001.22564951278</v>
      </c>
      <c r="BL27" s="86">
        <f t="shared" si="21"/>
        <v>-20001.22564951278</v>
      </c>
      <c r="BM27" s="197">
        <f t="shared" si="22"/>
        <v>-20001.22564951278</v>
      </c>
      <c r="BN27" s="86">
        <f t="shared" si="35"/>
        <v>0</v>
      </c>
      <c r="BO27" s="86">
        <f t="shared" si="36"/>
        <v>0</v>
      </c>
      <c r="BP27" s="122">
        <f>-Debt_Calc!CE25</f>
        <v>0</v>
      </c>
      <c r="BQ27" s="122">
        <f>Debt_Calc!CF25</f>
        <v>0</v>
      </c>
      <c r="BR27" s="86">
        <f t="shared" si="23"/>
        <v>0</v>
      </c>
      <c r="BS27" s="423">
        <f t="shared" si="37"/>
        <v>0</v>
      </c>
      <c r="BT27" s="86">
        <f t="shared" si="38"/>
        <v>-20001.22564951278</v>
      </c>
      <c r="BU27" s="86">
        <f t="shared" si="24"/>
        <v>-20001.22564951278</v>
      </c>
      <c r="BV27" s="86">
        <f t="shared" si="39"/>
        <v>-20001.22564951278</v>
      </c>
      <c r="BW27" s="86">
        <f t="shared" si="25"/>
        <v>0</v>
      </c>
      <c r="BX27" s="86">
        <f t="shared" si="26"/>
        <v>0</v>
      </c>
      <c r="BY27" s="86">
        <f t="shared" si="10"/>
        <v>0</v>
      </c>
      <c r="BZ27" s="86">
        <f t="shared" si="27"/>
        <v>-1623045.0620653315</v>
      </c>
      <c r="CA27" s="86">
        <f t="shared" si="40"/>
        <v>0</v>
      </c>
      <c r="CB27" s="214" t="e">
        <f t="shared" si="11"/>
        <v>#VALUE!</v>
      </c>
    </row>
    <row r="28" spans="2:80" s="86" customFormat="1" x14ac:dyDescent="0.3">
      <c r="B28" s="192">
        <f t="shared" si="28"/>
        <v>17</v>
      </c>
      <c r="C28" s="350">
        <f t="shared" si="12"/>
        <v>2038</v>
      </c>
      <c r="D28" s="351">
        <f t="shared" si="29"/>
        <v>50406</v>
      </c>
      <c r="E28" s="441">
        <f t="shared" si="29"/>
        <v>50770</v>
      </c>
      <c r="F28" s="445">
        <f>IF(AND(B28&gt;0,B28&lt;=Spas_Inputs!$J$24),1,0)</f>
        <v>1</v>
      </c>
      <c r="G28" s="447">
        <f>IF(F28=1,Spas_Inputs!$F$24,0)</f>
        <v>14000</v>
      </c>
      <c r="H28" s="123">
        <f>Spas_Inputs!$J$18</f>
        <v>0.01</v>
      </c>
      <c r="I28" s="131">
        <f>IF(B28=1,Spas_Inputs!$R$15,I27*(1+H28))*F28</f>
        <v>6.8244077134559253</v>
      </c>
      <c r="J28" s="131">
        <f>IF(B28=1,Spas_Inputs!$R$16,J27*(1+H28))*F28</f>
        <v>3.4122038567279627</v>
      </c>
      <c r="K28" s="131">
        <f>IF(B28=1,Spas_Inputs!$R$17,K27*(1+H28))*F28</f>
        <v>13.648815426911851</v>
      </c>
      <c r="L28" s="131">
        <f>IF(B28=1,Spas_Inputs!$R$18,L27*(1+H28))*F28</f>
        <v>7.9618089990319136</v>
      </c>
      <c r="M28" s="131">
        <f>IF(B28=1,Spas_Inputs!$R$19,M27*(1+H28))*F28</f>
        <v>22.748025711519762</v>
      </c>
      <c r="N28" s="131">
        <f>IF(B28=1,Spas_Inputs!$R$20,N27*(1+H28))*F28</f>
        <v>11.942713498547874</v>
      </c>
      <c r="O28" s="444">
        <f>$G28*I28*Spas_Inputs!$J$12</f>
        <v>19108.341597676594</v>
      </c>
      <c r="P28" s="444">
        <f>$G28*J28*Spas_Inputs!$J$13</f>
        <v>7165.6280991287213</v>
      </c>
      <c r="Q28" s="444">
        <f>$G28*K28*Spas_Inputs!$J$14</f>
        <v>38216.683195353187</v>
      </c>
      <c r="R28" s="444">
        <f>$G28*L28*Spas_Inputs!$J$15</f>
        <v>16719.798897967015</v>
      </c>
      <c r="S28" s="444">
        <f>$G28*M28*Spas_Inputs!$J$16</f>
        <v>47770.853994191501</v>
      </c>
      <c r="T28" s="444">
        <f>$G28*N28*Spas_Inputs!$J$17</f>
        <v>25079.698346950536</v>
      </c>
      <c r="U28" s="754">
        <f t="shared" si="30"/>
        <v>0</v>
      </c>
      <c r="V28" s="122">
        <f>SUM(O28:U28)+IF(B28=Spas_Inputs!$J$24,Spas_Inputs!$J$26,0)</f>
        <v>154061.00413126755</v>
      </c>
      <c r="W28" s="218">
        <f>IF(B28=1,Spas_Inputs!$O$7,W27*(1+Spas_Inputs!$N$23))*F28</f>
        <v>3963.315819842102</v>
      </c>
      <c r="X28" s="122">
        <f>IF(B28=1,Spas_Inputs!$O$8,X27*(1+Spas_Inputs!$N$23))*F28</f>
        <v>16195.146988444583</v>
      </c>
      <c r="Y28" s="122">
        <f>IF(B28=1,Spas_Inputs!$O$9,Y27*(1+Spas_Inputs!$N$23))*F28</f>
        <v>103386.25912292249</v>
      </c>
      <c r="Z28" s="122">
        <f>IF(B28=1,Spas_Inputs!$O$10,Z27*(1+Spas_Inputs!$N$23))*F28</f>
        <v>22764.262835163074</v>
      </c>
      <c r="AA28" s="122">
        <f>IF(B28=1,Spas_Inputs!$O$11,AA27*(1+Spas_Inputs!$N$23))*F28</f>
        <v>21255.870951252575</v>
      </c>
      <c r="AB28" s="122">
        <f>IF(B28=1,Spas_Inputs!$O$12,AB27*(1+Spas_Inputs!$N$23))*F28</f>
        <v>108.16856790027745</v>
      </c>
      <c r="AC28" s="122">
        <f>IF(B28=1,Spas_Inputs!$O$13,AC27*(1+Spas_Inputs!$N$23))*F28</f>
        <v>0</v>
      </c>
      <c r="AD28" s="122">
        <f>IF(B28=1,Spas_Inputs!$O$14,AD27*(1+Spas_Inputs!$N$23))*F28</f>
        <v>770.30502065633777</v>
      </c>
      <c r="AE28" s="122">
        <f>IF(B28=1,Spas_Inputs!$O$15,AE27*(1+Spas_Inputs!$N$23))*F28</f>
        <v>770.30502065633777</v>
      </c>
      <c r="AF28" s="122">
        <f>IF(B28=1,Spas_Inputs!$O$16,AF27*(1+Spas_Inputs!$N$23))*F28</f>
        <v>5048.6077104376782</v>
      </c>
      <c r="AG28" s="122">
        <f>IF(B28=1,Spas_Inputs!$O$17,AG27*(1+Spas_Inputs!$N$23))*F28</f>
        <v>0</v>
      </c>
      <c r="AH28" s="181">
        <f>IF(B28=1,Spas_Inputs!$O$18,AH27*(1+Spas_Inputs!$N$23))*F28</f>
        <v>0</v>
      </c>
      <c r="AI28" s="482">
        <f>IF(B28=1,Spas_Inputs!$O$19,AI27*(1+Spas_Inputs!$N$23))*F28</f>
        <v>0</v>
      </c>
      <c r="AJ28" s="122">
        <f>IF(B28=1,Spas_Inputs!$O$20,AJ27*(1+Spas_Inputs!$N$23))*F28</f>
        <v>0</v>
      </c>
      <c r="AK28" s="122">
        <f>IF(B28=1,Spas_Inputs!$O$21,AK27*(1+Spas_Inputs!$N$23))*F28</f>
        <v>0</v>
      </c>
      <c r="AL28" s="132">
        <f>IF(B28=1,Spas_Inputs!$O$22,AL27*(1+Spas_Inputs!$N$23))*F28</f>
        <v>0</v>
      </c>
      <c r="AM28" s="200">
        <f t="shared" si="13"/>
        <v>174262.24203727549</v>
      </c>
      <c r="AN28" s="86">
        <f t="shared" si="14"/>
        <v>-20201.23790600794</v>
      </c>
      <c r="AO28" s="225">
        <f t="shared" si="15"/>
        <v>-0.13112492690749628</v>
      </c>
      <c r="AP28" s="220">
        <f>Deprec!X27</f>
        <v>35268</v>
      </c>
      <c r="AQ28" s="86">
        <f t="shared" si="16"/>
        <v>-55469.23790600794</v>
      </c>
      <c r="AR28" s="455">
        <f t="shared" si="31"/>
        <v>0</v>
      </c>
      <c r="AS28" s="86">
        <f t="shared" si="32"/>
        <v>-55469.23790600794</v>
      </c>
      <c r="AT28" s="438">
        <f>IF(AS28&lt;0,0,(AS28*Spas_Inputs!$J$21))</f>
        <v>0</v>
      </c>
      <c r="AU28" s="86">
        <f t="shared" si="33"/>
        <v>-55469.23790600794</v>
      </c>
      <c r="AV28" s="226">
        <f t="shared" si="17"/>
        <v>-0.36004723076285694</v>
      </c>
      <c r="AY28" s="196">
        <f t="shared" si="18"/>
        <v>154061.00413126755</v>
      </c>
      <c r="AZ28" s="86">
        <f t="shared" si="19"/>
        <v>174262.24203727549</v>
      </c>
      <c r="BA28" s="197">
        <f t="shared" si="34"/>
        <v>-20201.23790600794</v>
      </c>
      <c r="BB28" s="218">
        <f>IF(B28=0,Spas_Inputs!$C$29,0)</f>
        <v>0</v>
      </c>
      <c r="BC28" s="198">
        <f t="shared" si="5"/>
        <v>0</v>
      </c>
      <c r="BD28" s="197">
        <f t="shared" si="6"/>
        <v>-20201.23790600794</v>
      </c>
      <c r="BE28" s="184">
        <f>IF(B28=0,Spas_Inputs!$G$15+Spas_Inputs!$G$16,0)</f>
        <v>0</v>
      </c>
      <c r="BF28" s="185">
        <f>IF(B28=0,Spas_Inputs!$G$14,0)</f>
        <v>0</v>
      </c>
      <c r="BG28" s="200">
        <f t="shared" si="7"/>
        <v>0</v>
      </c>
      <c r="BH28" s="196">
        <f t="shared" si="8"/>
        <v>-20201.23790600794</v>
      </c>
      <c r="BI28" s="218">
        <f>Spas_Inputs!$G$20*AVERAGE(BX28,BY28)</f>
        <v>0</v>
      </c>
      <c r="BJ28" s="200">
        <f t="shared" si="9"/>
        <v>0</v>
      </c>
      <c r="BK28" s="200">
        <f t="shared" si="20"/>
        <v>-20201.23790600794</v>
      </c>
      <c r="BL28" s="86">
        <f t="shared" si="21"/>
        <v>-20201.23790600794</v>
      </c>
      <c r="BM28" s="197">
        <f t="shared" si="22"/>
        <v>-20201.23790600794</v>
      </c>
      <c r="BN28" s="86">
        <f t="shared" si="35"/>
        <v>0</v>
      </c>
      <c r="BO28" s="86">
        <f t="shared" si="36"/>
        <v>0</v>
      </c>
      <c r="BP28" s="122">
        <f>-Debt_Calc!CE26</f>
        <v>0</v>
      </c>
      <c r="BQ28" s="122">
        <f>Debt_Calc!CF26</f>
        <v>0</v>
      </c>
      <c r="BR28" s="86">
        <f t="shared" si="23"/>
        <v>0</v>
      </c>
      <c r="BS28" s="423">
        <f t="shared" si="37"/>
        <v>0</v>
      </c>
      <c r="BT28" s="86">
        <f t="shared" si="38"/>
        <v>-20201.23790600794</v>
      </c>
      <c r="BU28" s="86">
        <f t="shared" si="24"/>
        <v>-20201.23790600794</v>
      </c>
      <c r="BV28" s="86">
        <f t="shared" si="39"/>
        <v>-20201.23790600794</v>
      </c>
      <c r="BW28" s="86">
        <f t="shared" si="25"/>
        <v>0</v>
      </c>
      <c r="BX28" s="86">
        <f t="shared" si="26"/>
        <v>0</v>
      </c>
      <c r="BY28" s="86">
        <f t="shared" si="10"/>
        <v>0</v>
      </c>
      <c r="BZ28" s="86">
        <f t="shared" si="27"/>
        <v>-1643246.2999713395</v>
      </c>
      <c r="CA28" s="86">
        <f t="shared" si="40"/>
        <v>0</v>
      </c>
      <c r="CB28" s="214" t="e">
        <f t="shared" si="11"/>
        <v>#VALUE!</v>
      </c>
    </row>
    <row r="29" spans="2:80" s="86" customFormat="1" x14ac:dyDescent="0.3">
      <c r="B29" s="192">
        <f t="shared" si="28"/>
        <v>18</v>
      </c>
      <c r="C29" s="350">
        <f t="shared" si="12"/>
        <v>2039</v>
      </c>
      <c r="D29" s="351">
        <f t="shared" ref="D29:E44" si="41">EDATE(D28,12)</f>
        <v>50771</v>
      </c>
      <c r="E29" s="441">
        <f t="shared" si="41"/>
        <v>51135</v>
      </c>
      <c r="F29" s="445">
        <f>IF(AND(B29&gt;0,B29&lt;=Spas_Inputs!$J$24),1,0)</f>
        <v>1</v>
      </c>
      <c r="G29" s="447">
        <f>IF(F29=1,Spas_Inputs!$F$24,0)</f>
        <v>14000</v>
      </c>
      <c r="H29" s="123">
        <f>Spas_Inputs!$J$18</f>
        <v>0.01</v>
      </c>
      <c r="I29" s="131">
        <f>IF(B29=1,Spas_Inputs!$R$15,I28*(1+H29))*F29</f>
        <v>6.8926517905904845</v>
      </c>
      <c r="J29" s="131">
        <f>IF(B29=1,Spas_Inputs!$R$16,J28*(1+H29))*F29</f>
        <v>3.4463258952952422</v>
      </c>
      <c r="K29" s="131">
        <f>IF(B29=1,Spas_Inputs!$R$17,K28*(1+H29))*F29</f>
        <v>13.785303581180969</v>
      </c>
      <c r="L29" s="131">
        <f>IF(B29=1,Spas_Inputs!$R$18,L28*(1+H29))*F29</f>
        <v>8.0414270890222337</v>
      </c>
      <c r="M29" s="131">
        <f>IF(B29=1,Spas_Inputs!$R$19,M28*(1+H29))*F29</f>
        <v>22.975505968634959</v>
      </c>
      <c r="N29" s="131">
        <f>IF(B29=1,Spas_Inputs!$R$20,N28*(1+H29))*F29</f>
        <v>12.062140633533353</v>
      </c>
      <c r="O29" s="444">
        <f>$G29*I29*Spas_Inputs!$J$12</f>
        <v>19299.425013653359</v>
      </c>
      <c r="P29" s="444">
        <f>$G29*J29*Spas_Inputs!$J$13</f>
        <v>7237.2843801200088</v>
      </c>
      <c r="Q29" s="444">
        <f>$G29*K29*Spas_Inputs!$J$14</f>
        <v>38598.850027306718</v>
      </c>
      <c r="R29" s="444">
        <f>$G29*L29*Spas_Inputs!$J$15</f>
        <v>16886.99688694669</v>
      </c>
      <c r="S29" s="444">
        <f>$G29*M29*Spas_Inputs!$J$16</f>
        <v>48248.562534133409</v>
      </c>
      <c r="T29" s="444">
        <f>$G29*N29*Spas_Inputs!$J$17</f>
        <v>25330.495330420043</v>
      </c>
      <c r="U29" s="754">
        <f t="shared" si="30"/>
        <v>0</v>
      </c>
      <c r="V29" s="122">
        <f>SUM(O29:U29)+IF(B29=Spas_Inputs!$J$24,Spas_Inputs!$J$26,0)</f>
        <v>155601.61417258022</v>
      </c>
      <c r="W29" s="218">
        <f>IF(B29=1,Spas_Inputs!$O$7,W28*(1+Spas_Inputs!$N$23))*F29</f>
        <v>4002.9489780405229</v>
      </c>
      <c r="X29" s="122">
        <f>IF(B29=1,Spas_Inputs!$O$8,X28*(1+Spas_Inputs!$N$23))*F29</f>
        <v>16357.09845832903</v>
      </c>
      <c r="Y29" s="122">
        <f>IF(B29=1,Spas_Inputs!$O$9,Y28*(1+Spas_Inputs!$N$23))*F29</f>
        <v>104420.12171415171</v>
      </c>
      <c r="Z29" s="122">
        <f>IF(B29=1,Spas_Inputs!$O$10,Z28*(1+Spas_Inputs!$N$23))*F29</f>
        <v>22991.905463514704</v>
      </c>
      <c r="AA29" s="122">
        <f>IF(B29=1,Spas_Inputs!$O$11,AA28*(1+Spas_Inputs!$N$23))*F29</f>
        <v>21468.429660765101</v>
      </c>
      <c r="AB29" s="122">
        <f>IF(B29=1,Spas_Inputs!$O$12,AB28*(1+Spas_Inputs!$N$23))*F29</f>
        <v>109.25025357928023</v>
      </c>
      <c r="AC29" s="122">
        <f>IF(B29=1,Spas_Inputs!$O$13,AC28*(1+Spas_Inputs!$N$23))*F29</f>
        <v>0</v>
      </c>
      <c r="AD29" s="122">
        <f>IF(B29=1,Spas_Inputs!$O$14,AD28*(1+Spas_Inputs!$N$23))*F29</f>
        <v>778.00807086290115</v>
      </c>
      <c r="AE29" s="122">
        <f>IF(B29=1,Spas_Inputs!$O$15,AE28*(1+Spas_Inputs!$N$23))*F29</f>
        <v>778.00807086290115</v>
      </c>
      <c r="AF29" s="122">
        <f>IF(B29=1,Spas_Inputs!$O$16,AF28*(1+Spas_Inputs!$N$23))*F29</f>
        <v>5099.093787542055</v>
      </c>
      <c r="AG29" s="122">
        <f>IF(B29=1,Spas_Inputs!$O$17,AG28*(1+Spas_Inputs!$N$23))*F29</f>
        <v>0</v>
      </c>
      <c r="AH29" s="181">
        <f>IF(B29=1,Spas_Inputs!$O$18,AH28*(1+Spas_Inputs!$N$23))*F29</f>
        <v>0</v>
      </c>
      <c r="AI29" s="482">
        <f>IF(B29=1,Spas_Inputs!$O$19,AI28*(1+Spas_Inputs!$N$23))*F29</f>
        <v>0</v>
      </c>
      <c r="AJ29" s="122">
        <f>IF(B29=1,Spas_Inputs!$O$20,AJ28*(1+Spas_Inputs!$N$23))*F29</f>
        <v>0</v>
      </c>
      <c r="AK29" s="122">
        <f>IF(B29=1,Spas_Inputs!$O$21,AK28*(1+Spas_Inputs!$N$23))*F29</f>
        <v>0</v>
      </c>
      <c r="AL29" s="132">
        <f>IF(B29=1,Spas_Inputs!$O$22,AL28*(1+Spas_Inputs!$N$23))*F29</f>
        <v>0</v>
      </c>
      <c r="AM29" s="200">
        <f t="shared" si="13"/>
        <v>176004.86445764822</v>
      </c>
      <c r="AN29" s="86">
        <f t="shared" si="14"/>
        <v>-20403.250285068003</v>
      </c>
      <c r="AO29" s="225">
        <f t="shared" si="15"/>
        <v>-0.13112492690749619</v>
      </c>
      <c r="AP29" s="220">
        <f>Deprec!X28</f>
        <v>35268</v>
      </c>
      <c r="AQ29" s="86">
        <f t="shared" si="16"/>
        <v>-55671.250285068003</v>
      </c>
      <c r="AR29" s="455">
        <f t="shared" si="31"/>
        <v>0</v>
      </c>
      <c r="AS29" s="86">
        <f t="shared" si="32"/>
        <v>-55671.250285068003</v>
      </c>
      <c r="AT29" s="438">
        <f>IF(AS29&lt;0,0,(AS29*Spas_Inputs!$J$21))</f>
        <v>0</v>
      </c>
      <c r="AU29" s="86">
        <f t="shared" si="33"/>
        <v>-55671.250285068003</v>
      </c>
      <c r="AV29" s="226">
        <f t="shared" si="17"/>
        <v>-0.35778067329894236</v>
      </c>
      <c r="AY29" s="196">
        <f t="shared" si="18"/>
        <v>155601.61417258022</v>
      </c>
      <c r="AZ29" s="86">
        <f t="shared" si="19"/>
        <v>176004.86445764822</v>
      </c>
      <c r="BA29" s="197">
        <f t="shared" si="34"/>
        <v>-20403.250285068003</v>
      </c>
      <c r="BB29" s="218">
        <f>IF(B29=0,Spas_Inputs!$C$29,0)</f>
        <v>0</v>
      </c>
      <c r="BC29" s="198">
        <f t="shared" si="5"/>
        <v>0</v>
      </c>
      <c r="BD29" s="197">
        <f t="shared" si="6"/>
        <v>-20403.250285068003</v>
      </c>
      <c r="BE29" s="184">
        <f>IF(B29=0,Spas_Inputs!$G$15+Spas_Inputs!$G$16,0)</f>
        <v>0</v>
      </c>
      <c r="BF29" s="185">
        <f>IF(B29=0,Spas_Inputs!$G$14,0)</f>
        <v>0</v>
      </c>
      <c r="BG29" s="200">
        <f t="shared" si="7"/>
        <v>0</v>
      </c>
      <c r="BH29" s="196">
        <f t="shared" si="8"/>
        <v>-20403.250285068003</v>
      </c>
      <c r="BI29" s="218">
        <f>Spas_Inputs!$G$20*AVERAGE(BX29,BY29)</f>
        <v>0</v>
      </c>
      <c r="BJ29" s="200">
        <f t="shared" si="9"/>
        <v>0</v>
      </c>
      <c r="BK29" s="200">
        <f t="shared" si="20"/>
        <v>-20403.250285068003</v>
      </c>
      <c r="BL29" s="86">
        <f t="shared" si="21"/>
        <v>-20403.250285068003</v>
      </c>
      <c r="BM29" s="197">
        <f t="shared" si="22"/>
        <v>-20403.250285068003</v>
      </c>
      <c r="BN29" s="86">
        <f t="shared" si="35"/>
        <v>0</v>
      </c>
      <c r="BO29" s="86">
        <f t="shared" si="36"/>
        <v>0</v>
      </c>
      <c r="BP29" s="122">
        <f>-Debt_Calc!CE27</f>
        <v>0</v>
      </c>
      <c r="BQ29" s="122">
        <f>Debt_Calc!CF27</f>
        <v>0</v>
      </c>
      <c r="BR29" s="86">
        <f t="shared" si="23"/>
        <v>0</v>
      </c>
      <c r="BS29" s="423">
        <f t="shared" si="37"/>
        <v>0</v>
      </c>
      <c r="BT29" s="86">
        <f t="shared" si="38"/>
        <v>-20403.250285068003</v>
      </c>
      <c r="BU29" s="86">
        <f t="shared" si="24"/>
        <v>-20403.250285068003</v>
      </c>
      <c r="BV29" s="86">
        <f t="shared" si="39"/>
        <v>-20403.250285068003</v>
      </c>
      <c r="BW29" s="86">
        <f t="shared" si="25"/>
        <v>0</v>
      </c>
      <c r="BX29" s="86">
        <f t="shared" si="26"/>
        <v>0</v>
      </c>
      <c r="BY29" s="86">
        <f t="shared" si="10"/>
        <v>0</v>
      </c>
      <c r="BZ29" s="86">
        <f t="shared" si="27"/>
        <v>-1663649.5502564076</v>
      </c>
      <c r="CA29" s="86">
        <f t="shared" si="40"/>
        <v>0</v>
      </c>
      <c r="CB29" s="214" t="e">
        <f t="shared" si="11"/>
        <v>#VALUE!</v>
      </c>
    </row>
    <row r="30" spans="2:80" s="86" customFormat="1" x14ac:dyDescent="0.3">
      <c r="B30" s="192">
        <f t="shared" si="28"/>
        <v>19</v>
      </c>
      <c r="C30" s="350">
        <f t="shared" si="12"/>
        <v>2040</v>
      </c>
      <c r="D30" s="351">
        <f t="shared" si="41"/>
        <v>51136</v>
      </c>
      <c r="E30" s="441">
        <f t="shared" si="41"/>
        <v>51501</v>
      </c>
      <c r="F30" s="445">
        <f>IF(AND(B30&gt;0,B30&lt;=Spas_Inputs!$J$24),1,0)</f>
        <v>1</v>
      </c>
      <c r="G30" s="447">
        <f>IF(F30=1,Spas_Inputs!$F$24,0)</f>
        <v>14000</v>
      </c>
      <c r="H30" s="123">
        <f>Spas_Inputs!$J$18</f>
        <v>0.01</v>
      </c>
      <c r="I30" s="131">
        <f>IF(B30=1,Spas_Inputs!$R$15,I29*(1+H30))*F30</f>
        <v>6.9615783084963896</v>
      </c>
      <c r="J30" s="131">
        <f>IF(B30=1,Spas_Inputs!$R$16,J29*(1+H30))*F30</f>
        <v>3.4807891542481948</v>
      </c>
      <c r="K30" s="131">
        <f>IF(B30=1,Spas_Inputs!$R$17,K29*(1+H30))*F30</f>
        <v>13.923156616992779</v>
      </c>
      <c r="L30" s="131">
        <f>IF(B30=1,Spas_Inputs!$R$18,L29*(1+H30))*F30</f>
        <v>8.1218413599124553</v>
      </c>
      <c r="M30" s="131">
        <f>IF(B30=1,Spas_Inputs!$R$19,M29*(1+H30))*F30</f>
        <v>23.20526102832131</v>
      </c>
      <c r="N30" s="131">
        <f>IF(B30=1,Spas_Inputs!$R$20,N29*(1+H30))*F30</f>
        <v>12.182762039868686</v>
      </c>
      <c r="O30" s="444">
        <f>$G30*I30*Spas_Inputs!$J$12</f>
        <v>19492.419263789892</v>
      </c>
      <c r="P30" s="444">
        <f>$G30*J30*Spas_Inputs!$J$13</f>
        <v>7309.6572239212082</v>
      </c>
      <c r="Q30" s="444">
        <f>$G30*K30*Spas_Inputs!$J$14</f>
        <v>38984.838527579785</v>
      </c>
      <c r="R30" s="444">
        <f>$G30*L30*Spas_Inputs!$J$15</f>
        <v>17055.866855816155</v>
      </c>
      <c r="S30" s="444">
        <f>$G30*M30*Spas_Inputs!$J$16</f>
        <v>48731.048159474747</v>
      </c>
      <c r="T30" s="444">
        <f>$G30*N30*Spas_Inputs!$J$17</f>
        <v>25583.800283724242</v>
      </c>
      <c r="U30" s="754">
        <f t="shared" si="30"/>
        <v>0</v>
      </c>
      <c r="V30" s="122">
        <f>SUM(O30:U30)+IF(B30=Spas_Inputs!$J$24,Spas_Inputs!$J$26,0)</f>
        <v>157157.63031430604</v>
      </c>
      <c r="W30" s="218">
        <f>IF(B30=1,Spas_Inputs!$O$7,W29*(1+Spas_Inputs!$N$23))*F30</f>
        <v>4042.978467820928</v>
      </c>
      <c r="X30" s="122">
        <f>IF(B30=1,Spas_Inputs!$O$8,X29*(1+Spas_Inputs!$N$23))*F30</f>
        <v>16520.66944291232</v>
      </c>
      <c r="Y30" s="122">
        <f>IF(B30=1,Spas_Inputs!$O$9,Y29*(1+Spas_Inputs!$N$23))*F30</f>
        <v>105464.32293129322</v>
      </c>
      <c r="Z30" s="122">
        <f>IF(B30=1,Spas_Inputs!$O$10,Z29*(1+Spas_Inputs!$N$23))*F30</f>
        <v>23221.82451814985</v>
      </c>
      <c r="AA30" s="122">
        <f>IF(B30=1,Spas_Inputs!$O$11,AA29*(1+Spas_Inputs!$N$23))*F30</f>
        <v>21683.113957372752</v>
      </c>
      <c r="AB30" s="122">
        <f>IF(B30=1,Spas_Inputs!$O$12,AB29*(1+Spas_Inputs!$N$23))*F30</f>
        <v>110.34275611507303</v>
      </c>
      <c r="AC30" s="122">
        <f>IF(B30=1,Spas_Inputs!$O$13,AC29*(1+Spas_Inputs!$N$23))*F30</f>
        <v>0</v>
      </c>
      <c r="AD30" s="122">
        <f>IF(B30=1,Spas_Inputs!$O$14,AD29*(1+Spas_Inputs!$N$23))*F30</f>
        <v>785.78815157153019</v>
      </c>
      <c r="AE30" s="122">
        <f>IF(B30=1,Spas_Inputs!$O$15,AE29*(1+Spas_Inputs!$N$23))*F30</f>
        <v>785.78815157153019</v>
      </c>
      <c r="AF30" s="122">
        <f>IF(B30=1,Spas_Inputs!$O$16,AF29*(1+Spas_Inputs!$N$23))*F30</f>
        <v>5150.084725417476</v>
      </c>
      <c r="AG30" s="122">
        <f>IF(B30=1,Spas_Inputs!$O$17,AG29*(1+Spas_Inputs!$N$23))*F30</f>
        <v>0</v>
      </c>
      <c r="AH30" s="181">
        <f>IF(B30=1,Spas_Inputs!$O$18,AH29*(1+Spas_Inputs!$N$23))*F30</f>
        <v>0</v>
      </c>
      <c r="AI30" s="482">
        <f>IF(B30=1,Spas_Inputs!$O$19,AI29*(1+Spas_Inputs!$N$23))*F30</f>
        <v>0</v>
      </c>
      <c r="AJ30" s="122">
        <f>IF(B30=1,Spas_Inputs!$O$20,AJ29*(1+Spas_Inputs!$N$23))*F30</f>
        <v>0</v>
      </c>
      <c r="AK30" s="122">
        <f>IF(B30=1,Spas_Inputs!$O$21,AK29*(1+Spas_Inputs!$N$23))*F30</f>
        <v>0</v>
      </c>
      <c r="AL30" s="132">
        <f>IF(B30=1,Spas_Inputs!$O$22,AL29*(1+Spas_Inputs!$N$23))*F30</f>
        <v>0</v>
      </c>
      <c r="AM30" s="200">
        <f t="shared" si="13"/>
        <v>177764.91310222467</v>
      </c>
      <c r="AN30" s="86">
        <f t="shared" si="14"/>
        <v>-20607.282787918637</v>
      </c>
      <c r="AO30" s="225">
        <f t="shared" si="15"/>
        <v>-0.13112492690749589</v>
      </c>
      <c r="AP30" s="220">
        <f>Deprec!X29</f>
        <v>35268</v>
      </c>
      <c r="AQ30" s="86">
        <f t="shared" si="16"/>
        <v>-55875.282787918637</v>
      </c>
      <c r="AR30" s="455">
        <f t="shared" si="31"/>
        <v>0</v>
      </c>
      <c r="AS30" s="86">
        <f t="shared" si="32"/>
        <v>-55875.282787918637</v>
      </c>
      <c r="AT30" s="438">
        <f>IF(AS30&lt;0,0,(AS30*Spas_Inputs!$J$21))</f>
        <v>0</v>
      </c>
      <c r="AU30" s="86">
        <f t="shared" si="33"/>
        <v>-55875.282787918637</v>
      </c>
      <c r="AV30" s="226">
        <f t="shared" si="17"/>
        <v>-0.3555365569980366</v>
      </c>
      <c r="AY30" s="196">
        <f t="shared" si="18"/>
        <v>157157.63031430604</v>
      </c>
      <c r="AZ30" s="86">
        <f t="shared" si="19"/>
        <v>177764.91310222467</v>
      </c>
      <c r="BA30" s="197">
        <f t="shared" si="34"/>
        <v>-20607.282787918637</v>
      </c>
      <c r="BB30" s="218">
        <f>IF(B30=0,Spas_Inputs!$C$29,0)</f>
        <v>0</v>
      </c>
      <c r="BC30" s="198">
        <f t="shared" si="5"/>
        <v>0</v>
      </c>
      <c r="BD30" s="197">
        <f t="shared" si="6"/>
        <v>-20607.282787918637</v>
      </c>
      <c r="BE30" s="184">
        <f>IF(B30=0,Spas_Inputs!$G$15+Spas_Inputs!$G$16,0)</f>
        <v>0</v>
      </c>
      <c r="BF30" s="185">
        <f>IF(B30=0,Spas_Inputs!$G$14,0)</f>
        <v>0</v>
      </c>
      <c r="BG30" s="200">
        <f t="shared" si="7"/>
        <v>0</v>
      </c>
      <c r="BH30" s="196">
        <f t="shared" si="8"/>
        <v>-20607.282787918637</v>
      </c>
      <c r="BI30" s="218">
        <f>Spas_Inputs!$G$20*AVERAGE(BX30,BY30)</f>
        <v>0</v>
      </c>
      <c r="BJ30" s="200">
        <f t="shared" si="9"/>
        <v>0</v>
      </c>
      <c r="BK30" s="200">
        <f t="shared" si="20"/>
        <v>-20607.282787918637</v>
      </c>
      <c r="BL30" s="86">
        <f t="shared" si="21"/>
        <v>-20607.282787918637</v>
      </c>
      <c r="BM30" s="197">
        <f t="shared" si="22"/>
        <v>-20607.282787918637</v>
      </c>
      <c r="BN30" s="86">
        <f t="shared" si="35"/>
        <v>0</v>
      </c>
      <c r="BO30" s="86">
        <f t="shared" si="36"/>
        <v>0</v>
      </c>
      <c r="BP30" s="122">
        <f>-Debt_Calc!CE28</f>
        <v>0</v>
      </c>
      <c r="BQ30" s="122">
        <f>Debt_Calc!CF28</f>
        <v>0</v>
      </c>
      <c r="BR30" s="86">
        <f t="shared" si="23"/>
        <v>0</v>
      </c>
      <c r="BS30" s="423">
        <f t="shared" si="37"/>
        <v>0</v>
      </c>
      <c r="BT30" s="86">
        <f t="shared" si="38"/>
        <v>-20607.282787918637</v>
      </c>
      <c r="BU30" s="86">
        <f t="shared" si="24"/>
        <v>-20607.282787918637</v>
      </c>
      <c r="BV30" s="86">
        <f t="shared" si="39"/>
        <v>-20607.282787918637</v>
      </c>
      <c r="BW30" s="86">
        <f t="shared" si="25"/>
        <v>0</v>
      </c>
      <c r="BX30" s="86">
        <f t="shared" si="26"/>
        <v>0</v>
      </c>
      <c r="BY30" s="86">
        <f t="shared" si="10"/>
        <v>0</v>
      </c>
      <c r="BZ30" s="86">
        <f t="shared" si="27"/>
        <v>-1684256.8330443262</v>
      </c>
      <c r="CA30" s="86">
        <f t="shared" si="40"/>
        <v>0</v>
      </c>
      <c r="CB30" s="214" t="e">
        <f t="shared" si="11"/>
        <v>#VALUE!</v>
      </c>
    </row>
    <row r="31" spans="2:80" s="86" customFormat="1" x14ac:dyDescent="0.3">
      <c r="B31" s="192">
        <f t="shared" si="28"/>
        <v>20</v>
      </c>
      <c r="C31" s="350">
        <f t="shared" si="12"/>
        <v>2041</v>
      </c>
      <c r="D31" s="351">
        <f t="shared" si="41"/>
        <v>51502</v>
      </c>
      <c r="E31" s="441">
        <f t="shared" si="41"/>
        <v>51866</v>
      </c>
      <c r="F31" s="445">
        <f>IF(AND(B31&gt;0,B31&lt;=Spas_Inputs!$J$24),1,0)</f>
        <v>1</v>
      </c>
      <c r="G31" s="447">
        <f>IF(F31=1,Spas_Inputs!$F$24,0)</f>
        <v>14000</v>
      </c>
      <c r="H31" s="123">
        <f>Spas_Inputs!$J$18</f>
        <v>0.01</v>
      </c>
      <c r="I31" s="131">
        <f>IF(B31=1,Spas_Inputs!$R$15,I30*(1+H31))*F31</f>
        <v>7.0311940915813533</v>
      </c>
      <c r="J31" s="131">
        <f>IF(B31=1,Spas_Inputs!$R$16,J30*(1+H31))*F31</f>
        <v>3.5155970457906767</v>
      </c>
      <c r="K31" s="131">
        <f>IF(B31=1,Spas_Inputs!$R$17,K30*(1+H31))*F31</f>
        <v>14.062388183162707</v>
      </c>
      <c r="L31" s="131">
        <f>IF(B31=1,Spas_Inputs!$R$18,L30*(1+H31))*F31</f>
        <v>8.2030597735115798</v>
      </c>
      <c r="M31" s="131">
        <f>IF(B31=1,Spas_Inputs!$R$19,M30*(1+H31))*F31</f>
        <v>23.437313638604522</v>
      </c>
      <c r="N31" s="131">
        <f>IF(B31=1,Spas_Inputs!$R$20,N30*(1+H31))*F31</f>
        <v>12.304589660267373</v>
      </c>
      <c r="O31" s="444">
        <f>$G31*I31*Spas_Inputs!$J$12</f>
        <v>19687.343456427789</v>
      </c>
      <c r="P31" s="444">
        <f>$G31*J31*Spas_Inputs!$J$13</f>
        <v>7382.7537961604203</v>
      </c>
      <c r="Q31" s="444">
        <f>$G31*K31*Spas_Inputs!$J$14</f>
        <v>39374.686912855577</v>
      </c>
      <c r="R31" s="444">
        <f>$G31*L31*Spas_Inputs!$J$15</f>
        <v>17226.425524374317</v>
      </c>
      <c r="S31" s="444">
        <f>$G31*M31*Spas_Inputs!$J$16</f>
        <v>49218.358641069492</v>
      </c>
      <c r="T31" s="444">
        <f>$G31*N31*Spas_Inputs!$J$17</f>
        <v>25839.638286561483</v>
      </c>
      <c r="U31" s="754">
        <f t="shared" si="30"/>
        <v>0</v>
      </c>
      <c r="V31" s="122">
        <f>SUM(O31:U31)+IF(B31=Spas_Inputs!$J$24,Spas_Inputs!$J$26,0)</f>
        <v>158729.20661744909</v>
      </c>
      <c r="W31" s="218">
        <f>IF(B31=1,Spas_Inputs!$O$7,W30*(1+Spas_Inputs!$N$23))*F31</f>
        <v>4083.4082524991372</v>
      </c>
      <c r="X31" s="122">
        <f>IF(B31=1,Spas_Inputs!$O$8,X30*(1+Spas_Inputs!$N$23))*F31</f>
        <v>16685.876137341442</v>
      </c>
      <c r="Y31" s="122">
        <f>IF(B31=1,Spas_Inputs!$O$9,Y30*(1+Spas_Inputs!$N$23))*F31</f>
        <v>106518.96616060616</v>
      </c>
      <c r="Z31" s="122">
        <f>IF(B31=1,Spas_Inputs!$O$10,Z30*(1+Spas_Inputs!$N$23))*F31</f>
        <v>23454.042763331348</v>
      </c>
      <c r="AA31" s="122">
        <f>IF(B31=1,Spas_Inputs!$O$11,AA30*(1+Spas_Inputs!$N$23))*F31</f>
        <v>21899.945096946481</v>
      </c>
      <c r="AB31" s="122">
        <f>IF(B31=1,Spas_Inputs!$O$12,AB30*(1+Spas_Inputs!$N$23))*F31</f>
        <v>111.44618367622377</v>
      </c>
      <c r="AC31" s="122">
        <f>IF(B31=1,Spas_Inputs!$O$13,AC30*(1+Spas_Inputs!$N$23))*F31</f>
        <v>0</v>
      </c>
      <c r="AD31" s="122">
        <f>IF(B31=1,Spas_Inputs!$O$14,AD30*(1+Spas_Inputs!$N$23))*F31</f>
        <v>793.64603308724554</v>
      </c>
      <c r="AE31" s="122">
        <f>IF(B31=1,Spas_Inputs!$O$15,AE30*(1+Spas_Inputs!$N$23))*F31</f>
        <v>793.64603308724554</v>
      </c>
      <c r="AF31" s="122">
        <f>IF(B31=1,Spas_Inputs!$O$16,AF30*(1+Spas_Inputs!$N$23))*F31</f>
        <v>5201.5855726716509</v>
      </c>
      <c r="AG31" s="122">
        <f>IF(B31=1,Spas_Inputs!$O$17,AG30*(1+Spas_Inputs!$N$23))*F31</f>
        <v>0</v>
      </c>
      <c r="AH31" s="181">
        <f>IF(B31=1,Spas_Inputs!$O$18,AH30*(1+Spas_Inputs!$N$23))*F31</f>
        <v>0</v>
      </c>
      <c r="AI31" s="482">
        <f>IF(B31=1,Spas_Inputs!$O$19,AI30*(1+Spas_Inputs!$N$23))*F31</f>
        <v>0</v>
      </c>
      <c r="AJ31" s="122">
        <f>IF(B31=1,Spas_Inputs!$O$20,AJ30*(1+Spas_Inputs!$N$23))*F31</f>
        <v>0</v>
      </c>
      <c r="AK31" s="122">
        <f>IF(B31=1,Spas_Inputs!$O$21,AK30*(1+Spas_Inputs!$N$23))*F31</f>
        <v>0</v>
      </c>
      <c r="AL31" s="132">
        <f>IF(B31=1,Spas_Inputs!$O$22,AL30*(1+Spas_Inputs!$N$23))*F31</f>
        <v>0</v>
      </c>
      <c r="AM31" s="200">
        <f t="shared" si="13"/>
        <v>179542.56223324692</v>
      </c>
      <c r="AN31" s="86">
        <f t="shared" si="14"/>
        <v>-20813.355615797831</v>
      </c>
      <c r="AO31" s="225">
        <f t="shared" si="15"/>
        <v>-0.13112492690749594</v>
      </c>
      <c r="AP31" s="220">
        <f>Deprec!X30</f>
        <v>35268</v>
      </c>
      <c r="AQ31" s="86">
        <f t="shared" si="16"/>
        <v>-56081.355615797831</v>
      </c>
      <c r="AR31" s="455">
        <f t="shared" si="31"/>
        <v>0</v>
      </c>
      <c r="AS31" s="86">
        <f t="shared" si="32"/>
        <v>-56081.355615797831</v>
      </c>
      <c r="AT31" s="438">
        <f>IF(AS31&lt;0,0,(AS31*Spas_Inputs!$J$21))</f>
        <v>0</v>
      </c>
      <c r="AU31" s="86">
        <f t="shared" si="33"/>
        <v>-56081.355615797831</v>
      </c>
      <c r="AV31" s="226">
        <f t="shared" si="17"/>
        <v>-0.35331465967040759</v>
      </c>
      <c r="AY31" s="196">
        <f t="shared" si="18"/>
        <v>158729.20661744909</v>
      </c>
      <c r="AZ31" s="86">
        <f t="shared" si="19"/>
        <v>179542.56223324692</v>
      </c>
      <c r="BA31" s="197">
        <f t="shared" si="34"/>
        <v>-20813.355615797831</v>
      </c>
      <c r="BB31" s="218">
        <f>IF(B31=0,Spas_Inputs!$C$29,0)</f>
        <v>0</v>
      </c>
      <c r="BC31" s="198">
        <f t="shared" si="5"/>
        <v>0</v>
      </c>
      <c r="BD31" s="197">
        <f t="shared" si="6"/>
        <v>-20813.355615797831</v>
      </c>
      <c r="BE31" s="184">
        <f>IF(B31=0,Spas_Inputs!$G$15+Spas_Inputs!$G$16,0)</f>
        <v>0</v>
      </c>
      <c r="BF31" s="185">
        <f>IF(B31=0,Spas_Inputs!$G$14,0)</f>
        <v>0</v>
      </c>
      <c r="BG31" s="200">
        <f t="shared" si="7"/>
        <v>0</v>
      </c>
      <c r="BH31" s="196">
        <f t="shared" si="8"/>
        <v>-20813.355615797831</v>
      </c>
      <c r="BI31" s="218">
        <f>Spas_Inputs!$G$20*AVERAGE(BX31,BY31)</f>
        <v>0</v>
      </c>
      <c r="BJ31" s="200">
        <f t="shared" si="9"/>
        <v>0</v>
      </c>
      <c r="BK31" s="200">
        <f t="shared" si="20"/>
        <v>-20813.355615797831</v>
      </c>
      <c r="BL31" s="86">
        <f t="shared" si="21"/>
        <v>-20813.355615797831</v>
      </c>
      <c r="BM31" s="197">
        <f t="shared" si="22"/>
        <v>-20813.355615797831</v>
      </c>
      <c r="BN31" s="86">
        <f t="shared" si="35"/>
        <v>0</v>
      </c>
      <c r="BO31" s="86">
        <f t="shared" si="36"/>
        <v>0</v>
      </c>
      <c r="BP31" s="122">
        <f>-Debt_Calc!CE29</f>
        <v>0</v>
      </c>
      <c r="BQ31" s="122">
        <f>Debt_Calc!CF29</f>
        <v>0</v>
      </c>
      <c r="BR31" s="86">
        <f t="shared" si="23"/>
        <v>0</v>
      </c>
      <c r="BS31" s="423">
        <f t="shared" si="37"/>
        <v>0</v>
      </c>
      <c r="BT31" s="86">
        <f t="shared" si="38"/>
        <v>-20813.355615797831</v>
      </c>
      <c r="BU31" s="86">
        <f t="shared" si="24"/>
        <v>-20813.355615797831</v>
      </c>
      <c r="BV31" s="86">
        <f t="shared" si="39"/>
        <v>-20813.355615797831</v>
      </c>
      <c r="BW31" s="86">
        <f t="shared" si="25"/>
        <v>0</v>
      </c>
      <c r="BX31" s="86">
        <f t="shared" si="26"/>
        <v>0</v>
      </c>
      <c r="BY31" s="86">
        <f t="shared" si="10"/>
        <v>0</v>
      </c>
      <c r="BZ31" s="86">
        <f t="shared" si="27"/>
        <v>-1705070.1886601241</v>
      </c>
      <c r="CA31" s="86">
        <f t="shared" si="40"/>
        <v>0</v>
      </c>
      <c r="CB31" s="214" t="e">
        <f t="shared" si="11"/>
        <v>#VALUE!</v>
      </c>
    </row>
    <row r="32" spans="2:80" s="86" customFormat="1" x14ac:dyDescent="0.3">
      <c r="B32" s="192">
        <f t="shared" si="28"/>
        <v>21</v>
      </c>
      <c r="C32" s="350">
        <f t="shared" si="12"/>
        <v>2042</v>
      </c>
      <c r="D32" s="351">
        <f t="shared" si="41"/>
        <v>51867</v>
      </c>
      <c r="E32" s="441">
        <f t="shared" si="41"/>
        <v>52231</v>
      </c>
      <c r="F32" s="445">
        <f>IF(AND(B32&gt;0,B32&lt;=Spas_Inputs!$J$24),1,0)</f>
        <v>1</v>
      </c>
      <c r="G32" s="447">
        <f>IF(F32=1,Spas_Inputs!$F$24,0)</f>
        <v>14000</v>
      </c>
      <c r="H32" s="123">
        <f>Spas_Inputs!$J$18</f>
        <v>0.01</v>
      </c>
      <c r="I32" s="131">
        <f>IF(B32=1,Spas_Inputs!$R$15,I31*(1+H32))*F32</f>
        <v>7.1015060324971673</v>
      </c>
      <c r="J32" s="131">
        <f>IF(B32=1,Spas_Inputs!$R$16,J31*(1+H32))*F32</f>
        <v>3.5507530162485836</v>
      </c>
      <c r="K32" s="131">
        <f>IF(B32=1,Spas_Inputs!$R$17,K31*(1+H32))*F32</f>
        <v>14.203012064994335</v>
      </c>
      <c r="L32" s="131">
        <f>IF(B32=1,Spas_Inputs!$R$18,L31*(1+H32))*F32</f>
        <v>8.2850903712466959</v>
      </c>
      <c r="M32" s="131">
        <f>IF(B32=1,Spas_Inputs!$R$19,M31*(1+H32))*F32</f>
        <v>23.671686774990569</v>
      </c>
      <c r="N32" s="131">
        <f>IF(B32=1,Spas_Inputs!$R$20,N31*(1+H32))*F32</f>
        <v>12.427635556870047</v>
      </c>
      <c r="O32" s="444">
        <f>$G32*I32*Spas_Inputs!$J$12</f>
        <v>19884.216890992069</v>
      </c>
      <c r="P32" s="444">
        <f>$G32*J32*Spas_Inputs!$J$13</f>
        <v>7456.5813341220246</v>
      </c>
      <c r="Q32" s="444">
        <f>$G32*K32*Spas_Inputs!$J$14</f>
        <v>39768.433781984138</v>
      </c>
      <c r="R32" s="444">
        <f>$G32*L32*Spas_Inputs!$J$15</f>
        <v>17398.68977961806</v>
      </c>
      <c r="S32" s="444">
        <f>$G32*M32*Spas_Inputs!$J$16</f>
        <v>49710.542227480189</v>
      </c>
      <c r="T32" s="444">
        <f>$G32*N32*Spas_Inputs!$J$17</f>
        <v>26098.034669427096</v>
      </c>
      <c r="U32" s="754">
        <f t="shared" si="30"/>
        <v>0</v>
      </c>
      <c r="V32" s="122">
        <f>SUM(O32:U32)+IF(B32=Spas_Inputs!$J$24,Spas_Inputs!$J$26,0)</f>
        <v>160316.49868362356</v>
      </c>
      <c r="W32" s="218">
        <f>IF(B32=1,Spas_Inputs!$O$7,W31*(1+Spas_Inputs!$N$23))*F32</f>
        <v>4124.2423350241288</v>
      </c>
      <c r="X32" s="122">
        <f>IF(B32=1,Spas_Inputs!$O$8,X31*(1+Spas_Inputs!$N$23))*F32</f>
        <v>16852.734898714858</v>
      </c>
      <c r="Y32" s="122">
        <f>IF(B32=1,Spas_Inputs!$O$9,Y31*(1+Spas_Inputs!$N$23))*F32</f>
        <v>107584.15582221223</v>
      </c>
      <c r="Z32" s="122">
        <f>IF(B32=1,Spas_Inputs!$O$10,Z31*(1+Spas_Inputs!$N$23))*F32</f>
        <v>23688.583190964662</v>
      </c>
      <c r="AA32" s="122">
        <f>IF(B32=1,Spas_Inputs!$O$11,AA31*(1+Spas_Inputs!$N$23))*F32</f>
        <v>22118.944547915948</v>
      </c>
      <c r="AB32" s="122">
        <f>IF(B32=1,Spas_Inputs!$O$12,AB31*(1+Spas_Inputs!$N$23))*F32</f>
        <v>112.56064551298601</v>
      </c>
      <c r="AC32" s="122">
        <f>IF(B32=1,Spas_Inputs!$O$13,AC31*(1+Spas_Inputs!$N$23))*F32</f>
        <v>0</v>
      </c>
      <c r="AD32" s="122">
        <f>IF(B32=1,Spas_Inputs!$O$14,AD31*(1+Spas_Inputs!$N$23))*F32</f>
        <v>801.58249341811802</v>
      </c>
      <c r="AE32" s="122">
        <f>IF(B32=1,Spas_Inputs!$O$15,AE31*(1+Spas_Inputs!$N$23))*F32</f>
        <v>801.58249341811802</v>
      </c>
      <c r="AF32" s="122">
        <f>IF(B32=1,Spas_Inputs!$O$16,AF31*(1+Spas_Inputs!$N$23))*F32</f>
        <v>5253.6014283983677</v>
      </c>
      <c r="AG32" s="122">
        <f>IF(B32=1,Spas_Inputs!$O$17,AG31*(1+Spas_Inputs!$N$23))*F32</f>
        <v>0</v>
      </c>
      <c r="AH32" s="181">
        <f>IF(B32=1,Spas_Inputs!$O$18,AH31*(1+Spas_Inputs!$N$23))*F32</f>
        <v>0</v>
      </c>
      <c r="AI32" s="482">
        <f>IF(B32=1,Spas_Inputs!$O$19,AI31*(1+Spas_Inputs!$N$23))*F32</f>
        <v>0</v>
      </c>
      <c r="AJ32" s="122">
        <f>IF(B32=1,Spas_Inputs!$O$20,AJ31*(1+Spas_Inputs!$N$23))*F32</f>
        <v>0</v>
      </c>
      <c r="AK32" s="122">
        <f>IF(B32=1,Spas_Inputs!$O$21,AK31*(1+Spas_Inputs!$N$23))*F32</f>
        <v>0</v>
      </c>
      <c r="AL32" s="132">
        <f>IF(B32=1,Spas_Inputs!$O$22,AL31*(1+Spas_Inputs!$N$23))*F32</f>
        <v>0</v>
      </c>
      <c r="AM32" s="200">
        <f t="shared" si="13"/>
        <v>181337.98785557941</v>
      </c>
      <c r="AN32" s="86">
        <f t="shared" si="14"/>
        <v>-21021.489171955851</v>
      </c>
      <c r="AO32" s="225">
        <f t="shared" si="15"/>
        <v>-0.13112492690749619</v>
      </c>
      <c r="AP32" s="220">
        <f>Deprec!X31</f>
        <v>35268</v>
      </c>
      <c r="AQ32" s="86">
        <f t="shared" si="16"/>
        <v>-56289.489171955851</v>
      </c>
      <c r="AR32" s="455">
        <f t="shared" si="31"/>
        <v>0</v>
      </c>
      <c r="AS32" s="86">
        <f t="shared" si="32"/>
        <v>-56289.489171955851</v>
      </c>
      <c r="AT32" s="438">
        <f>IF(AS32&lt;0,0,(AS32*Spas_Inputs!$J$21))</f>
        <v>0</v>
      </c>
      <c r="AU32" s="86">
        <f t="shared" si="33"/>
        <v>-56289.489171955851</v>
      </c>
      <c r="AV32" s="226">
        <f t="shared" si="17"/>
        <v>-0.3511147613262206</v>
      </c>
      <c r="AY32" s="196">
        <f t="shared" si="18"/>
        <v>160316.49868362356</v>
      </c>
      <c r="AZ32" s="86">
        <f t="shared" si="19"/>
        <v>181337.98785557941</v>
      </c>
      <c r="BA32" s="197">
        <f t="shared" si="34"/>
        <v>-21021.489171955851</v>
      </c>
      <c r="BB32" s="218">
        <f>IF(B32=0,Spas_Inputs!$C$29,0)</f>
        <v>0</v>
      </c>
      <c r="BC32" s="198">
        <f t="shared" si="5"/>
        <v>0</v>
      </c>
      <c r="BD32" s="197">
        <f t="shared" si="6"/>
        <v>-21021.489171955851</v>
      </c>
      <c r="BE32" s="184">
        <f>IF(B32=0,Spas_Inputs!$G$15+Spas_Inputs!$G$16,0)</f>
        <v>0</v>
      </c>
      <c r="BF32" s="185">
        <f>IF(B32=0,Spas_Inputs!$G$14,0)</f>
        <v>0</v>
      </c>
      <c r="BG32" s="200">
        <f t="shared" si="7"/>
        <v>0</v>
      </c>
      <c r="BH32" s="196">
        <f t="shared" si="8"/>
        <v>-21021.489171955851</v>
      </c>
      <c r="BI32" s="218">
        <f>Spas_Inputs!$G$20*AVERAGE(BX32,BY32)</f>
        <v>0</v>
      </c>
      <c r="BJ32" s="200">
        <f t="shared" si="9"/>
        <v>0</v>
      </c>
      <c r="BK32" s="200">
        <f t="shared" si="20"/>
        <v>-21021.489171955851</v>
      </c>
      <c r="BL32" s="86">
        <f t="shared" si="21"/>
        <v>-21021.489171955851</v>
      </c>
      <c r="BM32" s="197">
        <f t="shared" si="22"/>
        <v>-21021.489171955851</v>
      </c>
      <c r="BN32" s="86">
        <f t="shared" si="35"/>
        <v>0</v>
      </c>
      <c r="BO32" s="86">
        <f t="shared" si="36"/>
        <v>0</v>
      </c>
      <c r="BP32" s="122">
        <f>-Debt_Calc!CE30</f>
        <v>0</v>
      </c>
      <c r="BQ32" s="122">
        <f>Debt_Calc!CF30</f>
        <v>0</v>
      </c>
      <c r="BR32" s="86">
        <f t="shared" si="23"/>
        <v>0</v>
      </c>
      <c r="BS32" s="423">
        <f t="shared" si="37"/>
        <v>0</v>
      </c>
      <c r="BT32" s="86">
        <f t="shared" si="38"/>
        <v>-21021.489171955851</v>
      </c>
      <c r="BU32" s="86">
        <f t="shared" si="24"/>
        <v>-21021.489171955851</v>
      </c>
      <c r="BV32" s="86">
        <f t="shared" si="39"/>
        <v>-21021.489171955851</v>
      </c>
      <c r="BW32" s="86">
        <f t="shared" si="25"/>
        <v>0</v>
      </c>
      <c r="BX32" s="86">
        <f t="shared" si="26"/>
        <v>0</v>
      </c>
      <c r="BY32" s="86">
        <f t="shared" si="10"/>
        <v>0</v>
      </c>
      <c r="BZ32" s="86">
        <f t="shared" si="27"/>
        <v>-1726091.6778320801</v>
      </c>
      <c r="CA32" s="86">
        <f t="shared" si="40"/>
        <v>0</v>
      </c>
      <c r="CB32" s="214" t="e">
        <f t="shared" si="11"/>
        <v>#VALUE!</v>
      </c>
    </row>
    <row r="33" spans="2:99" s="86" customFormat="1" x14ac:dyDescent="0.3">
      <c r="B33" s="192">
        <f t="shared" si="28"/>
        <v>22</v>
      </c>
      <c r="C33" s="350">
        <f t="shared" si="12"/>
        <v>2043</v>
      </c>
      <c r="D33" s="351">
        <f t="shared" si="41"/>
        <v>52232</v>
      </c>
      <c r="E33" s="441">
        <f t="shared" si="41"/>
        <v>52596</v>
      </c>
      <c r="F33" s="445">
        <f>IF(AND(B33&gt;0,B33&lt;=Spas_Inputs!$J$24),1,0)</f>
        <v>1</v>
      </c>
      <c r="G33" s="447">
        <f>IF(F33=1,Spas_Inputs!$F$24,0)</f>
        <v>14000</v>
      </c>
      <c r="H33" s="123">
        <f>Spas_Inputs!$J$18</f>
        <v>0.01</v>
      </c>
      <c r="I33" s="131">
        <f>IF(B33=1,Spas_Inputs!$R$15,I32*(1+H33))*F33</f>
        <v>7.172521092822139</v>
      </c>
      <c r="J33" s="131">
        <f>IF(B33=1,Spas_Inputs!$R$16,J32*(1+H33))*F33</f>
        <v>3.5862605464110695</v>
      </c>
      <c r="K33" s="131">
        <f>IF(B33=1,Spas_Inputs!$R$17,K32*(1+H33))*F33</f>
        <v>14.345042185644278</v>
      </c>
      <c r="L33" s="131">
        <f>IF(B33=1,Spas_Inputs!$R$18,L32*(1+H33))*F33</f>
        <v>8.3679412749591631</v>
      </c>
      <c r="M33" s="131">
        <f>IF(B33=1,Spas_Inputs!$R$19,M32*(1+H33))*F33</f>
        <v>23.908403642740474</v>
      </c>
      <c r="N33" s="131">
        <f>IF(B33=1,Spas_Inputs!$R$20,N32*(1+H33))*F33</f>
        <v>12.551911912438747</v>
      </c>
      <c r="O33" s="444">
        <f>$G33*I33*Spas_Inputs!$J$12</f>
        <v>20083.059059901992</v>
      </c>
      <c r="P33" s="444">
        <f>$G33*J33*Spas_Inputs!$J$13</f>
        <v>7531.1471474632453</v>
      </c>
      <c r="Q33" s="444">
        <f>$G33*K33*Spas_Inputs!$J$14</f>
        <v>40166.118119803985</v>
      </c>
      <c r="R33" s="444">
        <f>$G33*L33*Spas_Inputs!$J$15</f>
        <v>17572.676677414242</v>
      </c>
      <c r="S33" s="444">
        <f>$G33*M33*Spas_Inputs!$J$16</f>
        <v>50207.647649754996</v>
      </c>
      <c r="T33" s="444">
        <f>$G33*N33*Spas_Inputs!$J$17</f>
        <v>26359.015016121368</v>
      </c>
      <c r="U33" s="754">
        <f t="shared" si="30"/>
        <v>0</v>
      </c>
      <c r="V33" s="122">
        <f>SUM(O33:U33)+IF(B33=Spas_Inputs!$J$24,Spas_Inputs!$J$26,0)</f>
        <v>161919.66367045982</v>
      </c>
      <c r="W33" s="218">
        <f>IF(B33=1,Spas_Inputs!$O$7,W32*(1+Spas_Inputs!$N$23))*F33</f>
        <v>4165.4847583743704</v>
      </c>
      <c r="X33" s="122">
        <f>IF(B33=1,Spas_Inputs!$O$8,X32*(1+Spas_Inputs!$N$23))*F33</f>
        <v>17021.262247702005</v>
      </c>
      <c r="Y33" s="122">
        <f>IF(B33=1,Spas_Inputs!$O$9,Y32*(1+Spas_Inputs!$N$23))*F33</f>
        <v>108659.99738043435</v>
      </c>
      <c r="Z33" s="122">
        <f>IF(B33=1,Spas_Inputs!$O$10,Z32*(1+Spas_Inputs!$N$23))*F33</f>
        <v>23925.469022874309</v>
      </c>
      <c r="AA33" s="122">
        <f>IF(B33=1,Spas_Inputs!$O$11,AA32*(1+Spas_Inputs!$N$23))*F33</f>
        <v>22340.133993395106</v>
      </c>
      <c r="AB33" s="122">
        <f>IF(B33=1,Spas_Inputs!$O$12,AB32*(1+Spas_Inputs!$N$23))*F33</f>
        <v>113.68625196811587</v>
      </c>
      <c r="AC33" s="122">
        <f>IF(B33=1,Spas_Inputs!$O$13,AC32*(1+Spas_Inputs!$N$23))*F33</f>
        <v>0</v>
      </c>
      <c r="AD33" s="122">
        <f>IF(B33=1,Spas_Inputs!$O$14,AD32*(1+Spas_Inputs!$N$23))*F33</f>
        <v>809.5983183522992</v>
      </c>
      <c r="AE33" s="122">
        <f>IF(B33=1,Spas_Inputs!$O$15,AE32*(1+Spas_Inputs!$N$23))*F33</f>
        <v>809.5983183522992</v>
      </c>
      <c r="AF33" s="122">
        <f>IF(B33=1,Spas_Inputs!$O$16,AF32*(1+Spas_Inputs!$N$23))*F33</f>
        <v>5306.1374426823513</v>
      </c>
      <c r="AG33" s="122">
        <f>IF(B33=1,Spas_Inputs!$O$17,AG32*(1+Spas_Inputs!$N$23))*F33</f>
        <v>0</v>
      </c>
      <c r="AH33" s="181">
        <f>IF(B33=1,Spas_Inputs!$O$18,AH32*(1+Spas_Inputs!$N$23))*F33</f>
        <v>0</v>
      </c>
      <c r="AI33" s="482">
        <f>IF(B33=1,Spas_Inputs!$O$19,AI32*(1+Spas_Inputs!$N$23))*F33</f>
        <v>0</v>
      </c>
      <c r="AJ33" s="122">
        <f>IF(B33=1,Spas_Inputs!$O$20,AJ32*(1+Spas_Inputs!$N$23))*F33</f>
        <v>0</v>
      </c>
      <c r="AK33" s="122">
        <f>IF(B33=1,Spas_Inputs!$O$21,AK32*(1+Spas_Inputs!$N$23))*F33</f>
        <v>0</v>
      </c>
      <c r="AL33" s="132">
        <f>IF(B33=1,Spas_Inputs!$O$22,AL32*(1+Spas_Inputs!$N$23))*F33</f>
        <v>0</v>
      </c>
      <c r="AM33" s="200">
        <f t="shared" si="13"/>
        <v>183151.36773413522</v>
      </c>
      <c r="AN33" s="86">
        <f t="shared" si="14"/>
        <v>-21231.704063675395</v>
      </c>
      <c r="AO33" s="225">
        <f t="shared" si="15"/>
        <v>-0.13112492690749611</v>
      </c>
      <c r="AP33" s="220">
        <f>Deprec!X32</f>
        <v>35268</v>
      </c>
      <c r="AQ33" s="86">
        <f t="shared" si="16"/>
        <v>-56499.704063675395</v>
      </c>
      <c r="AR33" s="455">
        <f t="shared" si="31"/>
        <v>0</v>
      </c>
      <c r="AS33" s="86">
        <f t="shared" si="32"/>
        <v>-56499.704063675395</v>
      </c>
      <c r="AT33" s="438">
        <f>IF(AS33&lt;0,0,(AS33*Spas_Inputs!$J$21))</f>
        <v>0</v>
      </c>
      <c r="AU33" s="86">
        <f t="shared" si="33"/>
        <v>-56499.704063675395</v>
      </c>
      <c r="AV33" s="226">
        <f t="shared" si="17"/>
        <v>-0.34893664415375786</v>
      </c>
      <c r="AY33" s="196">
        <f t="shared" si="18"/>
        <v>161919.66367045982</v>
      </c>
      <c r="AZ33" s="86">
        <f t="shared" si="19"/>
        <v>183151.36773413522</v>
      </c>
      <c r="BA33" s="197">
        <f t="shared" si="34"/>
        <v>-21231.704063675395</v>
      </c>
      <c r="BB33" s="218">
        <f>IF(B33=0,Spas_Inputs!$C$29,0)</f>
        <v>0</v>
      </c>
      <c r="BC33" s="198">
        <f t="shared" si="5"/>
        <v>0</v>
      </c>
      <c r="BD33" s="197">
        <f t="shared" si="6"/>
        <v>-21231.704063675395</v>
      </c>
      <c r="BE33" s="184">
        <f>IF(B33=0,Spas_Inputs!$G$15+Spas_Inputs!$G$16,0)</f>
        <v>0</v>
      </c>
      <c r="BF33" s="185">
        <f>IF(B33=0,Spas_Inputs!$G$14,0)</f>
        <v>0</v>
      </c>
      <c r="BG33" s="200">
        <f t="shared" si="7"/>
        <v>0</v>
      </c>
      <c r="BH33" s="196">
        <f t="shared" si="8"/>
        <v>-21231.704063675395</v>
      </c>
      <c r="BI33" s="218">
        <f>Spas_Inputs!$G$20*AVERAGE(BX33,BY33)</f>
        <v>0</v>
      </c>
      <c r="BJ33" s="200">
        <f t="shared" si="9"/>
        <v>0</v>
      </c>
      <c r="BK33" s="200">
        <f t="shared" si="20"/>
        <v>-21231.704063675395</v>
      </c>
      <c r="BL33" s="86">
        <f t="shared" si="21"/>
        <v>-21231.704063675395</v>
      </c>
      <c r="BM33" s="197">
        <f t="shared" si="22"/>
        <v>-21231.704063675395</v>
      </c>
      <c r="BN33" s="86">
        <f t="shared" si="35"/>
        <v>0</v>
      </c>
      <c r="BO33" s="86">
        <f t="shared" si="36"/>
        <v>0</v>
      </c>
      <c r="BP33" s="122">
        <f>-Debt_Calc!CE31</f>
        <v>0</v>
      </c>
      <c r="BQ33" s="122">
        <f>Debt_Calc!CF31</f>
        <v>0</v>
      </c>
      <c r="BR33" s="86">
        <f t="shared" si="23"/>
        <v>0</v>
      </c>
      <c r="BS33" s="423">
        <f t="shared" si="37"/>
        <v>0</v>
      </c>
      <c r="BT33" s="86">
        <f t="shared" si="38"/>
        <v>-21231.704063675395</v>
      </c>
      <c r="BU33" s="86">
        <f t="shared" si="24"/>
        <v>-21231.704063675395</v>
      </c>
      <c r="BV33" s="86">
        <f t="shared" si="39"/>
        <v>-21231.704063675395</v>
      </c>
      <c r="BW33" s="86">
        <f t="shared" si="25"/>
        <v>0</v>
      </c>
      <c r="BX33" s="86">
        <f t="shared" si="26"/>
        <v>0</v>
      </c>
      <c r="BY33" s="86">
        <f t="shared" si="10"/>
        <v>0</v>
      </c>
      <c r="BZ33" s="86">
        <f t="shared" si="27"/>
        <v>-1747323.3818957554</v>
      </c>
      <c r="CA33" s="86">
        <f t="shared" si="40"/>
        <v>0</v>
      </c>
      <c r="CB33" s="214" t="e">
        <f t="shared" si="11"/>
        <v>#VALUE!</v>
      </c>
    </row>
    <row r="34" spans="2:99" s="86" customFormat="1" x14ac:dyDescent="0.3">
      <c r="B34" s="192">
        <f t="shared" si="28"/>
        <v>23</v>
      </c>
      <c r="C34" s="350">
        <f t="shared" si="12"/>
        <v>2044</v>
      </c>
      <c r="D34" s="351">
        <f t="shared" si="41"/>
        <v>52597</v>
      </c>
      <c r="E34" s="441">
        <f t="shared" si="41"/>
        <v>52962</v>
      </c>
      <c r="F34" s="445">
        <f>IF(AND(B34&gt;0,B34&lt;=Spas_Inputs!$J$24),1,0)</f>
        <v>1</v>
      </c>
      <c r="G34" s="447">
        <f>IF(F34=1,Spas_Inputs!$F$24,0)</f>
        <v>14000</v>
      </c>
      <c r="H34" s="123">
        <f>Spas_Inputs!$J$18</f>
        <v>0.01</v>
      </c>
      <c r="I34" s="131">
        <f>IF(B34=1,Spas_Inputs!$R$15,I33*(1+H34))*F34</f>
        <v>7.2442463037503604</v>
      </c>
      <c r="J34" s="131">
        <f>IF(B34=1,Spas_Inputs!$R$16,J33*(1+H34))*F34</f>
        <v>3.6221231518751802</v>
      </c>
      <c r="K34" s="131">
        <f>IF(B34=1,Spas_Inputs!$R$17,K33*(1+H34))*F34</f>
        <v>14.488492607500721</v>
      </c>
      <c r="L34" s="131">
        <f>IF(B34=1,Spas_Inputs!$R$18,L33*(1+H34))*F34</f>
        <v>8.4516206877087541</v>
      </c>
      <c r="M34" s="131">
        <f>IF(B34=1,Spas_Inputs!$R$19,M33*(1+H34))*F34</f>
        <v>24.147487679167877</v>
      </c>
      <c r="N34" s="131">
        <f>IF(B34=1,Spas_Inputs!$R$20,N33*(1+H34))*F34</f>
        <v>12.677431031563135</v>
      </c>
      <c r="O34" s="444">
        <f>$G34*I34*Spas_Inputs!$J$12</f>
        <v>20283.889650501009</v>
      </c>
      <c r="P34" s="444">
        <f>$G34*J34*Spas_Inputs!$J$13</f>
        <v>7606.4586189378779</v>
      </c>
      <c r="Q34" s="444">
        <f>$G34*K34*Spas_Inputs!$J$14</f>
        <v>40567.779301002018</v>
      </c>
      <c r="R34" s="444">
        <f>$G34*L34*Spas_Inputs!$J$15</f>
        <v>17748.403444188385</v>
      </c>
      <c r="S34" s="444">
        <f>$G34*M34*Spas_Inputs!$J$16</f>
        <v>50709.724126252542</v>
      </c>
      <c r="T34" s="444">
        <f>$G34*N34*Spas_Inputs!$J$17</f>
        <v>26622.605166282581</v>
      </c>
      <c r="U34" s="754">
        <f t="shared" si="30"/>
        <v>0</v>
      </c>
      <c r="V34" s="122">
        <f>SUM(O34:U34)+IF(B34=Spas_Inputs!$J$24,Spas_Inputs!$J$26,0)</f>
        <v>163538.86030716443</v>
      </c>
      <c r="W34" s="218">
        <f>IF(B34=1,Spas_Inputs!$O$7,W33*(1+Spas_Inputs!$N$23))*F34</f>
        <v>4207.1396059581139</v>
      </c>
      <c r="X34" s="122">
        <f>IF(B34=1,Spas_Inputs!$O$8,X33*(1+Spas_Inputs!$N$23))*F34</f>
        <v>17191.474870179027</v>
      </c>
      <c r="Y34" s="122">
        <f>IF(B34=1,Spas_Inputs!$O$9,Y33*(1+Spas_Inputs!$N$23))*F34</f>
        <v>109746.59735423869</v>
      </c>
      <c r="Z34" s="122">
        <f>IF(B34=1,Spas_Inputs!$O$10,Z33*(1+Spas_Inputs!$N$23))*F34</f>
        <v>24164.723713103052</v>
      </c>
      <c r="AA34" s="122">
        <f>IF(B34=1,Spas_Inputs!$O$11,AA33*(1+Spas_Inputs!$N$23))*F34</f>
        <v>22563.535333329059</v>
      </c>
      <c r="AB34" s="122">
        <f>IF(B34=1,Spas_Inputs!$O$12,AB33*(1+Spas_Inputs!$N$23))*F34</f>
        <v>114.82311448779703</v>
      </c>
      <c r="AC34" s="122">
        <f>IF(B34=1,Spas_Inputs!$O$13,AC33*(1+Spas_Inputs!$N$23))*F34</f>
        <v>0</v>
      </c>
      <c r="AD34" s="122">
        <f>IF(B34=1,Spas_Inputs!$O$14,AD33*(1+Spas_Inputs!$N$23))*F34</f>
        <v>817.69430153582221</v>
      </c>
      <c r="AE34" s="122">
        <f>IF(B34=1,Spas_Inputs!$O$15,AE33*(1+Spas_Inputs!$N$23))*F34</f>
        <v>817.69430153582221</v>
      </c>
      <c r="AF34" s="122">
        <f>IF(B34=1,Spas_Inputs!$O$16,AF33*(1+Spas_Inputs!$N$23))*F34</f>
        <v>5359.1988171091753</v>
      </c>
      <c r="AG34" s="122">
        <f>IF(B34=1,Spas_Inputs!$O$17,AG33*(1+Spas_Inputs!$N$23))*F34</f>
        <v>0</v>
      </c>
      <c r="AH34" s="181">
        <f>IF(B34=1,Spas_Inputs!$O$18,AH33*(1+Spas_Inputs!$N$23))*F34</f>
        <v>0</v>
      </c>
      <c r="AI34" s="482">
        <f>IF(B34=1,Spas_Inputs!$O$19,AI33*(1+Spas_Inputs!$N$23))*F34</f>
        <v>0</v>
      </c>
      <c r="AJ34" s="122">
        <f>IF(B34=1,Spas_Inputs!$O$20,AJ33*(1+Spas_Inputs!$N$23))*F34</f>
        <v>0</v>
      </c>
      <c r="AK34" s="122">
        <f>IF(B34=1,Spas_Inputs!$O$21,AK33*(1+Spas_Inputs!$N$23))*F34</f>
        <v>0</v>
      </c>
      <c r="AL34" s="132">
        <f>IF(B34=1,Spas_Inputs!$O$22,AL33*(1+Spas_Inputs!$N$23))*F34</f>
        <v>0</v>
      </c>
      <c r="AM34" s="200">
        <f t="shared" si="13"/>
        <v>184982.88141147653</v>
      </c>
      <c r="AN34" s="86">
        <f t="shared" si="14"/>
        <v>-21444.021104312094</v>
      </c>
      <c r="AO34" s="225">
        <f t="shared" si="15"/>
        <v>-0.13112492690749575</v>
      </c>
      <c r="AP34" s="220">
        <f>Deprec!X33</f>
        <v>35268</v>
      </c>
      <c r="AQ34" s="86">
        <f t="shared" si="16"/>
        <v>-56712.021104312094</v>
      </c>
      <c r="AR34" s="455">
        <f t="shared" si="31"/>
        <v>0</v>
      </c>
      <c r="AS34" s="86">
        <f t="shared" si="32"/>
        <v>-56712.021104312094</v>
      </c>
      <c r="AT34" s="438">
        <f>IF(AS34&lt;0,0,(AS34*Spas_Inputs!$J$21))</f>
        <v>0</v>
      </c>
      <c r="AU34" s="86">
        <f t="shared" si="33"/>
        <v>-56712.021104312094</v>
      </c>
      <c r="AV34" s="226">
        <f t="shared" si="17"/>
        <v>-0.34678009249785391</v>
      </c>
      <c r="AY34" s="196">
        <f t="shared" si="18"/>
        <v>163538.86030716443</v>
      </c>
      <c r="AZ34" s="86">
        <f t="shared" si="19"/>
        <v>184982.88141147653</v>
      </c>
      <c r="BA34" s="197">
        <f t="shared" si="34"/>
        <v>-21444.021104312094</v>
      </c>
      <c r="BB34" s="218">
        <f>IF(B34=0,Spas_Inputs!$C$29,0)</f>
        <v>0</v>
      </c>
      <c r="BC34" s="198">
        <f t="shared" si="5"/>
        <v>0</v>
      </c>
      <c r="BD34" s="197">
        <f t="shared" si="6"/>
        <v>-21444.021104312094</v>
      </c>
      <c r="BE34" s="184">
        <f>IF(B34=0,Spas_Inputs!$G$15+Spas_Inputs!$G$16,0)</f>
        <v>0</v>
      </c>
      <c r="BF34" s="185">
        <f>IF(B34=0,Spas_Inputs!$G$14,0)</f>
        <v>0</v>
      </c>
      <c r="BG34" s="200">
        <f t="shared" si="7"/>
        <v>0</v>
      </c>
      <c r="BH34" s="196">
        <f t="shared" si="8"/>
        <v>-21444.021104312094</v>
      </c>
      <c r="BI34" s="218">
        <f>Spas_Inputs!$G$20*AVERAGE(BX34,BY34)</f>
        <v>0</v>
      </c>
      <c r="BJ34" s="200">
        <f t="shared" si="9"/>
        <v>0</v>
      </c>
      <c r="BK34" s="200">
        <f t="shared" si="20"/>
        <v>-21444.021104312094</v>
      </c>
      <c r="BL34" s="86">
        <f t="shared" si="21"/>
        <v>-21444.021104312094</v>
      </c>
      <c r="BM34" s="197">
        <f t="shared" si="22"/>
        <v>-21444.021104312094</v>
      </c>
      <c r="BN34" s="86">
        <f t="shared" si="35"/>
        <v>0</v>
      </c>
      <c r="BO34" s="86">
        <f t="shared" si="36"/>
        <v>0</v>
      </c>
      <c r="BP34" s="122">
        <f>-Debt_Calc!CE32</f>
        <v>0</v>
      </c>
      <c r="BQ34" s="122">
        <f>Debt_Calc!CF32</f>
        <v>0</v>
      </c>
      <c r="BR34" s="86">
        <f t="shared" si="23"/>
        <v>0</v>
      </c>
      <c r="BS34" s="423">
        <f t="shared" si="37"/>
        <v>0</v>
      </c>
      <c r="BT34" s="86">
        <f t="shared" si="38"/>
        <v>-21444.021104312094</v>
      </c>
      <c r="BU34" s="86">
        <f t="shared" si="24"/>
        <v>-21444.021104312094</v>
      </c>
      <c r="BV34" s="86">
        <f t="shared" si="39"/>
        <v>-21444.021104312094</v>
      </c>
      <c r="BW34" s="86">
        <f t="shared" si="25"/>
        <v>0</v>
      </c>
      <c r="BX34" s="86">
        <f t="shared" si="26"/>
        <v>0</v>
      </c>
      <c r="BY34" s="86">
        <f t="shared" si="10"/>
        <v>0</v>
      </c>
      <c r="BZ34" s="86">
        <f t="shared" si="27"/>
        <v>-1768767.4030000675</v>
      </c>
      <c r="CA34" s="86">
        <f t="shared" si="40"/>
        <v>0</v>
      </c>
      <c r="CB34" s="214" t="e">
        <f t="shared" si="11"/>
        <v>#VALUE!</v>
      </c>
    </row>
    <row r="35" spans="2:99" s="86" customFormat="1" x14ac:dyDescent="0.3">
      <c r="B35" s="192">
        <f t="shared" si="28"/>
        <v>24</v>
      </c>
      <c r="C35" s="350">
        <f t="shared" si="12"/>
        <v>2045</v>
      </c>
      <c r="D35" s="351">
        <f t="shared" si="41"/>
        <v>52963</v>
      </c>
      <c r="E35" s="441">
        <f t="shared" si="41"/>
        <v>53327</v>
      </c>
      <c r="F35" s="445">
        <f>IF(AND(B35&gt;0,B35&lt;=Spas_Inputs!$J$24),1,0)</f>
        <v>1</v>
      </c>
      <c r="G35" s="447">
        <f>IF(F35=1,Spas_Inputs!$F$24,0)</f>
        <v>14000</v>
      </c>
      <c r="H35" s="123">
        <f>Spas_Inputs!$J$18</f>
        <v>0.01</v>
      </c>
      <c r="I35" s="131">
        <f>IF(B35=1,Spas_Inputs!$R$15,I34*(1+H35))*F35</f>
        <v>7.3166887667878644</v>
      </c>
      <c r="J35" s="131">
        <f>IF(B35=1,Spas_Inputs!$R$16,J34*(1+H35))*F35</f>
        <v>3.6583443833939322</v>
      </c>
      <c r="K35" s="131">
        <f>IF(B35=1,Spas_Inputs!$R$17,K34*(1+H35))*F35</f>
        <v>14.633377533575729</v>
      </c>
      <c r="L35" s="131">
        <f>IF(B35=1,Spas_Inputs!$R$18,L34*(1+H35))*F35</f>
        <v>8.5361368945858409</v>
      </c>
      <c r="M35" s="131">
        <f>IF(B35=1,Spas_Inputs!$R$19,M34*(1+H35))*F35</f>
        <v>24.388962555959555</v>
      </c>
      <c r="N35" s="131">
        <f>IF(B35=1,Spas_Inputs!$R$20,N34*(1+H35))*F35</f>
        <v>12.804205341878767</v>
      </c>
      <c r="O35" s="444">
        <f>$G35*I35*Spas_Inputs!$J$12</f>
        <v>20486.72854700602</v>
      </c>
      <c r="P35" s="444">
        <f>$G35*J35*Spas_Inputs!$J$13</f>
        <v>7682.5232051272569</v>
      </c>
      <c r="Q35" s="444">
        <f>$G35*K35*Spas_Inputs!$J$14</f>
        <v>40973.457094012039</v>
      </c>
      <c r="R35" s="444">
        <f>$G35*L35*Spas_Inputs!$J$15</f>
        <v>17925.887478630266</v>
      </c>
      <c r="S35" s="444">
        <f>$G35*M35*Spas_Inputs!$J$16</f>
        <v>51216.821367515062</v>
      </c>
      <c r="T35" s="444">
        <f>$G35*N35*Spas_Inputs!$J$17</f>
        <v>26888.831217945411</v>
      </c>
      <c r="U35" s="754">
        <f t="shared" si="30"/>
        <v>0</v>
      </c>
      <c r="V35" s="122">
        <f>SUM(O35:U35)+IF(B35=Spas_Inputs!$J$24,Spas_Inputs!$J$26,0)</f>
        <v>165174.24891023603</v>
      </c>
      <c r="W35" s="218">
        <f>IF(B35=1,Spas_Inputs!$O$7,W34*(1+Spas_Inputs!$N$23))*F35</f>
        <v>4249.2110020176951</v>
      </c>
      <c r="X35" s="122">
        <f>IF(B35=1,Spas_Inputs!$O$8,X34*(1+Spas_Inputs!$N$23))*F35</f>
        <v>17363.389618880818</v>
      </c>
      <c r="Y35" s="122">
        <f>IF(B35=1,Spas_Inputs!$O$9,Y34*(1+Spas_Inputs!$N$23))*F35</f>
        <v>110844.06332778108</v>
      </c>
      <c r="Z35" s="122">
        <f>IF(B35=1,Spas_Inputs!$O$10,Z34*(1+Spas_Inputs!$N$23))*F35</f>
        <v>24406.370950234083</v>
      </c>
      <c r="AA35" s="122">
        <f>IF(B35=1,Spas_Inputs!$O$11,AA34*(1+Spas_Inputs!$N$23))*F35</f>
        <v>22789.17068666235</v>
      </c>
      <c r="AB35" s="122">
        <f>IF(B35=1,Spas_Inputs!$O$12,AB34*(1+Spas_Inputs!$N$23))*F35</f>
        <v>115.971345632675</v>
      </c>
      <c r="AC35" s="122">
        <f>IF(B35=1,Spas_Inputs!$O$13,AC34*(1+Spas_Inputs!$N$23))*F35</f>
        <v>0</v>
      </c>
      <c r="AD35" s="122">
        <f>IF(B35=1,Spas_Inputs!$O$14,AD34*(1+Spas_Inputs!$N$23))*F35</f>
        <v>825.87124455118044</v>
      </c>
      <c r="AE35" s="122">
        <f>IF(B35=1,Spas_Inputs!$O$15,AE34*(1+Spas_Inputs!$N$23))*F35</f>
        <v>825.87124455118044</v>
      </c>
      <c r="AF35" s="122">
        <f>IF(B35=1,Spas_Inputs!$O$16,AF34*(1+Spas_Inputs!$N$23))*F35</f>
        <v>5412.7908052802668</v>
      </c>
      <c r="AG35" s="122">
        <f>IF(B35=1,Spas_Inputs!$O$17,AG34*(1+Spas_Inputs!$N$23))*F35</f>
        <v>0</v>
      </c>
      <c r="AH35" s="181">
        <f>IF(B35=1,Spas_Inputs!$O$18,AH34*(1+Spas_Inputs!$N$23))*F35</f>
        <v>0</v>
      </c>
      <c r="AI35" s="482">
        <f>IF(B35=1,Spas_Inputs!$O$19,AI34*(1+Spas_Inputs!$N$23))*F35</f>
        <v>0</v>
      </c>
      <c r="AJ35" s="122">
        <f>IF(B35=1,Spas_Inputs!$O$20,AJ34*(1+Spas_Inputs!$N$23))*F35</f>
        <v>0</v>
      </c>
      <c r="AK35" s="122">
        <f>IF(B35=1,Spas_Inputs!$O$21,AK34*(1+Spas_Inputs!$N$23))*F35</f>
        <v>0</v>
      </c>
      <c r="AL35" s="132">
        <f>IF(B35=1,Spas_Inputs!$O$22,AL34*(1+Spas_Inputs!$N$23))*F35</f>
        <v>0</v>
      </c>
      <c r="AM35" s="200">
        <f t="shared" si="13"/>
        <v>186832.71022559135</v>
      </c>
      <c r="AN35" s="86">
        <f t="shared" si="14"/>
        <v>-21658.461315355322</v>
      </c>
      <c r="AO35" s="225">
        <f t="shared" si="15"/>
        <v>-0.13112492690749644</v>
      </c>
      <c r="AP35" s="220">
        <f>Deprec!X34</f>
        <v>35268</v>
      </c>
      <c r="AQ35" s="86">
        <f t="shared" si="16"/>
        <v>-56926.461315355322</v>
      </c>
      <c r="AR35" s="455">
        <f t="shared" si="31"/>
        <v>0</v>
      </c>
      <c r="AS35" s="86">
        <f t="shared" si="32"/>
        <v>-56926.461315355322</v>
      </c>
      <c r="AT35" s="438">
        <f>IF(AS35&lt;0,0,(AS35*Spas_Inputs!$J$21))</f>
        <v>0</v>
      </c>
      <c r="AU35" s="86">
        <f t="shared" si="33"/>
        <v>-56926.461315355322</v>
      </c>
      <c r="AV35" s="226">
        <f t="shared" si="17"/>
        <v>-0.34464489283854421</v>
      </c>
      <c r="AY35" s="196">
        <f t="shared" si="18"/>
        <v>165174.24891023603</v>
      </c>
      <c r="AZ35" s="86">
        <f t="shared" si="19"/>
        <v>186832.71022559135</v>
      </c>
      <c r="BA35" s="197">
        <f t="shared" si="34"/>
        <v>-21658.461315355322</v>
      </c>
      <c r="BB35" s="218">
        <f>IF(B35=0,Spas_Inputs!$C$29,0)</f>
        <v>0</v>
      </c>
      <c r="BC35" s="198">
        <f t="shared" si="5"/>
        <v>0</v>
      </c>
      <c r="BD35" s="197">
        <f t="shared" si="6"/>
        <v>-21658.461315355322</v>
      </c>
      <c r="BE35" s="184">
        <f>IF(B35=0,Spas_Inputs!$G$15+Spas_Inputs!$G$16,0)</f>
        <v>0</v>
      </c>
      <c r="BF35" s="185">
        <f>IF(B35=0,Spas_Inputs!$G$14,0)</f>
        <v>0</v>
      </c>
      <c r="BG35" s="200">
        <f t="shared" si="7"/>
        <v>0</v>
      </c>
      <c r="BH35" s="196">
        <f t="shared" si="8"/>
        <v>-21658.461315355322</v>
      </c>
      <c r="BI35" s="218">
        <f>Spas_Inputs!$G$20*AVERAGE(BX35,BY35)</f>
        <v>0</v>
      </c>
      <c r="BJ35" s="200">
        <f t="shared" si="9"/>
        <v>0</v>
      </c>
      <c r="BK35" s="200">
        <f t="shared" si="20"/>
        <v>-21658.461315355322</v>
      </c>
      <c r="BL35" s="86">
        <f t="shared" si="21"/>
        <v>-21658.461315355322</v>
      </c>
      <c r="BM35" s="197">
        <f t="shared" si="22"/>
        <v>-21658.461315355322</v>
      </c>
      <c r="BN35" s="86">
        <f t="shared" si="35"/>
        <v>0</v>
      </c>
      <c r="BO35" s="86">
        <f t="shared" si="36"/>
        <v>0</v>
      </c>
      <c r="BP35" s="122">
        <f>-Debt_Calc!CE33</f>
        <v>0</v>
      </c>
      <c r="BQ35" s="122">
        <f>Debt_Calc!CF33</f>
        <v>0</v>
      </c>
      <c r="BR35" s="86">
        <f t="shared" si="23"/>
        <v>0</v>
      </c>
      <c r="BS35" s="423">
        <f t="shared" si="37"/>
        <v>0</v>
      </c>
      <c r="BT35" s="86">
        <f t="shared" si="38"/>
        <v>-21658.461315355322</v>
      </c>
      <c r="BU35" s="86">
        <f t="shared" si="24"/>
        <v>-21658.461315355322</v>
      </c>
      <c r="BV35" s="86">
        <f t="shared" si="39"/>
        <v>-21658.461315355322</v>
      </c>
      <c r="BW35" s="86">
        <f t="shared" si="25"/>
        <v>0</v>
      </c>
      <c r="BX35" s="86">
        <f t="shared" si="26"/>
        <v>0</v>
      </c>
      <c r="BY35" s="86">
        <f t="shared" si="10"/>
        <v>0</v>
      </c>
      <c r="BZ35" s="86">
        <f t="shared" si="27"/>
        <v>-1790425.8643154227</v>
      </c>
      <c r="CA35" s="86">
        <f t="shared" si="40"/>
        <v>0</v>
      </c>
      <c r="CB35" s="214" t="e">
        <f t="shared" si="11"/>
        <v>#VALUE!</v>
      </c>
    </row>
    <row r="36" spans="2:99" s="86" customFormat="1" x14ac:dyDescent="0.3">
      <c r="B36" s="192">
        <f t="shared" si="28"/>
        <v>25</v>
      </c>
      <c r="C36" s="350">
        <f t="shared" si="12"/>
        <v>2046</v>
      </c>
      <c r="D36" s="351">
        <f t="shared" si="41"/>
        <v>53328</v>
      </c>
      <c r="E36" s="441">
        <f t="shared" si="41"/>
        <v>53692</v>
      </c>
      <c r="F36" s="445">
        <f>IF(AND(B36&gt;0,B36&lt;=Spas_Inputs!$J$24),1,0)</f>
        <v>1</v>
      </c>
      <c r="G36" s="447">
        <f>IF(F36=1,Spas_Inputs!$F$24,0)</f>
        <v>14000</v>
      </c>
      <c r="H36" s="123">
        <f>Spas_Inputs!$J$18</f>
        <v>0.01</v>
      </c>
      <c r="I36" s="131">
        <f>IF(B36=1,Spas_Inputs!$R$15,I35*(1+H36))*F36</f>
        <v>7.3898556544557428</v>
      </c>
      <c r="J36" s="131">
        <f>IF(B36=1,Spas_Inputs!$R$16,J35*(1+H36))*F36</f>
        <v>3.6949278272278714</v>
      </c>
      <c r="K36" s="131">
        <f>IF(B36=1,Spas_Inputs!$R$17,K35*(1+H36))*F36</f>
        <v>14.779711308911486</v>
      </c>
      <c r="L36" s="131">
        <f>IF(B36=1,Spas_Inputs!$R$18,L35*(1+H36))*F36</f>
        <v>8.6214982635316986</v>
      </c>
      <c r="M36" s="131">
        <f>IF(B36=1,Spas_Inputs!$R$19,M35*(1+H36))*F36</f>
        <v>24.632852181519151</v>
      </c>
      <c r="N36" s="131">
        <f>IF(B36=1,Spas_Inputs!$R$20,N35*(1+H36))*F36</f>
        <v>12.932247395297555</v>
      </c>
      <c r="O36" s="444">
        <f>$G36*I36*Spas_Inputs!$J$12</f>
        <v>20691.595832476083</v>
      </c>
      <c r="P36" s="444">
        <f>$G36*J36*Spas_Inputs!$J$13</f>
        <v>7759.3484371785298</v>
      </c>
      <c r="Q36" s="444">
        <f>$G36*K36*Spas_Inputs!$J$14</f>
        <v>41383.191664952166</v>
      </c>
      <c r="R36" s="444">
        <f>$G36*L36*Spas_Inputs!$J$15</f>
        <v>18105.146353416567</v>
      </c>
      <c r="S36" s="444">
        <f>$G36*M36*Spas_Inputs!$J$16</f>
        <v>51728.989581190217</v>
      </c>
      <c r="T36" s="444">
        <f>$G36*N36*Spas_Inputs!$J$17</f>
        <v>27157.719530124861</v>
      </c>
      <c r="U36" s="754">
        <f t="shared" si="30"/>
        <v>0</v>
      </c>
      <c r="V36" s="122">
        <f>SUM(O36:U36)+IF(B36=Spas_Inputs!$J$24,Spas_Inputs!$J$26,0)</f>
        <v>166825.99139933841</v>
      </c>
      <c r="W36" s="218">
        <f>IF(B36=1,Spas_Inputs!$O$7,W35*(1+Spas_Inputs!$N$23))*F36</f>
        <v>4291.7031120378724</v>
      </c>
      <c r="X36" s="122">
        <f>IF(B36=1,Spas_Inputs!$O$8,X35*(1+Spas_Inputs!$N$23))*F36</f>
        <v>17537.023515069624</v>
      </c>
      <c r="Y36" s="122">
        <f>IF(B36=1,Spas_Inputs!$O$9,Y35*(1+Spas_Inputs!$N$23))*F36</f>
        <v>111952.5039610589</v>
      </c>
      <c r="Z36" s="122">
        <f>IF(B36=1,Spas_Inputs!$O$10,Z35*(1+Spas_Inputs!$N$23))*F36</f>
        <v>24650.434659736424</v>
      </c>
      <c r="AA36" s="122">
        <f>IF(B36=1,Spas_Inputs!$O$11,AA35*(1+Spas_Inputs!$N$23))*F36</f>
        <v>23017.062393528973</v>
      </c>
      <c r="AB36" s="122">
        <f>IF(B36=1,Spas_Inputs!$O$12,AB35*(1+Spas_Inputs!$N$23))*F36</f>
        <v>117.13105908900175</v>
      </c>
      <c r="AC36" s="122">
        <f>IF(B36=1,Spas_Inputs!$O$13,AC35*(1+Spas_Inputs!$N$23))*F36</f>
        <v>0</v>
      </c>
      <c r="AD36" s="122">
        <f>IF(B36=1,Spas_Inputs!$O$14,AD35*(1+Spas_Inputs!$N$23))*F36</f>
        <v>834.12995699669227</v>
      </c>
      <c r="AE36" s="122">
        <f>IF(B36=1,Spas_Inputs!$O$15,AE35*(1+Spas_Inputs!$N$23))*F36</f>
        <v>834.12995699669227</v>
      </c>
      <c r="AF36" s="122">
        <f>IF(B36=1,Spas_Inputs!$O$16,AF35*(1+Spas_Inputs!$N$23))*F36</f>
        <v>5466.9187133330697</v>
      </c>
      <c r="AG36" s="122">
        <f>IF(B36=1,Spas_Inputs!$O$17,AG35*(1+Spas_Inputs!$N$23))*F36</f>
        <v>0</v>
      </c>
      <c r="AH36" s="181">
        <f>IF(B36=1,Spas_Inputs!$O$18,AH35*(1+Spas_Inputs!$N$23))*F36</f>
        <v>0</v>
      </c>
      <c r="AI36" s="482">
        <f>IF(B36=1,Spas_Inputs!$O$19,AI35*(1+Spas_Inputs!$N$23))*F36</f>
        <v>0</v>
      </c>
      <c r="AJ36" s="122">
        <f>IF(B36=1,Spas_Inputs!$O$20,AJ35*(1+Spas_Inputs!$N$23))*F36</f>
        <v>0</v>
      </c>
      <c r="AK36" s="122">
        <f>IF(B36=1,Spas_Inputs!$O$21,AK35*(1+Spas_Inputs!$N$23))*F36</f>
        <v>0</v>
      </c>
      <c r="AL36" s="132">
        <f>IF(B36=1,Spas_Inputs!$O$22,AL35*(1+Spas_Inputs!$N$23))*F36</f>
        <v>0</v>
      </c>
      <c r="AM36" s="200">
        <f t="shared" si="13"/>
        <v>188701.03732784721</v>
      </c>
      <c r="AN36" s="86">
        <f t="shared" si="14"/>
        <v>-21875.0459285088</v>
      </c>
      <c r="AO36" s="225">
        <f t="shared" si="15"/>
        <v>-0.13112492690749597</v>
      </c>
      <c r="AP36" s="220">
        <f>Deprec!X35</f>
        <v>35268</v>
      </c>
      <c r="AQ36" s="86">
        <f t="shared" si="16"/>
        <v>-57143.0459285088</v>
      </c>
      <c r="AR36" s="455">
        <f t="shared" si="31"/>
        <v>0</v>
      </c>
      <c r="AS36" s="86">
        <f t="shared" si="32"/>
        <v>-57143.0459285088</v>
      </c>
      <c r="AT36" s="438">
        <f>IF(AS36&lt;0,0,(AS36*Spas_Inputs!$J$21))</f>
        <v>0</v>
      </c>
      <c r="AU36" s="86">
        <f t="shared" si="33"/>
        <v>-57143.0459285088</v>
      </c>
      <c r="AV36" s="226">
        <f t="shared" si="17"/>
        <v>-0.34253083376991944</v>
      </c>
      <c r="AY36" s="196">
        <f t="shared" si="18"/>
        <v>166825.99139933841</v>
      </c>
      <c r="AZ36" s="86">
        <f t="shared" si="19"/>
        <v>188701.03732784721</v>
      </c>
      <c r="BA36" s="197">
        <f t="shared" si="34"/>
        <v>-21875.0459285088</v>
      </c>
      <c r="BB36" s="218">
        <f>IF(B36=0,Spas_Inputs!$C$29,0)</f>
        <v>0</v>
      </c>
      <c r="BC36" s="198">
        <f t="shared" si="5"/>
        <v>0</v>
      </c>
      <c r="BD36" s="197">
        <f t="shared" si="6"/>
        <v>-21875.0459285088</v>
      </c>
      <c r="BE36" s="184">
        <f>IF(B36=0,Spas_Inputs!$G$15+Spas_Inputs!$G$16,0)</f>
        <v>0</v>
      </c>
      <c r="BF36" s="185">
        <f>IF(B36=0,Spas_Inputs!$G$14,0)</f>
        <v>0</v>
      </c>
      <c r="BG36" s="200">
        <f t="shared" si="7"/>
        <v>0</v>
      </c>
      <c r="BH36" s="196">
        <f t="shared" si="8"/>
        <v>-21875.0459285088</v>
      </c>
      <c r="BI36" s="218">
        <f>Spas_Inputs!$G$20*AVERAGE(BX36,BY36)</f>
        <v>0</v>
      </c>
      <c r="BJ36" s="200">
        <f t="shared" si="9"/>
        <v>0</v>
      </c>
      <c r="BK36" s="200">
        <f t="shared" si="20"/>
        <v>-21875.0459285088</v>
      </c>
      <c r="BL36" s="86">
        <f t="shared" si="21"/>
        <v>-21875.0459285088</v>
      </c>
      <c r="BM36" s="197">
        <f t="shared" si="22"/>
        <v>-21875.0459285088</v>
      </c>
      <c r="BN36" s="86">
        <f t="shared" si="35"/>
        <v>0</v>
      </c>
      <c r="BO36" s="86">
        <f t="shared" si="36"/>
        <v>0</v>
      </c>
      <c r="BP36" s="122">
        <f>-Debt_Calc!CE34</f>
        <v>0</v>
      </c>
      <c r="BQ36" s="122">
        <f>Debt_Calc!CF34</f>
        <v>0</v>
      </c>
      <c r="BR36" s="86">
        <f t="shared" si="23"/>
        <v>0</v>
      </c>
      <c r="BS36" s="423">
        <f t="shared" si="37"/>
        <v>0</v>
      </c>
      <c r="BT36" s="86">
        <f t="shared" si="38"/>
        <v>-21875.0459285088</v>
      </c>
      <c r="BU36" s="86">
        <f t="shared" si="24"/>
        <v>-21875.0459285088</v>
      </c>
      <c r="BV36" s="86">
        <f t="shared" si="39"/>
        <v>-21875.0459285088</v>
      </c>
      <c r="BW36" s="86">
        <f t="shared" si="25"/>
        <v>0</v>
      </c>
      <c r="BX36" s="86">
        <f t="shared" si="26"/>
        <v>0</v>
      </c>
      <c r="BY36" s="86">
        <f t="shared" si="10"/>
        <v>0</v>
      </c>
      <c r="BZ36" s="86">
        <f t="shared" si="27"/>
        <v>-1812300.9102439315</v>
      </c>
      <c r="CA36" s="86">
        <f t="shared" si="40"/>
        <v>0</v>
      </c>
      <c r="CB36" s="214" t="e">
        <f t="shared" si="11"/>
        <v>#VALUE!</v>
      </c>
    </row>
    <row r="37" spans="2:99" s="86" customFormat="1" x14ac:dyDescent="0.3">
      <c r="B37" s="192">
        <f t="shared" si="28"/>
        <v>26</v>
      </c>
      <c r="C37" s="350">
        <f t="shared" si="12"/>
        <v>2047</v>
      </c>
      <c r="D37" s="351">
        <f t="shared" si="41"/>
        <v>53693</v>
      </c>
      <c r="E37" s="441">
        <f t="shared" si="41"/>
        <v>54057</v>
      </c>
      <c r="F37" s="445">
        <f>IF(AND(B37&gt;0,B37&lt;=Spas_Inputs!$J$24),1,0)</f>
        <v>0</v>
      </c>
      <c r="G37" s="447">
        <f>IF(F37=1,Spas_Inputs!$F$24,0)</f>
        <v>0</v>
      </c>
      <c r="H37" s="123">
        <f>Spas_Inputs!$J$18</f>
        <v>0.01</v>
      </c>
      <c r="I37" s="131">
        <f>IF(B37=1,Spas_Inputs!$R$15,I36*(1+H37))*F37</f>
        <v>0</v>
      </c>
      <c r="J37" s="131">
        <f>IF(B37=1,Spas_Inputs!$R$16,J36*(1+H37))*F37</f>
        <v>0</v>
      </c>
      <c r="K37" s="131">
        <f>IF(B37=1,Spas_Inputs!$R$17,K36*(1+H37))*F37</f>
        <v>0</v>
      </c>
      <c r="L37" s="131">
        <f>IF(B37=1,Spas_Inputs!$R$18,L36*(1+H37))*F37</f>
        <v>0</v>
      </c>
      <c r="M37" s="131">
        <f>IF(B37=1,Spas_Inputs!$R$19,M36*(1+H37))*F37</f>
        <v>0</v>
      </c>
      <c r="N37" s="131">
        <f>IF(B37=1,Spas_Inputs!$R$20,N36*(1+H37))*F37</f>
        <v>0</v>
      </c>
      <c r="O37" s="444">
        <f>$G37*I37*Spas_Inputs!$J$12</f>
        <v>0</v>
      </c>
      <c r="P37" s="444">
        <f>$G37*J37*Spas_Inputs!$J$13</f>
        <v>0</v>
      </c>
      <c r="Q37" s="444">
        <f>$G37*K37*Spas_Inputs!$J$14</f>
        <v>0</v>
      </c>
      <c r="R37" s="444">
        <f>$G37*L37*Spas_Inputs!$J$15</f>
        <v>0</v>
      </c>
      <c r="S37" s="444">
        <f>$G37*M37*Spas_Inputs!$J$16</f>
        <v>0</v>
      </c>
      <c r="T37" s="444">
        <f>$G37*N37*Spas_Inputs!$J$17</f>
        <v>0</v>
      </c>
      <c r="U37" s="754">
        <f t="shared" si="30"/>
        <v>0</v>
      </c>
      <c r="V37" s="122">
        <f>SUM(O37:U37)+IF(B37=Spas_Inputs!$J$24,Spas_Inputs!$J$26,0)</f>
        <v>0</v>
      </c>
      <c r="W37" s="218">
        <f>IF(B37=1,Spas_Inputs!$O$7,W36*(1+Spas_Inputs!$N$23))*F37</f>
        <v>0</v>
      </c>
      <c r="X37" s="122">
        <f>IF(B37=1,Spas_Inputs!$O$8,X36*(1+Spas_Inputs!$N$23))*F37</f>
        <v>0</v>
      </c>
      <c r="Y37" s="122">
        <f>IF(B37=1,Spas_Inputs!$O$9,Y36*(1+Spas_Inputs!$N$23))*F37</f>
        <v>0</v>
      </c>
      <c r="Z37" s="122">
        <f>IF(B37=1,Spas_Inputs!$O$10,Z36*(1+Spas_Inputs!$N$23))*F37</f>
        <v>0</v>
      </c>
      <c r="AA37" s="122">
        <f>IF(B37=1,Spas_Inputs!$O$11,AA36*(1+Spas_Inputs!$N$23))*F37</f>
        <v>0</v>
      </c>
      <c r="AB37" s="122">
        <f>IF(B37=1,Spas_Inputs!$O$12,AB36*(1+Spas_Inputs!$N$23))*F37</f>
        <v>0</v>
      </c>
      <c r="AC37" s="122">
        <f>IF(B37=1,Spas_Inputs!$O$13,AC36*(1+Spas_Inputs!$N$23))*F37</f>
        <v>0</v>
      </c>
      <c r="AD37" s="122">
        <f>IF(B37=1,Spas_Inputs!$O$14,AD36*(1+Spas_Inputs!$N$23))*F37</f>
        <v>0</v>
      </c>
      <c r="AE37" s="122">
        <f>IF(B37=1,Spas_Inputs!$O$15,AE36*(1+Spas_Inputs!$N$23))*F37</f>
        <v>0</v>
      </c>
      <c r="AF37" s="122">
        <f>IF(B37=1,Spas_Inputs!$O$16,AF36*(1+Spas_Inputs!$N$23))*F37</f>
        <v>0</v>
      </c>
      <c r="AG37" s="122">
        <f>IF(B37=1,Spas_Inputs!$O$17,AG36*(1+Spas_Inputs!$N$23))*F37</f>
        <v>0</v>
      </c>
      <c r="AH37" s="181">
        <f>IF(B37=1,Spas_Inputs!$O$18,AH36*(1+Spas_Inputs!$N$23))*F37</f>
        <v>0</v>
      </c>
      <c r="AI37" s="482">
        <f>IF(B37=1,Spas_Inputs!$O$19,AI36*(1+Spas_Inputs!$N$23))*F37</f>
        <v>0</v>
      </c>
      <c r="AJ37" s="122">
        <f>IF(B37=1,Spas_Inputs!$O$20,AJ36*(1+Spas_Inputs!$N$23))*F37</f>
        <v>0</v>
      </c>
      <c r="AK37" s="122">
        <f>IF(B37=1,Spas_Inputs!$O$21,AK36*(1+Spas_Inputs!$N$23))*F37</f>
        <v>0</v>
      </c>
      <c r="AL37" s="132">
        <f>IF(B37=1,Spas_Inputs!$O$22,AL36*(1+Spas_Inputs!$N$23))*F37</f>
        <v>0</v>
      </c>
      <c r="AM37" s="200">
        <f t="shared" si="13"/>
        <v>0</v>
      </c>
      <c r="AN37" s="86">
        <f t="shared" si="14"/>
        <v>0</v>
      </c>
      <c r="AO37" s="225">
        <f t="shared" si="15"/>
        <v>0</v>
      </c>
      <c r="AP37" s="220">
        <f>Deprec!X36</f>
        <v>0</v>
      </c>
      <c r="AQ37" s="86">
        <f t="shared" si="16"/>
        <v>0</v>
      </c>
      <c r="AR37" s="455">
        <f t="shared" si="31"/>
        <v>0</v>
      </c>
      <c r="AS37" s="86">
        <f t="shared" si="32"/>
        <v>0</v>
      </c>
      <c r="AT37" s="438">
        <f>IF(AS37&lt;0,0,(AS37*Spas_Inputs!$J$21))</f>
        <v>0</v>
      </c>
      <c r="AU37" s="86">
        <f t="shared" si="33"/>
        <v>0</v>
      </c>
      <c r="AV37" s="226">
        <f t="shared" si="17"/>
        <v>0</v>
      </c>
      <c r="AY37" s="196">
        <f t="shared" si="18"/>
        <v>0</v>
      </c>
      <c r="AZ37" s="86">
        <f t="shared" si="19"/>
        <v>0</v>
      </c>
      <c r="BA37" s="197">
        <f t="shared" si="34"/>
        <v>0</v>
      </c>
      <c r="BB37" s="218">
        <f>IF(B37=0,Spas_Inputs!$C$29,0)</f>
        <v>0</v>
      </c>
      <c r="BC37" s="198">
        <f t="shared" si="5"/>
        <v>0</v>
      </c>
      <c r="BD37" s="197">
        <f t="shared" si="6"/>
        <v>0</v>
      </c>
      <c r="BE37" s="184">
        <f>IF(B37=0,Spas_Inputs!$G$15+Spas_Inputs!$G$16,0)</f>
        <v>0</v>
      </c>
      <c r="BF37" s="185">
        <f>IF(B37=0,Spas_Inputs!$G$14,0)</f>
        <v>0</v>
      </c>
      <c r="BG37" s="200">
        <f t="shared" si="7"/>
        <v>0</v>
      </c>
      <c r="BH37" s="196">
        <f t="shared" si="8"/>
        <v>0</v>
      </c>
      <c r="BI37" s="218">
        <f>Spas_Inputs!$G$20*AVERAGE(BX37,BY37)</f>
        <v>0</v>
      </c>
      <c r="BJ37" s="200">
        <f t="shared" si="9"/>
        <v>0</v>
      </c>
      <c r="BK37" s="200">
        <f t="shared" si="20"/>
        <v>0</v>
      </c>
      <c r="BL37" s="86">
        <f t="shared" si="21"/>
        <v>0</v>
      </c>
      <c r="BM37" s="197">
        <f t="shared" si="22"/>
        <v>0</v>
      </c>
      <c r="BN37" s="86">
        <f t="shared" si="35"/>
        <v>0</v>
      </c>
      <c r="BO37" s="86">
        <f t="shared" si="36"/>
        <v>0</v>
      </c>
      <c r="BP37" s="122">
        <f>-Debt_Calc!CE35</f>
        <v>0</v>
      </c>
      <c r="BQ37" s="122">
        <f>Debt_Calc!CF35</f>
        <v>0</v>
      </c>
      <c r="BR37" s="86">
        <f t="shared" si="23"/>
        <v>0</v>
      </c>
      <c r="BS37" s="423">
        <f t="shared" si="37"/>
        <v>0</v>
      </c>
      <c r="BT37" s="86">
        <f t="shared" si="38"/>
        <v>0</v>
      </c>
      <c r="BU37" s="86">
        <f t="shared" si="24"/>
        <v>0</v>
      </c>
      <c r="BV37" s="86">
        <f t="shared" si="39"/>
        <v>0</v>
      </c>
      <c r="BW37" s="86">
        <f t="shared" si="25"/>
        <v>0</v>
      </c>
      <c r="BX37" s="86">
        <f t="shared" si="26"/>
        <v>0</v>
      </c>
      <c r="BY37" s="86">
        <f t="shared" si="10"/>
        <v>0</v>
      </c>
      <c r="BZ37" s="86">
        <f t="shared" si="27"/>
        <v>-1812300.9102439315</v>
      </c>
      <c r="CA37" s="86">
        <f t="shared" si="40"/>
        <v>0</v>
      </c>
      <c r="CB37" s="214" t="e">
        <f t="shared" si="11"/>
        <v>#VALUE!</v>
      </c>
    </row>
    <row r="38" spans="2:99" s="86" customFormat="1" x14ac:dyDescent="0.3">
      <c r="B38" s="192">
        <f t="shared" si="28"/>
        <v>27</v>
      </c>
      <c r="C38" s="350">
        <f t="shared" si="12"/>
        <v>2048</v>
      </c>
      <c r="D38" s="351">
        <f t="shared" si="41"/>
        <v>54058</v>
      </c>
      <c r="E38" s="441">
        <f t="shared" si="41"/>
        <v>54423</v>
      </c>
      <c r="F38" s="445">
        <f>IF(AND(B38&gt;0,B38&lt;=Spas_Inputs!$J$24),1,0)</f>
        <v>0</v>
      </c>
      <c r="G38" s="447">
        <f>IF(F38=1,Spas_Inputs!$F$24,0)</f>
        <v>0</v>
      </c>
      <c r="H38" s="123">
        <f>Spas_Inputs!$J$18</f>
        <v>0.01</v>
      </c>
      <c r="I38" s="131">
        <f>IF(B38=1,Spas_Inputs!$R$15,I37*(1+H38))*F38</f>
        <v>0</v>
      </c>
      <c r="J38" s="131">
        <f>IF(B38=1,Spas_Inputs!$R$16,J37*(1+H38))*F38</f>
        <v>0</v>
      </c>
      <c r="K38" s="131">
        <f>IF(B38=1,Spas_Inputs!$R$17,K37*(1+H38))*F38</f>
        <v>0</v>
      </c>
      <c r="L38" s="131">
        <f>IF(B38=1,Spas_Inputs!$R$18,L37*(1+H38))*F38</f>
        <v>0</v>
      </c>
      <c r="M38" s="131">
        <f>IF(B38=1,Spas_Inputs!$R$19,M37*(1+H38))*F38</f>
        <v>0</v>
      </c>
      <c r="N38" s="131">
        <f>IF(B38=1,Spas_Inputs!$R$20,N37*(1+H38))*F38</f>
        <v>0</v>
      </c>
      <c r="O38" s="444">
        <f>$G38*I38*Spas_Inputs!$J$12</f>
        <v>0</v>
      </c>
      <c r="P38" s="444">
        <f>$G38*J38*Spas_Inputs!$J$13</f>
        <v>0</v>
      </c>
      <c r="Q38" s="444">
        <f>$G38*K38*Spas_Inputs!$J$14</f>
        <v>0</v>
      </c>
      <c r="R38" s="444">
        <f>$G38*L38*Spas_Inputs!$J$15</f>
        <v>0</v>
      </c>
      <c r="S38" s="444">
        <f>$G38*M38*Spas_Inputs!$J$16</f>
        <v>0</v>
      </c>
      <c r="T38" s="444">
        <f>$G38*N38*Spas_Inputs!$J$17</f>
        <v>0</v>
      </c>
      <c r="U38" s="754">
        <f t="shared" si="30"/>
        <v>0</v>
      </c>
      <c r="V38" s="122">
        <f>SUM(O38:U38)+IF(B38=Spas_Inputs!$J$24,Spas_Inputs!$J$26,0)</f>
        <v>0</v>
      </c>
      <c r="W38" s="218">
        <f>IF(B38=1,Spas_Inputs!$O$7,W37*(1+Spas_Inputs!$N$23))*F38</f>
        <v>0</v>
      </c>
      <c r="X38" s="122">
        <f>IF(B38=1,Spas_Inputs!$O$8,X37*(1+Spas_Inputs!$N$23))*F38</f>
        <v>0</v>
      </c>
      <c r="Y38" s="122">
        <f>IF(B38=1,Spas_Inputs!$O$9,Y37*(1+Spas_Inputs!$N$23))*F38</f>
        <v>0</v>
      </c>
      <c r="Z38" s="122">
        <f>IF(B38=1,Spas_Inputs!$O$10,Z37*(1+Spas_Inputs!$N$23))*F38</f>
        <v>0</v>
      </c>
      <c r="AA38" s="122">
        <f>IF(B38=1,Spas_Inputs!$O$11,AA37*(1+Spas_Inputs!$N$23))*F38</f>
        <v>0</v>
      </c>
      <c r="AB38" s="122">
        <f>IF(B38=1,Spas_Inputs!$O$12,AB37*(1+Spas_Inputs!$N$23))*F38</f>
        <v>0</v>
      </c>
      <c r="AC38" s="122">
        <f>IF(B38=1,Spas_Inputs!$O$13,AC37*(1+Spas_Inputs!$N$23))*F38</f>
        <v>0</v>
      </c>
      <c r="AD38" s="122">
        <f>IF(B38=1,Spas_Inputs!$O$14,AD37*(1+Spas_Inputs!$N$23))*F38</f>
        <v>0</v>
      </c>
      <c r="AE38" s="122">
        <f>IF(B38=1,Spas_Inputs!$O$15,AE37*(1+Spas_Inputs!$N$23))*F38</f>
        <v>0</v>
      </c>
      <c r="AF38" s="122">
        <f>IF(B38=1,Spas_Inputs!$O$16,AF37*(1+Spas_Inputs!$N$23))*F38</f>
        <v>0</v>
      </c>
      <c r="AG38" s="122">
        <f>IF(B38=1,Spas_Inputs!$O$17,AG37*(1+Spas_Inputs!$N$23))*F38</f>
        <v>0</v>
      </c>
      <c r="AH38" s="181">
        <f>IF(B38=1,Spas_Inputs!$O$18,AH37*(1+Spas_Inputs!$N$23))*F38</f>
        <v>0</v>
      </c>
      <c r="AI38" s="482">
        <f>IF(B38=1,Spas_Inputs!$O$19,AI37*(1+Spas_Inputs!$N$23))*F38</f>
        <v>0</v>
      </c>
      <c r="AJ38" s="122">
        <f>IF(B38=1,Spas_Inputs!$O$20,AJ37*(1+Spas_Inputs!$N$23))*F38</f>
        <v>0</v>
      </c>
      <c r="AK38" s="122">
        <f>IF(B38=1,Spas_Inputs!$O$21,AK37*(1+Spas_Inputs!$N$23))*F38</f>
        <v>0</v>
      </c>
      <c r="AL38" s="132">
        <f>IF(B38=1,Spas_Inputs!$O$22,AL37*(1+Spas_Inputs!$N$23))*F38</f>
        <v>0</v>
      </c>
      <c r="AM38" s="200">
        <f t="shared" si="13"/>
        <v>0</v>
      </c>
      <c r="AN38" s="86">
        <f t="shared" si="14"/>
        <v>0</v>
      </c>
      <c r="AO38" s="225">
        <f t="shared" si="15"/>
        <v>0</v>
      </c>
      <c r="AP38" s="220">
        <f>Deprec!X37</f>
        <v>0</v>
      </c>
      <c r="AQ38" s="86">
        <f t="shared" si="16"/>
        <v>0</v>
      </c>
      <c r="AR38" s="455">
        <f t="shared" si="31"/>
        <v>0</v>
      </c>
      <c r="AS38" s="86">
        <f t="shared" si="32"/>
        <v>0</v>
      </c>
      <c r="AT38" s="438">
        <f>IF(AS38&lt;0,0,(AS38*Spas_Inputs!$J$21))</f>
        <v>0</v>
      </c>
      <c r="AU38" s="86">
        <f t="shared" si="33"/>
        <v>0</v>
      </c>
      <c r="AV38" s="226">
        <f t="shared" si="17"/>
        <v>0</v>
      </c>
      <c r="AY38" s="196">
        <f t="shared" si="18"/>
        <v>0</v>
      </c>
      <c r="AZ38" s="86">
        <f t="shared" si="19"/>
        <v>0</v>
      </c>
      <c r="BA38" s="197">
        <f t="shared" si="34"/>
        <v>0</v>
      </c>
      <c r="BB38" s="218">
        <f>IF(B38=0,Spas_Inputs!$C$29,0)</f>
        <v>0</v>
      </c>
      <c r="BC38" s="198">
        <f t="shared" si="5"/>
        <v>0</v>
      </c>
      <c r="BD38" s="197">
        <f t="shared" si="6"/>
        <v>0</v>
      </c>
      <c r="BE38" s="184">
        <f>IF(B38=0,Spas_Inputs!$G$15+Spas_Inputs!$G$16,0)</f>
        <v>0</v>
      </c>
      <c r="BF38" s="185">
        <f>IF(B38=0,Spas_Inputs!$G$14,0)</f>
        <v>0</v>
      </c>
      <c r="BG38" s="200">
        <f t="shared" si="7"/>
        <v>0</v>
      </c>
      <c r="BH38" s="196">
        <f t="shared" si="8"/>
        <v>0</v>
      </c>
      <c r="BI38" s="218">
        <f>Spas_Inputs!$G$20*AVERAGE(BX38,BY38)</f>
        <v>0</v>
      </c>
      <c r="BJ38" s="200">
        <f t="shared" si="9"/>
        <v>0</v>
      </c>
      <c r="BK38" s="200">
        <f t="shared" si="20"/>
        <v>0</v>
      </c>
      <c r="BL38" s="86">
        <f t="shared" si="21"/>
        <v>0</v>
      </c>
      <c r="BM38" s="197">
        <f t="shared" si="22"/>
        <v>0</v>
      </c>
      <c r="BN38" s="86">
        <f t="shared" si="35"/>
        <v>0</v>
      </c>
      <c r="BO38" s="86">
        <f t="shared" si="36"/>
        <v>0</v>
      </c>
      <c r="BP38" s="122">
        <f>-Debt_Calc!CE36</f>
        <v>0</v>
      </c>
      <c r="BQ38" s="122">
        <f>Debt_Calc!CF36</f>
        <v>0</v>
      </c>
      <c r="BR38" s="86">
        <f t="shared" si="23"/>
        <v>0</v>
      </c>
      <c r="BS38" s="423">
        <f t="shared" si="37"/>
        <v>0</v>
      </c>
      <c r="BT38" s="86">
        <f t="shared" si="38"/>
        <v>0</v>
      </c>
      <c r="BU38" s="86">
        <f t="shared" si="24"/>
        <v>0</v>
      </c>
      <c r="BV38" s="86">
        <f t="shared" si="39"/>
        <v>0</v>
      </c>
      <c r="BW38" s="86">
        <f t="shared" si="25"/>
        <v>0</v>
      </c>
      <c r="BX38" s="86">
        <f t="shared" si="26"/>
        <v>0</v>
      </c>
      <c r="BY38" s="86">
        <f t="shared" si="10"/>
        <v>0</v>
      </c>
      <c r="BZ38" s="86">
        <f t="shared" si="27"/>
        <v>-1812300.9102439315</v>
      </c>
      <c r="CA38" s="86">
        <f t="shared" si="40"/>
        <v>0</v>
      </c>
      <c r="CB38" s="214" t="e">
        <f t="shared" si="11"/>
        <v>#VALUE!</v>
      </c>
    </row>
    <row r="39" spans="2:99" s="86" customFormat="1" x14ac:dyDescent="0.3">
      <c r="B39" s="192">
        <f t="shared" si="28"/>
        <v>28</v>
      </c>
      <c r="C39" s="350">
        <f t="shared" si="12"/>
        <v>2049</v>
      </c>
      <c r="D39" s="351">
        <f t="shared" si="41"/>
        <v>54424</v>
      </c>
      <c r="E39" s="441">
        <f t="shared" si="41"/>
        <v>54788</v>
      </c>
      <c r="F39" s="445">
        <f>IF(AND(B39&gt;0,B39&lt;=Spas_Inputs!$J$24),1,0)</f>
        <v>0</v>
      </c>
      <c r="G39" s="447">
        <f>IF(F39=1,Spas_Inputs!$F$24,0)</f>
        <v>0</v>
      </c>
      <c r="H39" s="123">
        <f>Spas_Inputs!$J$18</f>
        <v>0.01</v>
      </c>
      <c r="I39" s="131">
        <f>IF(B39=1,Spas_Inputs!$R$15,I38*(1+H39))*F39</f>
        <v>0</v>
      </c>
      <c r="J39" s="131">
        <f>IF(B39=1,Spas_Inputs!$R$16,J38*(1+H39))*F39</f>
        <v>0</v>
      </c>
      <c r="K39" s="131">
        <f>IF(B39=1,Spas_Inputs!$R$17,K38*(1+H39))*F39</f>
        <v>0</v>
      </c>
      <c r="L39" s="131">
        <f>IF(B39=1,Spas_Inputs!$R$18,L38*(1+H39))*F39</f>
        <v>0</v>
      </c>
      <c r="M39" s="131">
        <f>IF(B39=1,Spas_Inputs!$R$19,M38*(1+H39))*F39</f>
        <v>0</v>
      </c>
      <c r="N39" s="131">
        <f>IF(B39=1,Spas_Inputs!$R$20,N38*(1+H39))*F39</f>
        <v>0</v>
      </c>
      <c r="O39" s="444">
        <f>$G39*I39*Spas_Inputs!$J$12</f>
        <v>0</v>
      </c>
      <c r="P39" s="444">
        <f>$G39*J39*Spas_Inputs!$J$13</f>
        <v>0</v>
      </c>
      <c r="Q39" s="444">
        <f>$G39*K39*Spas_Inputs!$J$14</f>
        <v>0</v>
      </c>
      <c r="R39" s="444">
        <f>$G39*L39*Spas_Inputs!$J$15</f>
        <v>0</v>
      </c>
      <c r="S39" s="444">
        <f>$G39*M39*Spas_Inputs!$J$16</f>
        <v>0</v>
      </c>
      <c r="T39" s="444">
        <f>$G39*N39*Spas_Inputs!$J$17</f>
        <v>0</v>
      </c>
      <c r="U39" s="754">
        <f t="shared" si="30"/>
        <v>0</v>
      </c>
      <c r="V39" s="122">
        <f>SUM(O39:U39)+IF(B39=Spas_Inputs!$J$24,Spas_Inputs!$J$26,0)</f>
        <v>0</v>
      </c>
      <c r="W39" s="218">
        <f>IF(B39=1,Spas_Inputs!$O$7,W38*(1+Spas_Inputs!$N$23))*F39</f>
        <v>0</v>
      </c>
      <c r="X39" s="122">
        <f>IF(B39=1,Spas_Inputs!$O$8,X38*(1+Spas_Inputs!$N$23))*F39</f>
        <v>0</v>
      </c>
      <c r="Y39" s="122">
        <f>IF(B39=1,Spas_Inputs!$O$9,Y38*(1+Spas_Inputs!$N$23))*F39</f>
        <v>0</v>
      </c>
      <c r="Z39" s="122">
        <f>IF(B39=1,Spas_Inputs!$O$10,Z38*(1+Spas_Inputs!$N$23))*F39</f>
        <v>0</v>
      </c>
      <c r="AA39" s="122">
        <f>IF(B39=1,Spas_Inputs!$O$11,AA38*(1+Spas_Inputs!$N$23))*F39</f>
        <v>0</v>
      </c>
      <c r="AB39" s="122">
        <f>IF(B39=1,Spas_Inputs!$O$12,AB38*(1+Spas_Inputs!$N$23))*F39</f>
        <v>0</v>
      </c>
      <c r="AC39" s="122">
        <f>IF(B39=1,Spas_Inputs!$O$13,AC38*(1+Spas_Inputs!$N$23))*F39</f>
        <v>0</v>
      </c>
      <c r="AD39" s="122">
        <f>IF(B39=1,Spas_Inputs!$O$14,AD38*(1+Spas_Inputs!$N$23))*F39</f>
        <v>0</v>
      </c>
      <c r="AE39" s="122">
        <f>IF(B39=1,Spas_Inputs!$O$15,AE38*(1+Spas_Inputs!$N$23))*F39</f>
        <v>0</v>
      </c>
      <c r="AF39" s="122">
        <f>IF(B39=1,Spas_Inputs!$O$16,AF38*(1+Spas_Inputs!$N$23))*F39</f>
        <v>0</v>
      </c>
      <c r="AG39" s="122">
        <f>IF(B39=1,Spas_Inputs!$O$17,AG38*(1+Spas_Inputs!$N$23))*F39</f>
        <v>0</v>
      </c>
      <c r="AH39" s="181">
        <f>IF(B39=1,Spas_Inputs!$O$18,AH38*(1+Spas_Inputs!$N$23))*F39</f>
        <v>0</v>
      </c>
      <c r="AI39" s="482">
        <f>IF(B39=1,Spas_Inputs!$O$19,AI38*(1+Spas_Inputs!$N$23))*F39</f>
        <v>0</v>
      </c>
      <c r="AJ39" s="122">
        <f>IF(B39=1,Spas_Inputs!$O$20,AJ38*(1+Spas_Inputs!$N$23))*F39</f>
        <v>0</v>
      </c>
      <c r="AK39" s="122">
        <f>IF(B39=1,Spas_Inputs!$O$21,AK38*(1+Spas_Inputs!$N$23))*F39</f>
        <v>0</v>
      </c>
      <c r="AL39" s="132">
        <f>IF(B39=1,Spas_Inputs!$O$22,AL38*(1+Spas_Inputs!$N$23))*F39</f>
        <v>0</v>
      </c>
      <c r="AM39" s="200">
        <f t="shared" si="13"/>
        <v>0</v>
      </c>
      <c r="AN39" s="86">
        <f t="shared" si="14"/>
        <v>0</v>
      </c>
      <c r="AO39" s="225">
        <f t="shared" si="15"/>
        <v>0</v>
      </c>
      <c r="AP39" s="220">
        <f>Deprec!X38</f>
        <v>0</v>
      </c>
      <c r="AQ39" s="86">
        <f t="shared" si="16"/>
        <v>0</v>
      </c>
      <c r="AR39" s="455">
        <f t="shared" si="31"/>
        <v>0</v>
      </c>
      <c r="AS39" s="86">
        <f t="shared" si="32"/>
        <v>0</v>
      </c>
      <c r="AT39" s="438">
        <f>IF(AS39&lt;0,0,(AS39*Spas_Inputs!$J$21))</f>
        <v>0</v>
      </c>
      <c r="AU39" s="86">
        <f t="shared" si="33"/>
        <v>0</v>
      </c>
      <c r="AV39" s="226">
        <f t="shared" si="17"/>
        <v>0</v>
      </c>
      <c r="AY39" s="196">
        <f t="shared" si="18"/>
        <v>0</v>
      </c>
      <c r="AZ39" s="86">
        <f t="shared" si="19"/>
        <v>0</v>
      </c>
      <c r="BA39" s="197">
        <f t="shared" si="34"/>
        <v>0</v>
      </c>
      <c r="BB39" s="218">
        <f>IF(B39=0,Spas_Inputs!$C$29,0)</f>
        <v>0</v>
      </c>
      <c r="BC39" s="198">
        <f t="shared" si="5"/>
        <v>0</v>
      </c>
      <c r="BD39" s="197">
        <f t="shared" si="6"/>
        <v>0</v>
      </c>
      <c r="BE39" s="184">
        <f>IF(B39=0,Spas_Inputs!$G$15+Spas_Inputs!$G$16,0)</f>
        <v>0</v>
      </c>
      <c r="BF39" s="185">
        <f>IF(B39=0,Spas_Inputs!$G$14,0)</f>
        <v>0</v>
      </c>
      <c r="BG39" s="200">
        <f t="shared" si="7"/>
        <v>0</v>
      </c>
      <c r="BH39" s="196">
        <f t="shared" si="8"/>
        <v>0</v>
      </c>
      <c r="BI39" s="218">
        <f>Spas_Inputs!$G$20*AVERAGE(BX39,BY39)</f>
        <v>0</v>
      </c>
      <c r="BJ39" s="200">
        <f t="shared" si="9"/>
        <v>0</v>
      </c>
      <c r="BK39" s="200">
        <f t="shared" si="20"/>
        <v>0</v>
      </c>
      <c r="BL39" s="86">
        <f t="shared" si="21"/>
        <v>0</v>
      </c>
      <c r="BM39" s="197">
        <f t="shared" si="22"/>
        <v>0</v>
      </c>
      <c r="BN39" s="86">
        <f t="shared" si="35"/>
        <v>0</v>
      </c>
      <c r="BO39" s="86">
        <f t="shared" si="36"/>
        <v>0</v>
      </c>
      <c r="BP39" s="122">
        <f>-Debt_Calc!CE37</f>
        <v>0</v>
      </c>
      <c r="BQ39" s="122">
        <f>Debt_Calc!CF37</f>
        <v>0</v>
      </c>
      <c r="BR39" s="86">
        <f t="shared" si="23"/>
        <v>0</v>
      </c>
      <c r="BS39" s="423">
        <f t="shared" si="37"/>
        <v>0</v>
      </c>
      <c r="BT39" s="86">
        <f t="shared" si="38"/>
        <v>0</v>
      </c>
      <c r="BU39" s="86">
        <f t="shared" si="24"/>
        <v>0</v>
      </c>
      <c r="BV39" s="86">
        <f t="shared" si="39"/>
        <v>0</v>
      </c>
      <c r="BW39" s="86">
        <f t="shared" si="25"/>
        <v>0</v>
      </c>
      <c r="BX39" s="86">
        <f t="shared" si="26"/>
        <v>0</v>
      </c>
      <c r="BY39" s="86">
        <f t="shared" si="10"/>
        <v>0</v>
      </c>
      <c r="BZ39" s="86">
        <f t="shared" si="27"/>
        <v>-1812300.9102439315</v>
      </c>
      <c r="CA39" s="86">
        <f t="shared" si="40"/>
        <v>0</v>
      </c>
      <c r="CB39" s="214" t="e">
        <f t="shared" si="11"/>
        <v>#VALUE!</v>
      </c>
    </row>
    <row r="40" spans="2:99" s="86" customFormat="1" x14ac:dyDescent="0.3">
      <c r="B40" s="192">
        <f t="shared" si="28"/>
        <v>29</v>
      </c>
      <c r="C40" s="350">
        <f t="shared" si="12"/>
        <v>2050</v>
      </c>
      <c r="D40" s="351">
        <f t="shared" si="41"/>
        <v>54789</v>
      </c>
      <c r="E40" s="441">
        <f t="shared" si="41"/>
        <v>55153</v>
      </c>
      <c r="F40" s="445">
        <f>IF(AND(B40&gt;0,B40&lt;=Spas_Inputs!$J$24),1,0)</f>
        <v>0</v>
      </c>
      <c r="G40" s="447">
        <f>IF(F40=1,Spas_Inputs!$F$24,0)</f>
        <v>0</v>
      </c>
      <c r="H40" s="123">
        <f>Spas_Inputs!$J$18</f>
        <v>0.01</v>
      </c>
      <c r="I40" s="131">
        <f>IF(B40=1,Spas_Inputs!$R$15,I39*(1+H40))*F40</f>
        <v>0</v>
      </c>
      <c r="J40" s="131">
        <f>IF(B40=1,Spas_Inputs!$R$16,J39*(1+H40))*F40</f>
        <v>0</v>
      </c>
      <c r="K40" s="131">
        <f>IF(B40=1,Spas_Inputs!$R$17,K39*(1+H40))*F40</f>
        <v>0</v>
      </c>
      <c r="L40" s="131">
        <f>IF(B40=1,Spas_Inputs!$R$18,L39*(1+H40))*F40</f>
        <v>0</v>
      </c>
      <c r="M40" s="131">
        <f>IF(B40=1,Spas_Inputs!$R$19,M39*(1+H40))*F40</f>
        <v>0</v>
      </c>
      <c r="N40" s="131">
        <f>IF(B40=1,Spas_Inputs!$R$20,N39*(1+H40))*F40</f>
        <v>0</v>
      </c>
      <c r="O40" s="444">
        <f>$G40*I40*Spas_Inputs!$J$12</f>
        <v>0</v>
      </c>
      <c r="P40" s="444">
        <f>$G40*J40*Spas_Inputs!$J$13</f>
        <v>0</v>
      </c>
      <c r="Q40" s="444">
        <f>$G40*K40*Spas_Inputs!$J$14</f>
        <v>0</v>
      </c>
      <c r="R40" s="444">
        <f>$G40*L40*Spas_Inputs!$J$15</f>
        <v>0</v>
      </c>
      <c r="S40" s="444">
        <f>$G40*M40*Spas_Inputs!$J$16</f>
        <v>0</v>
      </c>
      <c r="T40" s="444">
        <f>$G40*N40*Spas_Inputs!$J$17</f>
        <v>0</v>
      </c>
      <c r="U40" s="754">
        <f t="shared" si="30"/>
        <v>0</v>
      </c>
      <c r="V40" s="122">
        <f>SUM(O40:U40)+IF(B40=Spas_Inputs!$J$24,Spas_Inputs!$J$26,0)</f>
        <v>0</v>
      </c>
      <c r="W40" s="218">
        <f>IF(B40=1,Spas_Inputs!$O$7,W39*(1+Spas_Inputs!$N$23))*F40</f>
        <v>0</v>
      </c>
      <c r="X40" s="122">
        <f>IF(B40=1,Spas_Inputs!$O$8,X39*(1+Spas_Inputs!$N$23))*F40</f>
        <v>0</v>
      </c>
      <c r="Y40" s="122">
        <f>IF(B40=1,Spas_Inputs!$O$9,Y39*(1+Spas_Inputs!$N$23))*F40</f>
        <v>0</v>
      </c>
      <c r="Z40" s="122">
        <f>IF(B40=1,Spas_Inputs!$O$10,Z39*(1+Spas_Inputs!$N$23))*F40</f>
        <v>0</v>
      </c>
      <c r="AA40" s="122">
        <f>IF(B40=1,Spas_Inputs!$O$11,AA39*(1+Spas_Inputs!$N$23))*F40</f>
        <v>0</v>
      </c>
      <c r="AB40" s="122">
        <f>IF(B40=1,Spas_Inputs!$O$12,AB39*(1+Spas_Inputs!$N$23))*F40</f>
        <v>0</v>
      </c>
      <c r="AC40" s="122">
        <f>IF(B40=1,Spas_Inputs!$O$13,AC39*(1+Spas_Inputs!$N$23))*F40</f>
        <v>0</v>
      </c>
      <c r="AD40" s="122">
        <f>IF(B40=1,Spas_Inputs!$O$14,AD39*(1+Spas_Inputs!$N$23))*F40</f>
        <v>0</v>
      </c>
      <c r="AE40" s="122">
        <f>IF(B40=1,Spas_Inputs!$O$15,AE39*(1+Spas_Inputs!$N$23))*F40</f>
        <v>0</v>
      </c>
      <c r="AF40" s="122">
        <f>IF(B40=1,Spas_Inputs!$O$16,AF39*(1+Spas_Inputs!$N$23))*F40</f>
        <v>0</v>
      </c>
      <c r="AG40" s="122">
        <f>IF(B40=1,Spas_Inputs!$O$17,AG39*(1+Spas_Inputs!$N$23))*F40</f>
        <v>0</v>
      </c>
      <c r="AH40" s="181">
        <f>IF(B40=1,Spas_Inputs!$O$18,AH39*(1+Spas_Inputs!$N$23))*F40</f>
        <v>0</v>
      </c>
      <c r="AI40" s="482">
        <f>IF(B40=1,Spas_Inputs!$O$19,AI39*(1+Spas_Inputs!$N$23))*F40</f>
        <v>0</v>
      </c>
      <c r="AJ40" s="122">
        <f>IF(B40=1,Spas_Inputs!$O$20,AJ39*(1+Spas_Inputs!$N$23))*F40</f>
        <v>0</v>
      </c>
      <c r="AK40" s="122">
        <f>IF(B40=1,Spas_Inputs!$O$21,AK39*(1+Spas_Inputs!$N$23))*F40</f>
        <v>0</v>
      </c>
      <c r="AL40" s="132">
        <f>IF(B40=1,Spas_Inputs!$O$22,AL39*(1+Spas_Inputs!$N$23))*F40</f>
        <v>0</v>
      </c>
      <c r="AM40" s="200">
        <f t="shared" si="13"/>
        <v>0</v>
      </c>
      <c r="AN40" s="86">
        <f t="shared" si="14"/>
        <v>0</v>
      </c>
      <c r="AO40" s="225">
        <f t="shared" si="15"/>
        <v>0</v>
      </c>
      <c r="AP40" s="220">
        <f>Deprec!X39</f>
        <v>0</v>
      </c>
      <c r="AQ40" s="86">
        <f t="shared" si="16"/>
        <v>0</v>
      </c>
      <c r="AR40" s="455">
        <f t="shared" si="31"/>
        <v>0</v>
      </c>
      <c r="AS40" s="86">
        <f t="shared" si="32"/>
        <v>0</v>
      </c>
      <c r="AT40" s="438">
        <f>IF(AS40&lt;0,0,(AS40*Spas_Inputs!$J$21))</f>
        <v>0</v>
      </c>
      <c r="AU40" s="86">
        <f t="shared" si="33"/>
        <v>0</v>
      </c>
      <c r="AV40" s="226">
        <f t="shared" si="17"/>
        <v>0</v>
      </c>
      <c r="AY40" s="196">
        <f t="shared" si="18"/>
        <v>0</v>
      </c>
      <c r="AZ40" s="86">
        <f t="shared" si="19"/>
        <v>0</v>
      </c>
      <c r="BA40" s="197">
        <f t="shared" si="34"/>
        <v>0</v>
      </c>
      <c r="BB40" s="218">
        <f>IF(B40=0,Spas_Inputs!$C$29,0)</f>
        <v>0</v>
      </c>
      <c r="BC40" s="198">
        <f t="shared" si="5"/>
        <v>0</v>
      </c>
      <c r="BD40" s="197">
        <f t="shared" si="6"/>
        <v>0</v>
      </c>
      <c r="BE40" s="184">
        <f>IF(B40=0,Spas_Inputs!$G$15+Spas_Inputs!$G$16,0)</f>
        <v>0</v>
      </c>
      <c r="BF40" s="185">
        <f>IF(B40=0,Spas_Inputs!$G$14,0)</f>
        <v>0</v>
      </c>
      <c r="BG40" s="200">
        <f t="shared" si="7"/>
        <v>0</v>
      </c>
      <c r="BH40" s="196">
        <f t="shared" si="8"/>
        <v>0</v>
      </c>
      <c r="BI40" s="218">
        <f>Spas_Inputs!$G$20*AVERAGE(BX40,BY40)</f>
        <v>0</v>
      </c>
      <c r="BJ40" s="200">
        <f t="shared" si="9"/>
        <v>0</v>
      </c>
      <c r="BK40" s="200">
        <f t="shared" si="20"/>
        <v>0</v>
      </c>
      <c r="BL40" s="86">
        <f t="shared" si="21"/>
        <v>0</v>
      </c>
      <c r="BM40" s="197">
        <f t="shared" si="22"/>
        <v>0</v>
      </c>
      <c r="BN40" s="86">
        <f t="shared" si="35"/>
        <v>0</v>
      </c>
      <c r="BO40" s="86">
        <f t="shared" si="36"/>
        <v>0</v>
      </c>
      <c r="BP40" s="122">
        <f>-Debt_Calc!CE38</f>
        <v>0</v>
      </c>
      <c r="BQ40" s="122">
        <f>Debt_Calc!CF38</f>
        <v>0</v>
      </c>
      <c r="BR40" s="86">
        <f t="shared" si="23"/>
        <v>0</v>
      </c>
      <c r="BS40" s="423">
        <f t="shared" si="37"/>
        <v>0</v>
      </c>
      <c r="BT40" s="86">
        <f t="shared" si="38"/>
        <v>0</v>
      </c>
      <c r="BU40" s="86">
        <f t="shared" si="24"/>
        <v>0</v>
      </c>
      <c r="BV40" s="86">
        <f t="shared" si="39"/>
        <v>0</v>
      </c>
      <c r="BW40" s="86">
        <f t="shared" si="25"/>
        <v>0</v>
      </c>
      <c r="BX40" s="86">
        <f t="shared" si="26"/>
        <v>0</v>
      </c>
      <c r="BY40" s="86">
        <f t="shared" si="10"/>
        <v>0</v>
      </c>
      <c r="BZ40" s="86">
        <f t="shared" si="27"/>
        <v>-1812300.9102439315</v>
      </c>
      <c r="CA40" s="86">
        <f t="shared" si="40"/>
        <v>0</v>
      </c>
      <c r="CB40" s="214" t="e">
        <f t="shared" si="11"/>
        <v>#VALUE!</v>
      </c>
    </row>
    <row r="41" spans="2:99" s="86" customFormat="1" x14ac:dyDescent="0.3">
      <c r="B41" s="192">
        <f t="shared" si="28"/>
        <v>30</v>
      </c>
      <c r="C41" s="350">
        <f t="shared" si="12"/>
        <v>2051</v>
      </c>
      <c r="D41" s="351">
        <f t="shared" si="41"/>
        <v>55154</v>
      </c>
      <c r="E41" s="441">
        <f t="shared" si="41"/>
        <v>55518</v>
      </c>
      <c r="F41" s="445">
        <f>IF(AND(B41&gt;0,B41&lt;=Spas_Inputs!$J$24),1,0)</f>
        <v>0</v>
      </c>
      <c r="G41" s="447">
        <f>IF(F41=1,Spas_Inputs!$F$24,0)</f>
        <v>0</v>
      </c>
      <c r="H41" s="123">
        <f>Spas_Inputs!$J$18</f>
        <v>0.01</v>
      </c>
      <c r="I41" s="131">
        <f>IF(B41=1,Spas_Inputs!$R$15,I40*(1+H41))*F41</f>
        <v>0</v>
      </c>
      <c r="J41" s="131">
        <f>IF(B41=1,Spas_Inputs!$R$16,J40*(1+H41))*F41</f>
        <v>0</v>
      </c>
      <c r="K41" s="131">
        <f>IF(B41=1,Spas_Inputs!$R$17,K40*(1+H41))*F41</f>
        <v>0</v>
      </c>
      <c r="L41" s="131">
        <f>IF(B41=1,Spas_Inputs!$R$18,L40*(1+H41))*F41</f>
        <v>0</v>
      </c>
      <c r="M41" s="131">
        <f>IF(B41=1,Spas_Inputs!$R$19,M40*(1+H41))*F41</f>
        <v>0</v>
      </c>
      <c r="N41" s="131">
        <f>IF(B41=1,Spas_Inputs!$R$20,N40*(1+H41))*F41</f>
        <v>0</v>
      </c>
      <c r="O41" s="444">
        <f>$G41*I41*Spas_Inputs!$J$12</f>
        <v>0</v>
      </c>
      <c r="P41" s="444">
        <f>$G41*J41*Spas_Inputs!$J$13</f>
        <v>0</v>
      </c>
      <c r="Q41" s="444">
        <f>$G41*K41*Spas_Inputs!$J$14</f>
        <v>0</v>
      </c>
      <c r="R41" s="444">
        <f>$G41*L41*Spas_Inputs!$J$15</f>
        <v>0</v>
      </c>
      <c r="S41" s="444">
        <f>$G41*M41*Spas_Inputs!$J$16</f>
        <v>0</v>
      </c>
      <c r="T41" s="444">
        <f>$G41*N41*Spas_Inputs!$J$17</f>
        <v>0</v>
      </c>
      <c r="U41" s="754">
        <f t="shared" si="30"/>
        <v>0</v>
      </c>
      <c r="V41" s="122">
        <f>SUM(O41:U41)+IF(B41=Spas_Inputs!$J$24,Spas_Inputs!$J$26,0)</f>
        <v>0</v>
      </c>
      <c r="W41" s="218">
        <f>IF(B41=1,Spas_Inputs!$O$7,W40*(1+Spas_Inputs!$N$23))*F41</f>
        <v>0</v>
      </c>
      <c r="X41" s="122">
        <f>IF(B41=1,Spas_Inputs!$O$8,X40*(1+Spas_Inputs!$N$23))*F41</f>
        <v>0</v>
      </c>
      <c r="Y41" s="122">
        <f>IF(B41=1,Spas_Inputs!$O$9,Y40*(1+Spas_Inputs!$N$23))*F41</f>
        <v>0</v>
      </c>
      <c r="Z41" s="122">
        <f>IF(B41=1,Spas_Inputs!$O$10,Z40*(1+Spas_Inputs!$N$23))*F41</f>
        <v>0</v>
      </c>
      <c r="AA41" s="122">
        <f>IF(B41=1,Spas_Inputs!$O$11,AA40*(1+Spas_Inputs!$N$23))*F41</f>
        <v>0</v>
      </c>
      <c r="AB41" s="122">
        <f>IF(B41=1,Spas_Inputs!$O$12,AB40*(1+Spas_Inputs!$N$23))*F41</f>
        <v>0</v>
      </c>
      <c r="AC41" s="122">
        <f>IF(B41=1,Spas_Inputs!$O$13,AC40*(1+Spas_Inputs!$N$23))*F41</f>
        <v>0</v>
      </c>
      <c r="AD41" s="122">
        <f>IF(B41=1,Spas_Inputs!$O$14,AD40*(1+Spas_Inputs!$N$23))*F41</f>
        <v>0</v>
      </c>
      <c r="AE41" s="122">
        <f>IF(B41=1,Spas_Inputs!$O$15,AE40*(1+Spas_Inputs!$N$23))*F41</f>
        <v>0</v>
      </c>
      <c r="AF41" s="122">
        <f>IF(B41=1,Spas_Inputs!$O$16,AF40*(1+Spas_Inputs!$N$23))*F41</f>
        <v>0</v>
      </c>
      <c r="AG41" s="122">
        <f>IF(B41=1,Spas_Inputs!$O$17,AG40*(1+Spas_Inputs!$N$23))*F41</f>
        <v>0</v>
      </c>
      <c r="AH41" s="181">
        <f>IF(B41=1,Spas_Inputs!$O$18,AH40*(1+Spas_Inputs!$N$23))*F41</f>
        <v>0</v>
      </c>
      <c r="AI41" s="482">
        <f>IF(B41=1,Spas_Inputs!$O$19,AI40*(1+Spas_Inputs!$N$23))*F41</f>
        <v>0</v>
      </c>
      <c r="AJ41" s="122">
        <f>IF(B41=1,Spas_Inputs!$O$20,AJ40*(1+Spas_Inputs!$N$23))*F41</f>
        <v>0</v>
      </c>
      <c r="AK41" s="122">
        <f>IF(B41=1,Spas_Inputs!$O$21,AK40*(1+Spas_Inputs!$N$23))*F41</f>
        <v>0</v>
      </c>
      <c r="AL41" s="132">
        <f>IF(B41=1,Spas_Inputs!$O$22,AL40*(1+Spas_Inputs!$N$23))*F41</f>
        <v>0</v>
      </c>
      <c r="AM41" s="200">
        <f t="shared" si="13"/>
        <v>0</v>
      </c>
      <c r="AN41" s="86">
        <f t="shared" si="14"/>
        <v>0</v>
      </c>
      <c r="AO41" s="225">
        <f t="shared" si="15"/>
        <v>0</v>
      </c>
      <c r="AP41" s="220">
        <f>Deprec!X40</f>
        <v>0</v>
      </c>
      <c r="AQ41" s="86">
        <f t="shared" si="16"/>
        <v>0</v>
      </c>
      <c r="AR41" s="455">
        <f t="shared" si="31"/>
        <v>0</v>
      </c>
      <c r="AS41" s="86">
        <f t="shared" si="32"/>
        <v>0</v>
      </c>
      <c r="AT41" s="438">
        <f>IF(AS41&lt;0,0,(AS41*Spas_Inputs!$J$21))</f>
        <v>0</v>
      </c>
      <c r="AU41" s="86">
        <f t="shared" si="33"/>
        <v>0</v>
      </c>
      <c r="AV41" s="226">
        <f t="shared" si="17"/>
        <v>0</v>
      </c>
      <c r="AY41" s="196">
        <f t="shared" si="18"/>
        <v>0</v>
      </c>
      <c r="AZ41" s="86">
        <f t="shared" si="19"/>
        <v>0</v>
      </c>
      <c r="BA41" s="197">
        <f t="shared" si="34"/>
        <v>0</v>
      </c>
      <c r="BB41" s="218">
        <f>IF(B41=0,Spas_Inputs!$C$29,0)</f>
        <v>0</v>
      </c>
      <c r="BC41" s="198">
        <f t="shared" si="5"/>
        <v>0</v>
      </c>
      <c r="BD41" s="197">
        <f t="shared" si="6"/>
        <v>0</v>
      </c>
      <c r="BE41" s="184">
        <f>IF(B41=0,Spas_Inputs!$G$15+Spas_Inputs!$G$16,0)</f>
        <v>0</v>
      </c>
      <c r="BF41" s="185">
        <f>IF(B41=0,Spas_Inputs!$G$14,0)</f>
        <v>0</v>
      </c>
      <c r="BG41" s="200">
        <f t="shared" si="7"/>
        <v>0</v>
      </c>
      <c r="BH41" s="196">
        <f t="shared" si="8"/>
        <v>0</v>
      </c>
      <c r="BI41" s="218">
        <f>Spas_Inputs!$G$20*AVERAGE(BX41,BY41)</f>
        <v>0</v>
      </c>
      <c r="BJ41" s="200">
        <f t="shared" si="9"/>
        <v>0</v>
      </c>
      <c r="BK41" s="200">
        <f t="shared" si="20"/>
        <v>0</v>
      </c>
      <c r="BL41" s="86">
        <f t="shared" si="21"/>
        <v>0</v>
      </c>
      <c r="BM41" s="197">
        <f t="shared" si="22"/>
        <v>0</v>
      </c>
      <c r="BN41" s="86">
        <f t="shared" si="35"/>
        <v>0</v>
      </c>
      <c r="BO41" s="86">
        <f t="shared" si="36"/>
        <v>0</v>
      </c>
      <c r="BP41" s="122">
        <f>-Debt_Calc!CE39</f>
        <v>0</v>
      </c>
      <c r="BQ41" s="122">
        <f>Debt_Calc!CF39</f>
        <v>0</v>
      </c>
      <c r="BR41" s="86">
        <f t="shared" si="23"/>
        <v>0</v>
      </c>
      <c r="BS41" s="423">
        <f t="shared" si="37"/>
        <v>0</v>
      </c>
      <c r="BT41" s="86">
        <f t="shared" si="38"/>
        <v>0</v>
      </c>
      <c r="BU41" s="86">
        <f t="shared" si="24"/>
        <v>0</v>
      </c>
      <c r="BV41" s="86">
        <f t="shared" si="39"/>
        <v>0</v>
      </c>
      <c r="BW41" s="86">
        <f t="shared" si="25"/>
        <v>0</v>
      </c>
      <c r="BX41" s="86">
        <f t="shared" si="26"/>
        <v>0</v>
      </c>
      <c r="BY41" s="86">
        <f t="shared" si="10"/>
        <v>0</v>
      </c>
      <c r="BZ41" s="86">
        <f t="shared" si="27"/>
        <v>-1812300.9102439315</v>
      </c>
      <c r="CA41" s="86">
        <f t="shared" si="40"/>
        <v>0</v>
      </c>
      <c r="CB41" s="214" t="e">
        <f t="shared" si="11"/>
        <v>#VALUE!</v>
      </c>
    </row>
    <row r="42" spans="2:99" s="86" customFormat="1" x14ac:dyDescent="0.3">
      <c r="B42" s="192">
        <f t="shared" si="28"/>
        <v>31</v>
      </c>
      <c r="C42" s="350">
        <f t="shared" si="12"/>
        <v>2052</v>
      </c>
      <c r="D42" s="351">
        <f t="shared" si="41"/>
        <v>55519</v>
      </c>
      <c r="E42" s="441">
        <f t="shared" si="41"/>
        <v>55884</v>
      </c>
      <c r="F42" s="445">
        <f>IF(AND(B42&gt;0,B42&lt;=Spas_Inputs!$J$24),1,0)</f>
        <v>0</v>
      </c>
      <c r="G42" s="447">
        <f>IF(F42=1,Spas_Inputs!$F$24,0)</f>
        <v>0</v>
      </c>
      <c r="H42" s="123">
        <f>Spas_Inputs!$J$18</f>
        <v>0.01</v>
      </c>
      <c r="I42" s="131">
        <f>IF(B42=1,Spas_Inputs!$R$15,I41*(1+H42))*F42</f>
        <v>0</v>
      </c>
      <c r="J42" s="131">
        <f>IF(B42=1,Spas_Inputs!$R$16,J41*(1+H42))*F42</f>
        <v>0</v>
      </c>
      <c r="K42" s="131">
        <f>IF(B42=1,Spas_Inputs!$R$17,K41*(1+H42))*F42</f>
        <v>0</v>
      </c>
      <c r="L42" s="131">
        <f>IF(B42=1,Spas_Inputs!$R$18,L41*(1+H42))*F42</f>
        <v>0</v>
      </c>
      <c r="M42" s="131">
        <f>IF(B42=1,Spas_Inputs!$R$19,M41*(1+H42))*F42</f>
        <v>0</v>
      </c>
      <c r="N42" s="131">
        <f>IF(B42=1,Spas_Inputs!$R$20,N41*(1+H42))*F42</f>
        <v>0</v>
      </c>
      <c r="O42" s="444">
        <f>$G42*I42*Spas_Inputs!$J$12</f>
        <v>0</v>
      </c>
      <c r="P42" s="444">
        <f>$G42*J42*Spas_Inputs!$J$13</f>
        <v>0</v>
      </c>
      <c r="Q42" s="444">
        <f>$G42*K42*Spas_Inputs!$J$14</f>
        <v>0</v>
      </c>
      <c r="R42" s="444">
        <f>$G42*L42*Spas_Inputs!$J$15</f>
        <v>0</v>
      </c>
      <c r="S42" s="444">
        <f>$G42*M42*Spas_Inputs!$J$16</f>
        <v>0</v>
      </c>
      <c r="T42" s="444">
        <f>$G42*N42*Spas_Inputs!$J$17</f>
        <v>0</v>
      </c>
      <c r="U42" s="754">
        <f t="shared" si="30"/>
        <v>0</v>
      </c>
      <c r="V42" s="122">
        <f>SUM(O42:U42)+IF(B42=Spas_Inputs!$J$24,Spas_Inputs!$J$26,0)</f>
        <v>0</v>
      </c>
      <c r="W42" s="218">
        <f>IF(B42=1,Spas_Inputs!$O$7,W41*(1+Spas_Inputs!$N$23))*F42</f>
        <v>0</v>
      </c>
      <c r="X42" s="122">
        <f>IF(B42=1,Spas_Inputs!$O$8,X41*(1+Spas_Inputs!$N$23))*F42</f>
        <v>0</v>
      </c>
      <c r="Y42" s="122">
        <f>IF(B42=1,Spas_Inputs!$O$9,Y41*(1+Spas_Inputs!$N$23))*F42</f>
        <v>0</v>
      </c>
      <c r="Z42" s="122">
        <f>IF(B42=1,Spas_Inputs!$O$10,Z41*(1+Spas_Inputs!$N$23))*F42</f>
        <v>0</v>
      </c>
      <c r="AA42" s="122">
        <f>IF(B42=1,Spas_Inputs!$O$11,AA41*(1+Spas_Inputs!$N$23))*F42</f>
        <v>0</v>
      </c>
      <c r="AB42" s="122">
        <f>IF(B42=1,Spas_Inputs!$O$12,AB41*(1+Spas_Inputs!$N$23))*F42</f>
        <v>0</v>
      </c>
      <c r="AC42" s="122">
        <f>IF(B42=1,Spas_Inputs!$O$13,AC41*(1+Spas_Inputs!$N$23))*F42</f>
        <v>0</v>
      </c>
      <c r="AD42" s="122">
        <f>IF(B42=1,Spas_Inputs!$O$14,AD41*(1+Spas_Inputs!$N$23))*F42</f>
        <v>0</v>
      </c>
      <c r="AE42" s="122">
        <f>IF(B42=1,Spas_Inputs!$O$15,AE41*(1+Spas_Inputs!$N$23))*F42</f>
        <v>0</v>
      </c>
      <c r="AF42" s="122">
        <f>IF(B42=1,Spas_Inputs!$O$16,AF41*(1+Spas_Inputs!$N$23))*F42</f>
        <v>0</v>
      </c>
      <c r="AG42" s="122">
        <f>IF(B42=1,Spas_Inputs!$O$17,AG41*(1+Spas_Inputs!$N$23))*F42</f>
        <v>0</v>
      </c>
      <c r="AH42" s="181">
        <f>IF(B42=1,Spas_Inputs!$O$18,AH41*(1+Spas_Inputs!$N$23))*F42</f>
        <v>0</v>
      </c>
      <c r="AI42" s="482">
        <f>IF(B42=1,Spas_Inputs!$O$19,AI41*(1+Spas_Inputs!$N$23))*F42</f>
        <v>0</v>
      </c>
      <c r="AJ42" s="122">
        <f>IF(B42=1,Spas_Inputs!$O$20,AJ41*(1+Spas_Inputs!$N$23))*F42</f>
        <v>0</v>
      </c>
      <c r="AK42" s="122">
        <f>IF(B42=1,Spas_Inputs!$O$21,AK41*(1+Spas_Inputs!$N$23))*F42</f>
        <v>0</v>
      </c>
      <c r="AL42" s="132">
        <f>IF(B42=1,Spas_Inputs!$O$22,AL41*(1+Spas_Inputs!$N$23))*F42</f>
        <v>0</v>
      </c>
      <c r="AM42" s="200">
        <f t="shared" si="13"/>
        <v>0</v>
      </c>
      <c r="AN42" s="86">
        <f t="shared" si="14"/>
        <v>0</v>
      </c>
      <c r="AO42" s="225">
        <f t="shared" si="15"/>
        <v>0</v>
      </c>
      <c r="AP42" s="220">
        <f>Deprec!X41</f>
        <v>0</v>
      </c>
      <c r="AQ42" s="86">
        <f t="shared" si="16"/>
        <v>0</v>
      </c>
      <c r="AR42" s="455">
        <f t="shared" si="31"/>
        <v>0</v>
      </c>
      <c r="AS42" s="86">
        <f t="shared" si="32"/>
        <v>0</v>
      </c>
      <c r="AT42" s="438">
        <f>IF(AS42&lt;0,0,(AS42*Spas_Inputs!$J$21))</f>
        <v>0</v>
      </c>
      <c r="AU42" s="86">
        <f t="shared" si="33"/>
        <v>0</v>
      </c>
      <c r="AV42" s="226">
        <f t="shared" si="17"/>
        <v>0</v>
      </c>
      <c r="AY42" s="196">
        <f t="shared" si="18"/>
        <v>0</v>
      </c>
      <c r="AZ42" s="86">
        <f t="shared" si="19"/>
        <v>0</v>
      </c>
      <c r="BA42" s="197">
        <f t="shared" si="34"/>
        <v>0</v>
      </c>
      <c r="BB42" s="218">
        <f>IF(B42=0,Spas_Inputs!$C$29,0)</f>
        <v>0</v>
      </c>
      <c r="BC42" s="198">
        <f t="shared" si="5"/>
        <v>0</v>
      </c>
      <c r="BD42" s="197">
        <f t="shared" si="6"/>
        <v>0</v>
      </c>
      <c r="BE42" s="184">
        <f>IF(B42=0,Spas_Inputs!$G$15+Spas_Inputs!$G$16,0)</f>
        <v>0</v>
      </c>
      <c r="BF42" s="185">
        <f>IF(B42=0,Spas_Inputs!$G$14,0)</f>
        <v>0</v>
      </c>
      <c r="BG42" s="200">
        <f t="shared" si="7"/>
        <v>0</v>
      </c>
      <c r="BH42" s="196">
        <f t="shared" si="8"/>
        <v>0</v>
      </c>
      <c r="BI42" s="218">
        <f>Spas_Inputs!$G$20*AVERAGE(BX42,BY42)</f>
        <v>0</v>
      </c>
      <c r="BJ42" s="200">
        <f t="shared" si="9"/>
        <v>0</v>
      </c>
      <c r="BK42" s="200">
        <f t="shared" si="20"/>
        <v>0</v>
      </c>
      <c r="BL42" s="86">
        <f t="shared" si="21"/>
        <v>0</v>
      </c>
      <c r="BM42" s="197">
        <f t="shared" si="22"/>
        <v>0</v>
      </c>
      <c r="BN42" s="86">
        <f t="shared" si="35"/>
        <v>0</v>
      </c>
      <c r="BO42" s="86">
        <f t="shared" si="36"/>
        <v>0</v>
      </c>
      <c r="BP42" s="122">
        <f>-Debt_Calc!CE40</f>
        <v>0</v>
      </c>
      <c r="BQ42" s="122">
        <f>Debt_Calc!CF40</f>
        <v>0</v>
      </c>
      <c r="BR42" s="86">
        <f t="shared" si="23"/>
        <v>0</v>
      </c>
      <c r="BS42" s="423">
        <f t="shared" si="37"/>
        <v>0</v>
      </c>
      <c r="BT42" s="86">
        <f t="shared" si="38"/>
        <v>0</v>
      </c>
      <c r="BU42" s="86">
        <f t="shared" si="24"/>
        <v>0</v>
      </c>
      <c r="BV42" s="86">
        <f t="shared" si="39"/>
        <v>0</v>
      </c>
      <c r="BW42" s="86">
        <f t="shared" si="25"/>
        <v>0</v>
      </c>
      <c r="BX42" s="86">
        <f t="shared" si="26"/>
        <v>0</v>
      </c>
      <c r="BY42" s="86">
        <f t="shared" si="10"/>
        <v>0</v>
      </c>
      <c r="BZ42" s="86">
        <f t="shared" si="27"/>
        <v>-1812300.9102439315</v>
      </c>
      <c r="CA42" s="86">
        <f t="shared" si="40"/>
        <v>0</v>
      </c>
      <c r="CB42" s="214" t="e">
        <f t="shared" si="11"/>
        <v>#VALUE!</v>
      </c>
    </row>
    <row r="43" spans="2:99" s="86" customFormat="1" x14ac:dyDescent="0.3">
      <c r="B43" s="192">
        <f t="shared" si="28"/>
        <v>32</v>
      </c>
      <c r="C43" s="350">
        <f t="shared" si="12"/>
        <v>2053</v>
      </c>
      <c r="D43" s="351">
        <f t="shared" si="41"/>
        <v>55885</v>
      </c>
      <c r="E43" s="441">
        <f t="shared" si="41"/>
        <v>56249</v>
      </c>
      <c r="F43" s="445">
        <f>IF(AND(B43&gt;0,B43&lt;=Spas_Inputs!$J$24),1,0)</f>
        <v>0</v>
      </c>
      <c r="G43" s="447">
        <f>IF(F43=1,Spas_Inputs!$F$24,0)</f>
        <v>0</v>
      </c>
      <c r="H43" s="123">
        <f>Spas_Inputs!$J$18</f>
        <v>0.01</v>
      </c>
      <c r="I43" s="131">
        <f>IF(B43=1,Spas_Inputs!$R$15,I42*(1+H43))*F43</f>
        <v>0</v>
      </c>
      <c r="J43" s="131">
        <f>IF(B43=1,Spas_Inputs!$R$16,J42*(1+H43))*F43</f>
        <v>0</v>
      </c>
      <c r="K43" s="131">
        <f>IF(B43=1,Spas_Inputs!$R$17,K42*(1+H43))*F43</f>
        <v>0</v>
      </c>
      <c r="L43" s="131">
        <f>IF(B43=1,Spas_Inputs!$R$18,L42*(1+H43))*F43</f>
        <v>0</v>
      </c>
      <c r="M43" s="131">
        <f>IF(B43=1,Spas_Inputs!$R$19,M42*(1+H43))*F43</f>
        <v>0</v>
      </c>
      <c r="N43" s="131">
        <f>IF(B43=1,Spas_Inputs!$R$20,N42*(1+H43))*F43</f>
        <v>0</v>
      </c>
      <c r="O43" s="444">
        <f>$G43*I43*Spas_Inputs!$J$12</f>
        <v>0</v>
      </c>
      <c r="P43" s="444">
        <f>$G43*J43*Spas_Inputs!$J$13</f>
        <v>0</v>
      </c>
      <c r="Q43" s="444">
        <f>$G43*K43*Spas_Inputs!$J$14</f>
        <v>0</v>
      </c>
      <c r="R43" s="444">
        <f>$G43*L43*Spas_Inputs!$J$15</f>
        <v>0</v>
      </c>
      <c r="S43" s="444">
        <f>$G43*M43*Spas_Inputs!$J$16</f>
        <v>0</v>
      </c>
      <c r="T43" s="444">
        <f>$G43*N43*Spas_Inputs!$J$17</f>
        <v>0</v>
      </c>
      <c r="U43" s="754">
        <f t="shared" si="30"/>
        <v>0</v>
      </c>
      <c r="V43" s="122">
        <f>SUM(O43:U43)+IF(B43=Spas_Inputs!$J$24,Spas_Inputs!$J$26,0)</f>
        <v>0</v>
      </c>
      <c r="W43" s="218">
        <f>IF(B43=1,Spas_Inputs!$O$7,W42*(1+Spas_Inputs!$N$23))*F43</f>
        <v>0</v>
      </c>
      <c r="X43" s="122">
        <f>IF(B43=1,Spas_Inputs!$O$8,X42*(1+Spas_Inputs!$N$23))*F43</f>
        <v>0</v>
      </c>
      <c r="Y43" s="122">
        <f>IF(B43=1,Spas_Inputs!$O$9,Y42*(1+Spas_Inputs!$N$23))*F43</f>
        <v>0</v>
      </c>
      <c r="Z43" s="122">
        <f>IF(B43=1,Spas_Inputs!$O$10,Z42*(1+Spas_Inputs!$N$23))*F43</f>
        <v>0</v>
      </c>
      <c r="AA43" s="122">
        <f>IF(B43=1,Spas_Inputs!$O$11,AA42*(1+Spas_Inputs!$N$23))*F43</f>
        <v>0</v>
      </c>
      <c r="AB43" s="122">
        <f>IF(B43=1,Spas_Inputs!$O$12,AB42*(1+Spas_Inputs!$N$23))*F43</f>
        <v>0</v>
      </c>
      <c r="AC43" s="122">
        <f>IF(B43=1,Spas_Inputs!$O$13,AC42*(1+Spas_Inputs!$N$23))*F43</f>
        <v>0</v>
      </c>
      <c r="AD43" s="122">
        <f>IF(B43=1,Spas_Inputs!$O$14,AD42*(1+Spas_Inputs!$N$23))*F43</f>
        <v>0</v>
      </c>
      <c r="AE43" s="122">
        <f>IF(B43=1,Spas_Inputs!$O$15,AE42*(1+Spas_Inputs!$N$23))*F43</f>
        <v>0</v>
      </c>
      <c r="AF43" s="122">
        <f>IF(B43=1,Spas_Inputs!$O$16,AF42*(1+Spas_Inputs!$N$23))*F43</f>
        <v>0</v>
      </c>
      <c r="AG43" s="122">
        <f>IF(B43=1,Spas_Inputs!$O$17,AG42*(1+Spas_Inputs!$N$23))*F43</f>
        <v>0</v>
      </c>
      <c r="AH43" s="181">
        <f>IF(B43=1,Spas_Inputs!$O$18,AH42*(1+Spas_Inputs!$N$23))*F43</f>
        <v>0</v>
      </c>
      <c r="AI43" s="482">
        <f>IF(B43=1,Spas_Inputs!$O$19,AI42*(1+Spas_Inputs!$N$23))*F43</f>
        <v>0</v>
      </c>
      <c r="AJ43" s="122">
        <f>IF(B43=1,Spas_Inputs!$O$20,AJ42*(1+Spas_Inputs!$N$23))*F43</f>
        <v>0</v>
      </c>
      <c r="AK43" s="122">
        <f>IF(B43=1,Spas_Inputs!$O$21,AK42*(1+Spas_Inputs!$N$23))*F43</f>
        <v>0</v>
      </c>
      <c r="AL43" s="132">
        <f>IF(B43=1,Spas_Inputs!$O$22,AL42*(1+Spas_Inputs!$N$23))*F43</f>
        <v>0</v>
      </c>
      <c r="AM43" s="200">
        <f t="shared" si="13"/>
        <v>0</v>
      </c>
      <c r="AN43" s="86">
        <f t="shared" si="14"/>
        <v>0</v>
      </c>
      <c r="AO43" s="225">
        <f t="shared" si="15"/>
        <v>0</v>
      </c>
      <c r="AP43" s="220">
        <f>Deprec!X42</f>
        <v>0</v>
      </c>
      <c r="AQ43" s="86">
        <f t="shared" si="16"/>
        <v>0</v>
      </c>
      <c r="AR43" s="455">
        <f t="shared" si="31"/>
        <v>0</v>
      </c>
      <c r="AS43" s="86">
        <f t="shared" si="32"/>
        <v>0</v>
      </c>
      <c r="AT43" s="438">
        <f>IF(AS43&lt;0,0,(AS43*Spas_Inputs!$J$21))</f>
        <v>0</v>
      </c>
      <c r="AU43" s="86">
        <f t="shared" si="33"/>
        <v>0</v>
      </c>
      <c r="AV43" s="226">
        <f t="shared" si="17"/>
        <v>0</v>
      </c>
      <c r="AY43" s="196">
        <f t="shared" si="18"/>
        <v>0</v>
      </c>
      <c r="AZ43" s="86">
        <f t="shared" si="19"/>
        <v>0</v>
      </c>
      <c r="BA43" s="197">
        <f t="shared" si="34"/>
        <v>0</v>
      </c>
      <c r="BB43" s="218">
        <f>IF(B43=0,Spas_Inputs!$C$29,0)</f>
        <v>0</v>
      </c>
      <c r="BC43" s="198">
        <f t="shared" si="5"/>
        <v>0</v>
      </c>
      <c r="BD43" s="197">
        <f t="shared" si="6"/>
        <v>0</v>
      </c>
      <c r="BE43" s="184">
        <f>IF(B43=0,Spas_Inputs!$G$15+Spas_Inputs!$G$16,0)</f>
        <v>0</v>
      </c>
      <c r="BF43" s="185">
        <f>IF(B43=0,Spas_Inputs!$G$14,0)</f>
        <v>0</v>
      </c>
      <c r="BG43" s="200">
        <f t="shared" si="7"/>
        <v>0</v>
      </c>
      <c r="BH43" s="196">
        <f t="shared" si="8"/>
        <v>0</v>
      </c>
      <c r="BI43" s="218">
        <f>Spas_Inputs!$G$20*AVERAGE(BX43,BY43)</f>
        <v>0</v>
      </c>
      <c r="BJ43" s="200">
        <f t="shared" si="9"/>
        <v>0</v>
      </c>
      <c r="BK43" s="200">
        <f t="shared" si="20"/>
        <v>0</v>
      </c>
      <c r="BL43" s="86">
        <f t="shared" si="21"/>
        <v>0</v>
      </c>
      <c r="BM43" s="197">
        <f t="shared" si="22"/>
        <v>0</v>
      </c>
      <c r="BN43" s="86">
        <f t="shared" si="35"/>
        <v>0</v>
      </c>
      <c r="BO43" s="86">
        <f t="shared" si="36"/>
        <v>0</v>
      </c>
      <c r="BP43" s="122">
        <f>-Debt_Calc!CE41</f>
        <v>0</v>
      </c>
      <c r="BQ43" s="122">
        <f>Debt_Calc!CF41</f>
        <v>0</v>
      </c>
      <c r="BR43" s="86">
        <f t="shared" si="23"/>
        <v>0</v>
      </c>
      <c r="BS43" s="423">
        <f t="shared" si="37"/>
        <v>0</v>
      </c>
      <c r="BT43" s="86">
        <f t="shared" si="38"/>
        <v>0</v>
      </c>
      <c r="BU43" s="86">
        <f t="shared" si="24"/>
        <v>0</v>
      </c>
      <c r="BV43" s="86">
        <f t="shared" si="39"/>
        <v>0</v>
      </c>
      <c r="BW43" s="86">
        <f t="shared" si="25"/>
        <v>0</v>
      </c>
      <c r="BX43" s="86">
        <f t="shared" si="26"/>
        <v>0</v>
      </c>
      <c r="BY43" s="86">
        <f t="shared" si="10"/>
        <v>0</v>
      </c>
      <c r="BZ43" s="86">
        <f t="shared" si="27"/>
        <v>-1812300.9102439315</v>
      </c>
      <c r="CA43" s="86">
        <f t="shared" si="40"/>
        <v>0</v>
      </c>
      <c r="CB43" s="214" t="e">
        <f t="shared" si="11"/>
        <v>#VALUE!</v>
      </c>
    </row>
    <row r="44" spans="2:99" s="86" customFormat="1" x14ac:dyDescent="0.3">
      <c r="B44" s="215">
        <f t="shared" si="28"/>
        <v>33</v>
      </c>
      <c r="C44" s="352">
        <f t="shared" si="12"/>
        <v>2054</v>
      </c>
      <c r="D44" s="353">
        <f t="shared" si="41"/>
        <v>56250</v>
      </c>
      <c r="E44" s="442">
        <f t="shared" si="41"/>
        <v>56614</v>
      </c>
      <c r="F44" s="735">
        <f>IF(AND(B44&gt;0,B44&lt;=Spas_Inputs!$J$24),1,0)</f>
        <v>0</v>
      </c>
      <c r="G44" s="687">
        <f>IF(F44=1,Spas_Inputs!$F$24,0)</f>
        <v>0</v>
      </c>
      <c r="H44" s="688">
        <f>Spas_Inputs!$J$18</f>
        <v>0.01</v>
      </c>
      <c r="I44" s="752">
        <f>IF(B44=1,Spas_Inputs!$R$15,I43*(1+H44))*F44</f>
        <v>0</v>
      </c>
      <c r="J44" s="752">
        <f>IF(B44=1,Spas_Inputs!$R$16,J43*(1+H44))*F44</f>
        <v>0</v>
      </c>
      <c r="K44" s="752">
        <f>IF(B44=1,Spas_Inputs!$R$17,K43*(1+H44))*F44</f>
        <v>0</v>
      </c>
      <c r="L44" s="752">
        <f>IF(B44=1,Spas_Inputs!$R$18,L43*(1+H44))*F44</f>
        <v>0</v>
      </c>
      <c r="M44" s="752">
        <f>IF(B44=1,Spas_Inputs!$R$19,M43*(1+H44))*F44</f>
        <v>0</v>
      </c>
      <c r="N44" s="752">
        <f>IF(B44=1,Spas_Inputs!$R$20,N43*(1+H44))*F44</f>
        <v>0</v>
      </c>
      <c r="O44" s="744">
        <f>$G44*I44*Spas_Inputs!$J$12</f>
        <v>0</v>
      </c>
      <c r="P44" s="744">
        <f>$G44*J44*Spas_Inputs!$J$13</f>
        <v>0</v>
      </c>
      <c r="Q44" s="744">
        <f>$G44*K44*Spas_Inputs!$J$14</f>
        <v>0</v>
      </c>
      <c r="R44" s="744">
        <f>$G44*L44*Spas_Inputs!$J$15</f>
        <v>0</v>
      </c>
      <c r="S44" s="744">
        <f>$G44*M44*Spas_Inputs!$J$16</f>
        <v>0</v>
      </c>
      <c r="T44" s="744">
        <f>$G44*N44*Spas_Inputs!$J$17</f>
        <v>0</v>
      </c>
      <c r="U44" s="755">
        <f t="shared" si="30"/>
        <v>0</v>
      </c>
      <c r="V44" s="83">
        <f>SUM(O44:U44)+IF(B44=Spas_Inputs!$J$24,Spas_Inputs!$J$26,0)</f>
        <v>0</v>
      </c>
      <c r="W44" s="746">
        <f>IF(B44=1,Spas_Inputs!$O$7,W43*(1+Spas_Inputs!$N$23))*F44</f>
        <v>0</v>
      </c>
      <c r="X44" s="83">
        <f>IF(B44=1,Spas_Inputs!$O$8,X43*(1+Spas_Inputs!$N$23))*F44</f>
        <v>0</v>
      </c>
      <c r="Y44" s="83">
        <f>IF(B44=1,Spas_Inputs!$O$9,Y43*(1+Spas_Inputs!$N$23))*F44</f>
        <v>0</v>
      </c>
      <c r="Z44" s="83">
        <f>IF(B44=1,Spas_Inputs!$O$10,Z43*(1+Spas_Inputs!$N$23))*F44</f>
        <v>0</v>
      </c>
      <c r="AA44" s="83">
        <f>IF(B44=1,Spas_Inputs!$O$11,AA43*(1+Spas_Inputs!$N$23))*F44</f>
        <v>0</v>
      </c>
      <c r="AB44" s="83">
        <f>IF(B44=1,Spas_Inputs!$O$12,AB43*(1+Spas_Inputs!$N$23))*F44</f>
        <v>0</v>
      </c>
      <c r="AC44" s="83">
        <f>IF(B44=1,Spas_Inputs!$O$13,AC43*(1+Spas_Inputs!$N$23))*F44</f>
        <v>0</v>
      </c>
      <c r="AD44" s="83">
        <f>IF(B44=1,Spas_Inputs!$O$14,AD43*(1+Spas_Inputs!$N$23))*F44</f>
        <v>0</v>
      </c>
      <c r="AE44" s="83">
        <f>IF(B44=1,Spas_Inputs!$O$15,AE43*(1+Spas_Inputs!$N$23))*F44</f>
        <v>0</v>
      </c>
      <c r="AF44" s="83">
        <f>IF(B44=1,Spas_Inputs!$O$16,AF43*(1+Spas_Inputs!$N$23))*F44</f>
        <v>0</v>
      </c>
      <c r="AG44" s="83">
        <f>IF(B44=1,Spas_Inputs!$O$17,AG43*(1+Spas_Inputs!$N$23))*F44</f>
        <v>0</v>
      </c>
      <c r="AH44" s="141">
        <f>IF(B44=1,Spas_Inputs!$O$18,AH43*(1+Spas_Inputs!$N$23))*F44</f>
        <v>0</v>
      </c>
      <c r="AI44" s="747">
        <f>IF(B44=1,Spas_Inputs!$O$19,AI43*(1+Spas_Inputs!$N$23))*F44</f>
        <v>0</v>
      </c>
      <c r="AJ44" s="83">
        <f>IF(B44=1,Spas_Inputs!$O$20,AJ43*(1+Spas_Inputs!$N$23))*F44</f>
        <v>0</v>
      </c>
      <c r="AK44" s="83">
        <f>IF(B44=1,Spas_Inputs!$O$21,AK43*(1+Spas_Inputs!$N$23))*F44</f>
        <v>0</v>
      </c>
      <c r="AL44" s="84">
        <f>IF(B44=1,Spas_Inputs!$O$22,AL43*(1+Spas_Inputs!$N$23))*F44</f>
        <v>0</v>
      </c>
      <c r="AM44" s="231">
        <f t="shared" si="13"/>
        <v>0</v>
      </c>
      <c r="AN44" s="232">
        <f t="shared" si="14"/>
        <v>0</v>
      </c>
      <c r="AO44" s="234">
        <f t="shared" si="15"/>
        <v>0</v>
      </c>
      <c r="AP44" s="750">
        <f>Deprec!X43</f>
        <v>0</v>
      </c>
      <c r="AQ44" s="232">
        <f t="shared" si="16"/>
        <v>0</v>
      </c>
      <c r="AR44" s="456">
        <f t="shared" si="31"/>
        <v>0</v>
      </c>
      <c r="AS44" s="232">
        <f t="shared" si="32"/>
        <v>0</v>
      </c>
      <c r="AT44" s="749">
        <f>IF(AS44&lt;0,0,(AS44*Spas_Inputs!$J$21))</f>
        <v>0</v>
      </c>
      <c r="AU44" s="232">
        <f t="shared" si="33"/>
        <v>0</v>
      </c>
      <c r="AV44" s="235">
        <f t="shared" si="17"/>
        <v>0</v>
      </c>
      <c r="AW44" s="232"/>
      <c r="AX44" s="232"/>
      <c r="AY44" s="233">
        <f t="shared" si="18"/>
        <v>0</v>
      </c>
      <c r="AZ44" s="232">
        <f t="shared" si="19"/>
        <v>0</v>
      </c>
      <c r="BA44" s="439">
        <f t="shared" si="34"/>
        <v>0</v>
      </c>
      <c r="BB44" s="746">
        <f>IF(B44=0,Spas_Inputs!$C$29,0)</f>
        <v>0</v>
      </c>
      <c r="BC44" s="434">
        <f t="shared" si="5"/>
        <v>0</v>
      </c>
      <c r="BD44" s="439">
        <f t="shared" si="6"/>
        <v>0</v>
      </c>
      <c r="BE44" s="748">
        <f>IF(B44=0,Spas_Inputs!$G$15+Spas_Inputs!$G$16,0)</f>
        <v>0</v>
      </c>
      <c r="BF44" s="150">
        <f>IF(B44=0,Spas_Inputs!$G$14,0)</f>
        <v>0</v>
      </c>
      <c r="BG44" s="231">
        <f t="shared" si="7"/>
        <v>0</v>
      </c>
      <c r="BH44" s="233">
        <f t="shared" si="8"/>
        <v>0</v>
      </c>
      <c r="BI44" s="746">
        <f>Spas_Inputs!$G$20*AVERAGE(BX44,BY44)</f>
        <v>0</v>
      </c>
      <c r="BJ44" s="231">
        <f t="shared" si="9"/>
        <v>0</v>
      </c>
      <c r="BK44" s="231">
        <f t="shared" si="20"/>
        <v>0</v>
      </c>
      <c r="BL44" s="232">
        <f t="shared" si="21"/>
        <v>0</v>
      </c>
      <c r="BM44" s="439">
        <f t="shared" si="22"/>
        <v>0</v>
      </c>
      <c r="BN44" s="232">
        <f t="shared" si="35"/>
        <v>0</v>
      </c>
      <c r="BO44" s="232">
        <f t="shared" si="36"/>
        <v>0</v>
      </c>
      <c r="BP44" s="83">
        <f>-Debt_Calc!CE42</f>
        <v>0</v>
      </c>
      <c r="BQ44" s="83">
        <f>Debt_Calc!CF42</f>
        <v>0</v>
      </c>
      <c r="BR44" s="232">
        <f t="shared" si="23"/>
        <v>0</v>
      </c>
      <c r="BS44" s="424">
        <f t="shared" si="37"/>
        <v>0</v>
      </c>
      <c r="BT44" s="232">
        <f t="shared" si="38"/>
        <v>0</v>
      </c>
      <c r="BU44" s="232">
        <f t="shared" si="24"/>
        <v>0</v>
      </c>
      <c r="BV44" s="232">
        <f t="shared" si="39"/>
        <v>0</v>
      </c>
      <c r="BW44" s="232">
        <f t="shared" si="25"/>
        <v>0</v>
      </c>
      <c r="BX44" s="232">
        <f t="shared" si="26"/>
        <v>0</v>
      </c>
      <c r="BY44" s="232">
        <f t="shared" si="10"/>
        <v>0</v>
      </c>
      <c r="BZ44" s="232">
        <f t="shared" si="27"/>
        <v>-1812300.9102439315</v>
      </c>
      <c r="CA44" s="232">
        <f t="shared" si="40"/>
        <v>0</v>
      </c>
      <c r="CB44" s="236" t="e">
        <f t="shared" si="11"/>
        <v>#VALUE!</v>
      </c>
    </row>
    <row r="45" spans="2:99" s="227" customFormat="1" x14ac:dyDescent="0.3">
      <c r="H45" s="238"/>
      <c r="I45" s="238"/>
      <c r="J45" s="238"/>
      <c r="K45" s="238"/>
      <c r="L45" s="238"/>
      <c r="M45" s="238"/>
      <c r="N45" s="238"/>
      <c r="O45" s="199"/>
      <c r="P45" s="86"/>
      <c r="Q45" s="86"/>
      <c r="R45" s="86"/>
      <c r="S45" s="86"/>
      <c r="T45" s="86"/>
      <c r="U45" s="202"/>
      <c r="V45" s="86"/>
      <c r="W45" s="86"/>
      <c r="X45" s="86"/>
      <c r="Y45" s="86"/>
      <c r="Z45" s="86"/>
      <c r="AA45" s="86"/>
      <c r="AB45" s="86"/>
      <c r="AC45" s="86"/>
      <c r="AD45" s="86"/>
      <c r="AE45" s="86"/>
      <c r="AF45" s="86"/>
      <c r="AG45" s="86"/>
      <c r="AH45" s="86"/>
      <c r="AI45" s="86"/>
      <c r="AJ45" s="86"/>
      <c r="AK45" s="86"/>
      <c r="AL45" s="86"/>
      <c r="AM45" s="86"/>
      <c r="AN45" s="86"/>
      <c r="AO45" s="86"/>
      <c r="AP45" s="86"/>
      <c r="AQ45" s="86"/>
      <c r="AR45" s="199"/>
      <c r="AS45" s="86"/>
      <c r="AT45" s="86"/>
      <c r="AU45" s="86"/>
      <c r="AV45" s="225"/>
      <c r="AW45" s="86"/>
      <c r="AX45" s="86"/>
      <c r="AY45" s="239"/>
      <c r="AZ45" s="86"/>
      <c r="BA45" s="86"/>
      <c r="BB45" s="202"/>
      <c r="BC45" s="86"/>
      <c r="BD45" s="86"/>
      <c r="BE45" s="86"/>
      <c r="BF45" s="86"/>
      <c r="BG45" s="86"/>
      <c r="BH45" s="86"/>
      <c r="BI45" s="86"/>
      <c r="BJ45" s="86"/>
      <c r="BK45" s="86"/>
      <c r="BL45" s="86"/>
      <c r="BM45" s="86"/>
      <c r="BN45" s="86"/>
      <c r="BO45" s="86"/>
      <c r="BP45" s="202"/>
      <c r="BQ45" s="202"/>
      <c r="BR45" s="202"/>
      <c r="BS45" s="86"/>
      <c r="BT45" s="86"/>
      <c r="BU45" s="86"/>
      <c r="BV45" s="86"/>
      <c r="BW45" s="86"/>
      <c r="BX45" s="86"/>
      <c r="BY45" s="86"/>
      <c r="BZ45" s="86"/>
      <c r="CA45" s="86"/>
      <c r="CB45" s="86"/>
      <c r="CC45" s="86"/>
      <c r="CD45" s="86"/>
      <c r="CE45" s="86"/>
      <c r="CF45" s="86"/>
      <c r="CG45" s="86"/>
      <c r="CH45" s="86"/>
      <c r="CI45" s="86"/>
      <c r="CJ45" s="86"/>
      <c r="CK45" s="86"/>
      <c r="CL45" s="86"/>
      <c r="CM45" s="86"/>
      <c r="CN45" s="86"/>
      <c r="CO45" s="86"/>
      <c r="CP45" s="86"/>
      <c r="CQ45" s="86"/>
      <c r="CR45" s="86"/>
      <c r="CS45" s="86"/>
      <c r="CT45" s="86"/>
      <c r="CU45" s="86"/>
    </row>
    <row r="46" spans="2:99" s="227" customFormat="1" x14ac:dyDescent="0.3">
      <c r="H46" s="238"/>
      <c r="I46" s="238"/>
      <c r="J46" s="238"/>
      <c r="K46" s="238"/>
      <c r="L46" s="238"/>
      <c r="M46" s="238"/>
      <c r="N46" s="238"/>
      <c r="O46" s="199"/>
      <c r="P46" s="86"/>
      <c r="Q46" s="86"/>
      <c r="R46" s="86"/>
      <c r="S46" s="86"/>
      <c r="T46" s="86"/>
      <c r="U46" s="202"/>
      <c r="V46" s="86"/>
      <c r="W46" s="86"/>
      <c r="X46" s="86"/>
      <c r="Y46" s="86"/>
      <c r="Z46" s="86"/>
      <c r="AA46" s="86"/>
      <c r="AB46" s="86"/>
      <c r="AC46" s="86"/>
      <c r="AD46" s="86"/>
      <c r="AE46" s="86"/>
      <c r="AF46" s="86"/>
      <c r="AG46" s="86"/>
      <c r="AH46" s="86"/>
      <c r="AI46" s="86"/>
      <c r="AJ46" s="86"/>
      <c r="AK46" s="86"/>
      <c r="AL46" s="86"/>
      <c r="AM46" s="86"/>
      <c r="AN46" s="86"/>
      <c r="AO46" s="86"/>
      <c r="AP46" s="86"/>
      <c r="AQ46" s="86"/>
      <c r="AR46" s="199"/>
      <c r="AS46" s="86"/>
      <c r="AT46" s="86"/>
      <c r="AU46" s="86"/>
      <c r="AV46" s="225"/>
      <c r="AW46" s="86"/>
      <c r="AX46" s="86"/>
      <c r="AY46" s="239"/>
      <c r="AZ46" s="240"/>
      <c r="BA46" s="86"/>
      <c r="BB46" s="202"/>
      <c r="BC46" s="86"/>
      <c r="BD46" s="86"/>
      <c r="BE46" s="86"/>
      <c r="BF46" s="86"/>
      <c r="BG46" s="86"/>
      <c r="BH46" s="86"/>
      <c r="BI46" s="86"/>
      <c r="BJ46" s="86"/>
      <c r="BK46" s="86"/>
      <c r="BL46" s="86"/>
      <c r="BM46" s="86"/>
      <c r="BN46" s="86"/>
      <c r="BO46" s="86"/>
      <c r="BP46" s="202"/>
      <c r="BQ46" s="202"/>
      <c r="BR46" s="202"/>
      <c r="BS46" s="86"/>
      <c r="BT46" s="86"/>
      <c r="BU46" s="86"/>
      <c r="BV46" s="86"/>
      <c r="BW46" s="86"/>
      <c r="BX46" s="86"/>
      <c r="BY46" s="86"/>
      <c r="BZ46" s="86"/>
      <c r="CA46" s="86"/>
      <c r="CB46" s="86"/>
      <c r="CC46" s="86"/>
      <c r="CD46" s="86"/>
      <c r="CE46" s="86"/>
      <c r="CF46" s="86"/>
      <c r="CG46" s="86"/>
      <c r="CH46" s="86"/>
      <c r="CI46" s="86"/>
      <c r="CJ46" s="86"/>
      <c r="CK46" s="86"/>
      <c r="CL46" s="86"/>
      <c r="CM46" s="86"/>
      <c r="CN46" s="86"/>
      <c r="CO46" s="86"/>
      <c r="CP46" s="86"/>
      <c r="CQ46" s="86"/>
      <c r="CR46" s="86"/>
      <c r="CS46" s="86"/>
      <c r="CT46" s="86"/>
      <c r="CU46" s="86"/>
    </row>
    <row r="47" spans="2:99" s="227" customFormat="1" x14ac:dyDescent="0.3">
      <c r="H47" s="238"/>
      <c r="I47" s="238"/>
      <c r="J47" s="238"/>
      <c r="K47" s="238"/>
      <c r="L47" s="238"/>
      <c r="M47" s="238"/>
      <c r="N47" s="238"/>
      <c r="O47" s="199"/>
      <c r="P47" s="86"/>
      <c r="Q47" s="86"/>
      <c r="R47" s="86"/>
      <c r="S47" s="86"/>
      <c r="T47" s="86"/>
      <c r="U47" s="202"/>
      <c r="V47" s="86"/>
      <c r="W47" s="86"/>
      <c r="X47" s="86"/>
      <c r="Y47" s="86"/>
      <c r="Z47" s="86"/>
      <c r="AA47" s="86"/>
      <c r="AB47" s="86"/>
      <c r="AC47" s="86"/>
      <c r="AD47" s="86"/>
      <c r="AE47" s="86"/>
      <c r="AF47" s="86"/>
      <c r="AG47" s="86"/>
      <c r="AH47" s="86"/>
      <c r="AI47" s="86"/>
      <c r="AJ47" s="86"/>
      <c r="AK47" s="86"/>
      <c r="AL47" s="86"/>
      <c r="AM47" s="86"/>
      <c r="AN47" s="86"/>
      <c r="AO47" s="86"/>
      <c r="AP47" s="86"/>
      <c r="AQ47" s="86"/>
      <c r="AR47" s="199"/>
      <c r="AS47" s="86"/>
      <c r="AT47" s="86"/>
      <c r="AU47" s="86"/>
      <c r="AV47" s="225"/>
      <c r="AW47" s="86"/>
      <c r="AX47" s="86"/>
      <c r="AY47" s="239"/>
      <c r="AZ47" s="86"/>
      <c r="BA47" s="86"/>
      <c r="BB47" s="202"/>
      <c r="BC47" s="86"/>
      <c r="BD47" s="86"/>
      <c r="BE47" s="86"/>
      <c r="BF47" s="86"/>
      <c r="BG47" s="86"/>
      <c r="BH47" s="86"/>
      <c r="BI47" s="86"/>
      <c r="BJ47" s="86"/>
      <c r="BK47" s="86"/>
      <c r="BL47" s="86"/>
      <c r="BM47" s="86"/>
      <c r="BN47" s="86"/>
      <c r="BO47" s="86"/>
      <c r="BP47" s="202"/>
      <c r="BQ47" s="202"/>
      <c r="BR47" s="202"/>
      <c r="BS47" s="86"/>
      <c r="BT47" s="86"/>
      <c r="BU47" s="86"/>
      <c r="BV47" s="86"/>
      <c r="BW47" s="86"/>
      <c r="BX47" s="86"/>
      <c r="BY47" s="86"/>
      <c r="BZ47" s="86"/>
      <c r="CA47" s="86"/>
      <c r="CB47" s="86"/>
      <c r="CC47" s="86"/>
      <c r="CD47" s="86"/>
      <c r="CE47" s="86"/>
      <c r="CF47" s="86"/>
      <c r="CG47" s="86"/>
      <c r="CH47" s="86"/>
      <c r="CI47" s="86"/>
      <c r="CJ47" s="86"/>
      <c r="CK47" s="86"/>
      <c r="CL47" s="86"/>
      <c r="CM47" s="86"/>
      <c r="CN47" s="86"/>
      <c r="CO47" s="86"/>
      <c r="CP47" s="86"/>
      <c r="CQ47" s="86"/>
      <c r="CR47" s="86"/>
      <c r="CS47" s="86"/>
      <c r="CT47" s="86"/>
      <c r="CU47" s="86"/>
    </row>
    <row r="48" spans="2:99" s="227" customFormat="1" x14ac:dyDescent="0.3">
      <c r="H48" s="238"/>
      <c r="I48" s="238"/>
      <c r="J48" s="238"/>
      <c r="K48" s="238"/>
      <c r="L48" s="238"/>
      <c r="M48" s="238"/>
      <c r="N48" s="238"/>
      <c r="O48" s="199"/>
      <c r="P48" s="86"/>
      <c r="Q48" s="86"/>
      <c r="R48" s="86"/>
      <c r="S48" s="86"/>
      <c r="T48" s="86"/>
      <c r="U48" s="202"/>
      <c r="V48" s="86"/>
      <c r="W48" s="86"/>
      <c r="X48" s="86"/>
      <c r="Y48" s="86"/>
      <c r="Z48" s="86"/>
      <c r="AA48" s="86"/>
      <c r="AB48" s="86"/>
      <c r="AC48" s="86"/>
      <c r="AD48" s="86"/>
      <c r="AE48" s="86"/>
      <c r="AF48" s="86"/>
      <c r="AG48" s="86"/>
      <c r="AH48" s="86"/>
      <c r="AI48" s="86"/>
      <c r="AJ48" s="86"/>
      <c r="AK48" s="86"/>
      <c r="AL48" s="86"/>
      <c r="AM48" s="86"/>
      <c r="AN48" s="86"/>
      <c r="AO48" s="86"/>
      <c r="AP48" s="86"/>
      <c r="AQ48" s="86"/>
      <c r="AR48" s="199"/>
      <c r="AS48" s="86"/>
      <c r="AT48" s="86"/>
      <c r="AU48" s="86"/>
      <c r="AV48" s="225"/>
      <c r="AW48" s="86"/>
      <c r="AX48" s="86"/>
      <c r="AY48" s="239"/>
      <c r="AZ48" s="86"/>
      <c r="BA48" s="86"/>
      <c r="BB48" s="202"/>
      <c r="BC48" s="86"/>
      <c r="BD48" s="86"/>
      <c r="BE48" s="86"/>
      <c r="BF48" s="86"/>
      <c r="BG48" s="86"/>
      <c r="BH48" s="86"/>
      <c r="BI48" s="86"/>
      <c r="BJ48" s="86"/>
      <c r="BK48" s="86"/>
      <c r="BL48" s="86"/>
      <c r="BM48" s="86"/>
      <c r="BN48" s="86"/>
      <c r="BO48" s="86"/>
      <c r="BP48" s="202"/>
      <c r="BQ48" s="202"/>
      <c r="BR48" s="202"/>
      <c r="BS48" s="86"/>
      <c r="BT48" s="86"/>
      <c r="BU48" s="86"/>
      <c r="BV48" s="86"/>
      <c r="BW48" s="86"/>
      <c r="BX48" s="86"/>
      <c r="BY48" s="86"/>
      <c r="BZ48" s="86"/>
      <c r="CA48" s="86"/>
      <c r="CB48" s="86"/>
      <c r="CC48" s="86"/>
      <c r="CD48" s="86"/>
      <c r="CE48" s="86"/>
      <c r="CF48" s="86"/>
      <c r="CG48" s="86"/>
      <c r="CH48" s="86"/>
      <c r="CI48" s="86"/>
      <c r="CJ48" s="86"/>
      <c r="CK48" s="86"/>
      <c r="CL48" s="86"/>
      <c r="CM48" s="86"/>
      <c r="CN48" s="86"/>
      <c r="CO48" s="86"/>
      <c r="CP48" s="86"/>
      <c r="CQ48" s="86"/>
      <c r="CR48" s="86"/>
      <c r="CS48" s="86"/>
      <c r="CT48" s="86"/>
      <c r="CU48" s="86"/>
    </row>
    <row r="49" spans="8:99" s="227" customFormat="1" x14ac:dyDescent="0.3">
      <c r="H49" s="238"/>
      <c r="I49" s="238"/>
      <c r="J49" s="238"/>
      <c r="K49" s="238"/>
      <c r="L49" s="238"/>
      <c r="M49" s="238"/>
      <c r="N49" s="238"/>
      <c r="O49" s="199"/>
      <c r="P49" s="86"/>
      <c r="Q49" s="86"/>
      <c r="R49" s="86"/>
      <c r="S49" s="86"/>
      <c r="T49" s="86"/>
      <c r="U49" s="202"/>
      <c r="V49" s="86"/>
      <c r="W49" s="86"/>
      <c r="X49" s="86"/>
      <c r="Y49" s="86"/>
      <c r="Z49" s="86"/>
      <c r="AA49" s="86"/>
      <c r="AB49" s="86"/>
      <c r="AC49" s="86"/>
      <c r="AD49" s="86"/>
      <c r="AE49" s="86"/>
      <c r="AF49" s="86"/>
      <c r="AG49" s="86"/>
      <c r="AH49" s="86"/>
      <c r="AI49" s="86"/>
      <c r="AJ49" s="86"/>
      <c r="AK49" s="86"/>
      <c r="AL49" s="86"/>
      <c r="AM49" s="86"/>
      <c r="AN49" s="86"/>
      <c r="AO49" s="86"/>
      <c r="AP49" s="86"/>
      <c r="AQ49" s="86"/>
      <c r="AR49" s="199"/>
      <c r="AS49" s="86"/>
      <c r="AT49" s="86"/>
      <c r="AU49" s="86"/>
      <c r="AV49" s="225"/>
      <c r="AW49" s="86"/>
      <c r="AX49" s="86"/>
      <c r="AY49" s="239"/>
      <c r="AZ49" s="86"/>
      <c r="BA49" s="86"/>
      <c r="BB49" s="202"/>
      <c r="BC49" s="86"/>
      <c r="BD49" s="86"/>
      <c r="BE49" s="86"/>
      <c r="BF49" s="86"/>
      <c r="BG49" s="86"/>
      <c r="BH49" s="86"/>
      <c r="BI49" s="86"/>
      <c r="BJ49" s="86"/>
      <c r="BK49" s="86"/>
      <c r="BL49" s="86"/>
      <c r="BM49" s="86"/>
      <c r="BN49" s="86"/>
      <c r="BO49" s="86"/>
      <c r="BP49" s="202"/>
      <c r="BQ49" s="202"/>
      <c r="BR49" s="202"/>
      <c r="BS49" s="86"/>
      <c r="BT49" s="86"/>
      <c r="BU49" s="86"/>
      <c r="BV49" s="86"/>
      <c r="BW49" s="86"/>
      <c r="BX49" s="86"/>
      <c r="BY49" s="86"/>
      <c r="BZ49" s="86"/>
      <c r="CA49" s="86"/>
      <c r="CB49" s="86"/>
      <c r="CC49" s="86"/>
      <c r="CD49" s="86"/>
      <c r="CE49" s="86"/>
      <c r="CF49" s="86"/>
      <c r="CG49" s="86"/>
      <c r="CH49" s="86"/>
      <c r="CI49" s="86"/>
      <c r="CJ49" s="86"/>
      <c r="CK49" s="86"/>
      <c r="CL49" s="86"/>
      <c r="CM49" s="86"/>
      <c r="CN49" s="86"/>
      <c r="CO49" s="86"/>
      <c r="CP49" s="86"/>
      <c r="CQ49" s="86"/>
      <c r="CR49" s="86"/>
      <c r="CS49" s="86"/>
      <c r="CT49" s="86"/>
      <c r="CU49" s="86"/>
    </row>
    <row r="50" spans="8:99" s="227" customFormat="1" x14ac:dyDescent="0.3">
      <c r="H50" s="238"/>
      <c r="I50" s="238"/>
      <c r="J50" s="238"/>
      <c r="K50" s="238"/>
      <c r="L50" s="238"/>
      <c r="M50" s="238"/>
      <c r="N50" s="238"/>
      <c r="O50" s="199"/>
      <c r="P50" s="86"/>
      <c r="Q50" s="86"/>
      <c r="R50" s="86"/>
      <c r="S50" s="86"/>
      <c r="T50" s="86"/>
      <c r="U50" s="202"/>
      <c r="V50" s="86"/>
      <c r="W50" s="86"/>
      <c r="X50" s="86"/>
      <c r="Y50" s="86"/>
      <c r="Z50" s="86"/>
      <c r="AA50" s="86"/>
      <c r="AB50" s="86"/>
      <c r="AC50" s="86"/>
      <c r="AD50" s="86"/>
      <c r="AE50" s="86"/>
      <c r="AF50" s="86"/>
      <c r="AG50" s="86"/>
      <c r="AH50" s="86"/>
      <c r="AI50" s="86"/>
      <c r="AJ50" s="86"/>
      <c r="AK50" s="86"/>
      <c r="AL50" s="86"/>
      <c r="AM50" s="86"/>
      <c r="AN50" s="86"/>
      <c r="AO50" s="86"/>
      <c r="AP50" s="86"/>
      <c r="AQ50" s="86"/>
      <c r="AR50" s="199"/>
      <c r="AS50" s="86"/>
      <c r="AT50" s="86"/>
      <c r="AU50" s="86"/>
      <c r="AV50" s="225"/>
      <c r="AW50" s="86"/>
      <c r="AX50" s="86"/>
      <c r="AY50" s="239"/>
      <c r="AZ50" s="86"/>
      <c r="BA50" s="86"/>
      <c r="BB50" s="202"/>
      <c r="BC50" s="86"/>
      <c r="BD50" s="86"/>
      <c r="BE50" s="86"/>
      <c r="BF50" s="86"/>
      <c r="BG50" s="86"/>
      <c r="BH50" s="86"/>
      <c r="BI50" s="86"/>
      <c r="BJ50" s="86"/>
      <c r="BK50" s="86"/>
      <c r="BL50" s="86"/>
      <c r="BM50" s="86"/>
      <c r="BN50" s="86"/>
      <c r="BO50" s="86"/>
      <c r="BP50" s="202"/>
      <c r="BQ50" s="202"/>
      <c r="BR50" s="202"/>
      <c r="BS50" s="86"/>
      <c r="BT50" s="86"/>
      <c r="BU50" s="86"/>
      <c r="BV50" s="86"/>
      <c r="BW50" s="86"/>
      <c r="BX50" s="86"/>
      <c r="BY50" s="86"/>
      <c r="BZ50" s="86"/>
      <c r="CA50" s="86"/>
      <c r="CB50" s="86"/>
      <c r="CC50" s="86"/>
      <c r="CD50" s="86"/>
      <c r="CE50" s="86"/>
      <c r="CF50" s="86"/>
      <c r="CG50" s="86"/>
      <c r="CH50" s="86"/>
      <c r="CI50" s="86"/>
      <c r="CJ50" s="86"/>
      <c r="CK50" s="86"/>
      <c r="CL50" s="86"/>
      <c r="CM50" s="86"/>
      <c r="CN50" s="86"/>
      <c r="CO50" s="86"/>
      <c r="CP50" s="86"/>
      <c r="CQ50" s="86"/>
      <c r="CR50" s="86"/>
      <c r="CS50" s="86"/>
      <c r="CT50" s="86"/>
      <c r="CU50" s="86"/>
    </row>
    <row r="51" spans="8:99" s="227" customFormat="1" x14ac:dyDescent="0.3">
      <c r="H51" s="238"/>
      <c r="I51" s="238"/>
      <c r="J51" s="238"/>
      <c r="K51" s="238"/>
      <c r="L51" s="238"/>
      <c r="M51" s="238"/>
      <c r="N51" s="238"/>
      <c r="O51" s="199"/>
      <c r="P51" s="86"/>
      <c r="Q51" s="86"/>
      <c r="R51" s="86"/>
      <c r="S51" s="86"/>
      <c r="T51" s="86"/>
      <c r="U51" s="202"/>
      <c r="V51" s="86"/>
      <c r="W51" s="86"/>
      <c r="X51" s="86"/>
      <c r="Y51" s="86"/>
      <c r="Z51" s="86"/>
      <c r="AA51" s="86"/>
      <c r="AB51" s="86"/>
      <c r="AC51" s="86"/>
      <c r="AD51" s="86"/>
      <c r="AE51" s="86"/>
      <c r="AF51" s="86"/>
      <c r="AG51" s="86"/>
      <c r="AH51" s="86"/>
      <c r="AI51" s="86"/>
      <c r="AJ51" s="86"/>
      <c r="AK51" s="86"/>
      <c r="AL51" s="86"/>
      <c r="AM51" s="86"/>
      <c r="AN51" s="86"/>
      <c r="AO51" s="86"/>
      <c r="AP51" s="86"/>
      <c r="AQ51" s="86"/>
      <c r="AR51" s="199"/>
      <c r="AS51" s="86"/>
      <c r="AT51" s="86"/>
      <c r="AU51" s="86"/>
      <c r="AV51" s="225"/>
      <c r="AW51" s="86"/>
      <c r="AX51" s="86"/>
      <c r="AY51" s="239"/>
      <c r="AZ51" s="86"/>
      <c r="BA51" s="86"/>
      <c r="BB51" s="202"/>
      <c r="BC51" s="86"/>
      <c r="BD51" s="86"/>
      <c r="BE51" s="86"/>
      <c r="BF51" s="86"/>
      <c r="BG51" s="86"/>
      <c r="BH51" s="86"/>
      <c r="BI51" s="86"/>
      <c r="BJ51" s="86"/>
      <c r="BK51" s="86"/>
      <c r="BL51" s="86"/>
      <c r="BM51" s="86"/>
      <c r="BN51" s="86"/>
      <c r="BO51" s="86"/>
      <c r="BP51" s="202"/>
      <c r="BQ51" s="202"/>
      <c r="BR51" s="202"/>
      <c r="BS51" s="86"/>
      <c r="BT51" s="86"/>
      <c r="BU51" s="86"/>
      <c r="BV51" s="86"/>
      <c r="BW51" s="86"/>
      <c r="BX51" s="86"/>
      <c r="BY51" s="86"/>
      <c r="BZ51" s="86"/>
      <c r="CA51" s="86"/>
      <c r="CB51" s="86"/>
      <c r="CC51" s="86"/>
      <c r="CD51" s="86"/>
      <c r="CE51" s="86"/>
      <c r="CF51" s="86"/>
      <c r="CG51" s="86"/>
      <c r="CH51" s="86"/>
      <c r="CI51" s="86"/>
      <c r="CJ51" s="86"/>
      <c r="CK51" s="86"/>
      <c r="CL51" s="86"/>
      <c r="CM51" s="86"/>
      <c r="CN51" s="86"/>
      <c r="CO51" s="86"/>
      <c r="CP51" s="86"/>
      <c r="CQ51" s="86"/>
      <c r="CR51" s="86"/>
      <c r="CS51" s="86"/>
      <c r="CT51" s="86"/>
      <c r="CU51" s="86"/>
    </row>
    <row r="52" spans="8:99" s="227" customFormat="1" x14ac:dyDescent="0.3">
      <c r="H52" s="238"/>
      <c r="I52" s="238"/>
      <c r="J52" s="238"/>
      <c r="K52" s="238"/>
      <c r="L52" s="238"/>
      <c r="M52" s="238"/>
      <c r="N52" s="238"/>
      <c r="O52" s="199"/>
      <c r="P52" s="86"/>
      <c r="Q52" s="86"/>
      <c r="R52" s="86"/>
      <c r="S52" s="86"/>
      <c r="T52" s="86"/>
      <c r="U52" s="202"/>
      <c r="V52" s="86"/>
      <c r="W52" s="86"/>
      <c r="X52" s="86"/>
      <c r="Y52" s="86"/>
      <c r="Z52" s="86"/>
      <c r="AA52" s="86"/>
      <c r="AB52" s="86"/>
      <c r="AC52" s="86"/>
      <c r="AD52" s="86"/>
      <c r="AE52" s="86"/>
      <c r="AF52" s="86"/>
      <c r="AG52" s="86"/>
      <c r="AH52" s="86"/>
      <c r="AI52" s="86"/>
      <c r="AJ52" s="86"/>
      <c r="AK52" s="86"/>
      <c r="AL52" s="86"/>
      <c r="AM52" s="86"/>
      <c r="AN52" s="86"/>
      <c r="AO52" s="86"/>
      <c r="AP52" s="86"/>
      <c r="AQ52" s="86"/>
      <c r="AR52" s="199"/>
      <c r="AS52" s="86"/>
      <c r="AT52" s="86"/>
      <c r="AU52" s="86"/>
      <c r="AV52" s="225"/>
      <c r="AW52" s="86"/>
      <c r="AX52" s="86"/>
      <c r="AY52" s="239"/>
      <c r="AZ52" s="86"/>
      <c r="BA52" s="86"/>
      <c r="BB52" s="202"/>
      <c r="BC52" s="86"/>
      <c r="BD52" s="86"/>
      <c r="BE52" s="86"/>
      <c r="BF52" s="86"/>
      <c r="BG52" s="86"/>
      <c r="BH52" s="86"/>
      <c r="BI52" s="86"/>
      <c r="BJ52" s="86"/>
      <c r="BK52" s="86"/>
      <c r="BL52" s="86"/>
      <c r="BM52" s="86"/>
      <c r="BN52" s="86"/>
      <c r="BO52" s="86"/>
      <c r="BP52" s="202"/>
      <c r="BQ52" s="202"/>
      <c r="BR52" s="202"/>
      <c r="BS52" s="86"/>
      <c r="BT52" s="86"/>
      <c r="BU52" s="86"/>
      <c r="BV52" s="86"/>
      <c r="BW52" s="86"/>
      <c r="BX52" s="86"/>
      <c r="BY52" s="86"/>
      <c r="BZ52" s="86"/>
      <c r="CA52" s="86"/>
      <c r="CB52" s="86"/>
      <c r="CC52" s="86"/>
      <c r="CD52" s="86"/>
      <c r="CE52" s="86"/>
      <c r="CF52" s="86"/>
      <c r="CG52" s="86"/>
      <c r="CH52" s="86"/>
      <c r="CI52" s="86"/>
      <c r="CJ52" s="86"/>
      <c r="CK52" s="86"/>
      <c r="CL52" s="86"/>
      <c r="CM52" s="86"/>
      <c r="CN52" s="86"/>
      <c r="CO52" s="86"/>
      <c r="CP52" s="86"/>
      <c r="CQ52" s="86"/>
      <c r="CR52" s="86"/>
      <c r="CS52" s="86"/>
      <c r="CT52" s="86"/>
      <c r="CU52" s="86"/>
    </row>
    <row r="53" spans="8:99" s="227" customFormat="1" x14ac:dyDescent="0.3">
      <c r="H53" s="238"/>
      <c r="I53" s="238"/>
      <c r="J53" s="238"/>
      <c r="K53" s="238"/>
      <c r="L53" s="238"/>
      <c r="M53" s="238"/>
      <c r="N53" s="238"/>
      <c r="O53" s="199"/>
      <c r="P53" s="86"/>
      <c r="Q53" s="86"/>
      <c r="R53" s="86"/>
      <c r="S53" s="86"/>
      <c r="T53" s="86"/>
      <c r="U53" s="202"/>
      <c r="V53" s="86"/>
      <c r="W53" s="86"/>
      <c r="X53" s="86"/>
      <c r="Y53" s="86"/>
      <c r="Z53" s="86"/>
      <c r="AA53" s="86"/>
      <c r="AB53" s="86"/>
      <c r="AC53" s="86"/>
      <c r="AD53" s="86"/>
      <c r="AE53" s="86"/>
      <c r="AF53" s="86"/>
      <c r="AG53" s="86"/>
      <c r="AH53" s="86"/>
      <c r="AI53" s="86"/>
      <c r="AJ53" s="86"/>
      <c r="AK53" s="86"/>
      <c r="AL53" s="86"/>
      <c r="AM53" s="86"/>
      <c r="AN53" s="86"/>
      <c r="AO53" s="86"/>
      <c r="AP53" s="86"/>
      <c r="AQ53" s="86"/>
      <c r="AR53" s="199"/>
      <c r="AS53" s="86"/>
      <c r="AT53" s="86"/>
      <c r="AU53" s="86"/>
      <c r="AV53" s="225"/>
      <c r="AW53" s="86"/>
      <c r="AX53" s="86"/>
      <c r="AY53" s="239"/>
      <c r="AZ53" s="86"/>
      <c r="BA53" s="86"/>
      <c r="BB53" s="202"/>
      <c r="BC53" s="86"/>
      <c r="BD53" s="86"/>
      <c r="BE53" s="86"/>
      <c r="BF53" s="86"/>
      <c r="BG53" s="86"/>
      <c r="BH53" s="86"/>
      <c r="BI53" s="86"/>
      <c r="BJ53" s="86"/>
      <c r="BK53" s="86"/>
      <c r="BL53" s="86"/>
      <c r="BM53" s="86"/>
      <c r="BN53" s="86"/>
      <c r="BO53" s="86"/>
      <c r="BP53" s="202"/>
      <c r="BQ53" s="202"/>
      <c r="BR53" s="202"/>
      <c r="BS53" s="86"/>
      <c r="BT53" s="86"/>
      <c r="BU53" s="86"/>
      <c r="BV53" s="86"/>
      <c r="BW53" s="86"/>
      <c r="BX53" s="86"/>
      <c r="BY53" s="86"/>
      <c r="BZ53" s="86"/>
      <c r="CA53" s="86"/>
      <c r="CB53" s="86"/>
      <c r="CC53" s="86"/>
      <c r="CD53" s="86"/>
      <c r="CE53" s="86"/>
      <c r="CF53" s="86"/>
      <c r="CG53" s="86"/>
      <c r="CH53" s="86"/>
      <c r="CI53" s="86"/>
      <c r="CJ53" s="86"/>
      <c r="CK53" s="86"/>
      <c r="CL53" s="86"/>
      <c r="CM53" s="86"/>
      <c r="CN53" s="86"/>
      <c r="CO53" s="86"/>
      <c r="CP53" s="86"/>
      <c r="CQ53" s="86"/>
      <c r="CR53" s="86"/>
      <c r="CS53" s="86"/>
      <c r="CT53" s="86"/>
      <c r="CU53" s="86"/>
    </row>
    <row r="54" spans="8:99" s="227" customFormat="1" x14ac:dyDescent="0.3">
      <c r="H54" s="238"/>
      <c r="I54" s="238"/>
      <c r="J54" s="238"/>
      <c r="K54" s="238"/>
      <c r="L54" s="238"/>
      <c r="M54" s="238"/>
      <c r="N54" s="238"/>
      <c r="O54" s="199"/>
      <c r="P54" s="86"/>
      <c r="Q54" s="86"/>
      <c r="R54" s="86"/>
      <c r="S54" s="86"/>
      <c r="T54" s="86"/>
      <c r="U54" s="202"/>
      <c r="V54" s="86"/>
      <c r="W54" s="86"/>
      <c r="X54" s="86"/>
      <c r="Y54" s="86"/>
      <c r="Z54" s="86"/>
      <c r="AA54" s="86"/>
      <c r="AB54" s="86"/>
      <c r="AC54" s="86"/>
      <c r="AD54" s="86"/>
      <c r="AE54" s="86"/>
      <c r="AF54" s="86"/>
      <c r="AG54" s="86"/>
      <c r="AH54" s="86"/>
      <c r="AI54" s="86"/>
      <c r="AJ54" s="86"/>
      <c r="AK54" s="86"/>
      <c r="AL54" s="86"/>
      <c r="AM54" s="86"/>
      <c r="AN54" s="86"/>
      <c r="AO54" s="86"/>
      <c r="AP54" s="86"/>
      <c r="AQ54" s="86"/>
      <c r="AR54" s="199"/>
      <c r="AS54" s="86"/>
      <c r="AT54" s="86"/>
      <c r="AU54" s="86"/>
      <c r="AV54" s="225"/>
      <c r="AW54" s="86"/>
      <c r="AX54" s="86"/>
      <c r="AY54" s="239"/>
      <c r="AZ54" s="86"/>
      <c r="BA54" s="86"/>
      <c r="BB54" s="202"/>
      <c r="BC54" s="86"/>
      <c r="BD54" s="86"/>
      <c r="BE54" s="86"/>
      <c r="BF54" s="86"/>
      <c r="BG54" s="86"/>
      <c r="BH54" s="86"/>
      <c r="BI54" s="86"/>
      <c r="BJ54" s="86"/>
      <c r="BK54" s="86"/>
      <c r="BL54" s="86"/>
      <c r="BM54" s="86"/>
      <c r="BN54" s="86"/>
      <c r="BO54" s="86"/>
      <c r="BP54" s="202"/>
      <c r="BQ54" s="202"/>
      <c r="BR54" s="202"/>
      <c r="BS54" s="86"/>
      <c r="BT54" s="86"/>
      <c r="BU54" s="86"/>
      <c r="BV54" s="86"/>
      <c r="BW54" s="86"/>
      <c r="BX54" s="86"/>
      <c r="BY54" s="86"/>
      <c r="BZ54" s="86"/>
      <c r="CA54" s="86"/>
      <c r="CB54" s="86"/>
      <c r="CC54" s="86"/>
      <c r="CD54" s="86"/>
      <c r="CE54" s="86"/>
      <c r="CF54" s="86"/>
      <c r="CG54" s="86"/>
      <c r="CH54" s="86"/>
      <c r="CI54" s="86"/>
      <c r="CJ54" s="86"/>
      <c r="CK54" s="86"/>
      <c r="CL54" s="86"/>
      <c r="CM54" s="86"/>
      <c r="CN54" s="86"/>
      <c r="CO54" s="86"/>
      <c r="CP54" s="86"/>
      <c r="CQ54" s="86"/>
      <c r="CR54" s="86"/>
      <c r="CS54" s="86"/>
      <c r="CT54" s="86"/>
      <c r="CU54" s="86"/>
    </row>
    <row r="55" spans="8:99" s="227" customFormat="1" x14ac:dyDescent="0.3">
      <c r="H55" s="238"/>
      <c r="I55" s="238"/>
      <c r="J55" s="238"/>
      <c r="K55" s="238"/>
      <c r="L55" s="238"/>
      <c r="M55" s="238"/>
      <c r="N55" s="238"/>
      <c r="O55" s="199"/>
      <c r="P55" s="86"/>
      <c r="Q55" s="86"/>
      <c r="R55" s="86"/>
      <c r="S55" s="86"/>
      <c r="T55" s="86"/>
      <c r="U55" s="202"/>
      <c r="V55" s="86"/>
      <c r="W55" s="86"/>
      <c r="X55" s="86"/>
      <c r="Y55" s="86"/>
      <c r="Z55" s="86"/>
      <c r="AA55" s="86"/>
      <c r="AB55" s="86"/>
      <c r="AC55" s="86"/>
      <c r="AD55" s="86"/>
      <c r="AE55" s="86"/>
      <c r="AF55" s="86"/>
      <c r="AG55" s="86"/>
      <c r="AH55" s="86"/>
      <c r="AI55" s="86"/>
      <c r="AJ55" s="86"/>
      <c r="AK55" s="86"/>
      <c r="AL55" s="86"/>
      <c r="AM55" s="86"/>
      <c r="AN55" s="86"/>
      <c r="AO55" s="86"/>
      <c r="AP55" s="86"/>
      <c r="AQ55" s="86"/>
      <c r="AR55" s="199"/>
      <c r="AS55" s="86"/>
      <c r="AT55" s="86"/>
      <c r="AU55" s="86"/>
      <c r="AV55" s="225"/>
      <c r="AW55" s="86"/>
      <c r="AX55" s="86"/>
      <c r="AY55" s="239"/>
      <c r="AZ55" s="86"/>
      <c r="BA55" s="86"/>
      <c r="BB55" s="202"/>
      <c r="BC55" s="86"/>
      <c r="BD55" s="86"/>
      <c r="BE55" s="86"/>
      <c r="BF55" s="86"/>
      <c r="BG55" s="86"/>
      <c r="BH55" s="86"/>
      <c r="BI55" s="86"/>
      <c r="BJ55" s="86"/>
      <c r="BK55" s="86"/>
      <c r="BL55" s="86"/>
      <c r="BM55" s="86"/>
      <c r="BN55" s="86"/>
      <c r="BO55" s="86"/>
      <c r="BP55" s="202"/>
      <c r="BQ55" s="202"/>
      <c r="BR55" s="202"/>
      <c r="BS55" s="86"/>
      <c r="BT55" s="86"/>
      <c r="BU55" s="86"/>
      <c r="BV55" s="86"/>
      <c r="BW55" s="86"/>
      <c r="BX55" s="86"/>
      <c r="BY55" s="86"/>
      <c r="BZ55" s="86"/>
      <c r="CA55" s="86"/>
      <c r="CB55" s="86"/>
      <c r="CC55" s="86"/>
      <c r="CD55" s="86"/>
      <c r="CE55" s="86"/>
      <c r="CF55" s="86"/>
      <c r="CG55" s="86"/>
      <c r="CH55" s="86"/>
      <c r="CI55" s="86"/>
      <c r="CJ55" s="86"/>
      <c r="CK55" s="86"/>
      <c r="CL55" s="86"/>
      <c r="CM55" s="86"/>
      <c r="CN55" s="86"/>
      <c r="CO55" s="86"/>
      <c r="CP55" s="86"/>
      <c r="CQ55" s="86"/>
      <c r="CR55" s="86"/>
      <c r="CS55" s="86"/>
      <c r="CT55" s="86"/>
      <c r="CU55" s="86"/>
    </row>
    <row r="56" spans="8:99" s="227" customFormat="1" x14ac:dyDescent="0.3">
      <c r="H56" s="238"/>
      <c r="I56" s="238"/>
      <c r="J56" s="238"/>
      <c r="K56" s="238"/>
      <c r="L56" s="238"/>
      <c r="M56" s="238"/>
      <c r="N56" s="238"/>
      <c r="O56" s="199"/>
      <c r="P56" s="86"/>
      <c r="Q56" s="86"/>
      <c r="R56" s="86"/>
      <c r="S56" s="86"/>
      <c r="T56" s="86"/>
      <c r="U56" s="202"/>
      <c r="V56" s="86"/>
      <c r="W56" s="86"/>
      <c r="X56" s="86"/>
      <c r="Y56" s="86"/>
      <c r="Z56" s="86"/>
      <c r="AA56" s="86"/>
      <c r="AB56" s="86"/>
      <c r="AC56" s="86"/>
      <c r="AD56" s="86"/>
      <c r="AE56" s="86"/>
      <c r="AF56" s="86"/>
      <c r="AG56" s="86"/>
      <c r="AH56" s="86"/>
      <c r="AI56" s="86"/>
      <c r="AJ56" s="86"/>
      <c r="AK56" s="86"/>
      <c r="AL56" s="86"/>
      <c r="AM56" s="86"/>
      <c r="AN56" s="86"/>
      <c r="AO56" s="86"/>
      <c r="AP56" s="86"/>
      <c r="AQ56" s="86"/>
      <c r="AR56" s="199"/>
      <c r="AS56" s="86"/>
      <c r="AT56" s="86"/>
      <c r="AU56" s="86"/>
      <c r="AV56" s="225"/>
      <c r="AW56" s="86"/>
      <c r="AX56" s="86"/>
      <c r="AY56" s="239"/>
      <c r="AZ56" s="86"/>
      <c r="BA56" s="86"/>
      <c r="BB56" s="202"/>
      <c r="BC56" s="86"/>
      <c r="BD56" s="86"/>
      <c r="BE56" s="86"/>
      <c r="BF56" s="86"/>
      <c r="BG56" s="86"/>
      <c r="BH56" s="86"/>
      <c r="BI56" s="86"/>
      <c r="BJ56" s="86"/>
      <c r="BK56" s="86"/>
      <c r="BL56" s="86"/>
      <c r="BM56" s="86"/>
      <c r="BN56" s="86"/>
      <c r="BO56" s="86"/>
      <c r="BP56" s="202"/>
      <c r="BQ56" s="202"/>
      <c r="BR56" s="202"/>
      <c r="BS56" s="86"/>
      <c r="BT56" s="86"/>
      <c r="BU56" s="86"/>
      <c r="BV56" s="86"/>
      <c r="BW56" s="86"/>
      <c r="BX56" s="86"/>
      <c r="BY56" s="86"/>
      <c r="BZ56" s="86"/>
      <c r="CA56" s="86"/>
      <c r="CB56" s="86"/>
      <c r="CC56" s="86"/>
      <c r="CD56" s="86"/>
      <c r="CE56" s="86"/>
      <c r="CF56" s="86"/>
      <c r="CG56" s="86"/>
      <c r="CH56" s="86"/>
      <c r="CI56" s="86"/>
      <c r="CJ56" s="86"/>
      <c r="CK56" s="86"/>
      <c r="CL56" s="86"/>
      <c r="CM56" s="86"/>
      <c r="CN56" s="86"/>
      <c r="CO56" s="86"/>
      <c r="CP56" s="86"/>
      <c r="CQ56" s="86"/>
      <c r="CR56" s="86"/>
      <c r="CS56" s="86"/>
      <c r="CT56" s="86"/>
      <c r="CU56" s="86"/>
    </row>
    <row r="57" spans="8:99" s="227" customFormat="1" x14ac:dyDescent="0.3">
      <c r="H57" s="238"/>
      <c r="I57" s="238"/>
      <c r="J57" s="238"/>
      <c r="K57" s="238"/>
      <c r="L57" s="238"/>
      <c r="M57" s="238"/>
      <c r="N57" s="238"/>
      <c r="O57" s="199"/>
      <c r="P57" s="86"/>
      <c r="Q57" s="86"/>
      <c r="R57" s="86"/>
      <c r="S57" s="86"/>
      <c r="T57" s="86"/>
      <c r="U57" s="202"/>
      <c r="V57" s="86"/>
      <c r="W57" s="86"/>
      <c r="X57" s="86"/>
      <c r="Y57" s="86"/>
      <c r="Z57" s="86"/>
      <c r="AA57" s="86"/>
      <c r="AB57" s="86"/>
      <c r="AC57" s="86"/>
      <c r="AD57" s="86"/>
      <c r="AE57" s="86"/>
      <c r="AF57" s="86"/>
      <c r="AG57" s="86"/>
      <c r="AH57" s="86"/>
      <c r="AI57" s="86"/>
      <c r="AJ57" s="86"/>
      <c r="AK57" s="86"/>
      <c r="AL57" s="86"/>
      <c r="AM57" s="86"/>
      <c r="AN57" s="86"/>
      <c r="AO57" s="86"/>
      <c r="AP57" s="86"/>
      <c r="AQ57" s="86"/>
      <c r="AR57" s="199"/>
      <c r="AS57" s="86"/>
      <c r="AT57" s="86"/>
      <c r="AU57" s="86"/>
      <c r="AV57" s="225"/>
      <c r="AW57" s="86"/>
      <c r="AX57" s="86"/>
      <c r="AY57" s="239"/>
      <c r="AZ57" s="86"/>
      <c r="BA57" s="86"/>
      <c r="BB57" s="202"/>
      <c r="BC57" s="86"/>
      <c r="BD57" s="86"/>
      <c r="BE57" s="86"/>
      <c r="BF57" s="86"/>
      <c r="BG57" s="86"/>
      <c r="BH57" s="86"/>
      <c r="BI57" s="86"/>
      <c r="BJ57" s="86"/>
      <c r="BK57" s="86"/>
      <c r="BL57" s="86"/>
      <c r="BM57" s="86"/>
      <c r="BN57" s="86"/>
      <c r="BO57" s="86"/>
      <c r="BP57" s="202"/>
      <c r="BQ57" s="202"/>
      <c r="BR57" s="202"/>
      <c r="BS57" s="86"/>
      <c r="BT57" s="86"/>
      <c r="BU57" s="86"/>
      <c r="BV57" s="86"/>
      <c r="BW57" s="86"/>
      <c r="BX57" s="86"/>
      <c r="BY57" s="86"/>
      <c r="BZ57" s="86"/>
      <c r="CA57" s="86"/>
      <c r="CB57" s="86"/>
      <c r="CC57" s="86"/>
      <c r="CD57" s="86"/>
      <c r="CE57" s="86"/>
      <c r="CF57" s="86"/>
      <c r="CG57" s="86"/>
      <c r="CH57" s="86"/>
      <c r="CI57" s="86"/>
      <c r="CJ57" s="86"/>
      <c r="CK57" s="86"/>
      <c r="CL57" s="86"/>
      <c r="CM57" s="86"/>
      <c r="CN57" s="86"/>
      <c r="CO57" s="86"/>
      <c r="CP57" s="86"/>
      <c r="CQ57" s="86"/>
      <c r="CR57" s="86"/>
      <c r="CS57" s="86"/>
      <c r="CT57" s="86"/>
      <c r="CU57" s="86"/>
    </row>
    <row r="58" spans="8:99" s="227" customFormat="1" x14ac:dyDescent="0.3">
      <c r="H58" s="238"/>
      <c r="I58" s="238"/>
      <c r="J58" s="238"/>
      <c r="K58" s="238"/>
      <c r="L58" s="238"/>
      <c r="M58" s="238"/>
      <c r="N58" s="238"/>
      <c r="O58" s="199"/>
      <c r="P58" s="86"/>
      <c r="Q58" s="86"/>
      <c r="R58" s="86"/>
      <c r="S58" s="86"/>
      <c r="T58" s="86"/>
      <c r="U58" s="202"/>
      <c r="V58" s="86"/>
      <c r="W58" s="86"/>
      <c r="X58" s="86"/>
      <c r="Y58" s="86"/>
      <c r="Z58" s="86"/>
      <c r="AA58" s="86"/>
      <c r="AB58" s="86"/>
      <c r="AC58" s="86"/>
      <c r="AD58" s="86"/>
      <c r="AE58" s="86"/>
      <c r="AF58" s="86"/>
      <c r="AG58" s="86"/>
      <c r="AH58" s="86"/>
      <c r="AI58" s="86"/>
      <c r="AJ58" s="86"/>
      <c r="AK58" s="86"/>
      <c r="AL58" s="86"/>
      <c r="AM58" s="86"/>
      <c r="AN58" s="86"/>
      <c r="AO58" s="86"/>
      <c r="AP58" s="86"/>
      <c r="AQ58" s="86"/>
      <c r="AR58" s="199"/>
      <c r="AS58" s="86"/>
      <c r="AT58" s="86"/>
      <c r="AU58" s="86"/>
      <c r="AV58" s="225"/>
      <c r="AW58" s="86"/>
      <c r="AX58" s="86"/>
      <c r="AY58" s="239"/>
      <c r="AZ58" s="86"/>
      <c r="BA58" s="86"/>
      <c r="BB58" s="202"/>
      <c r="BC58" s="86"/>
      <c r="BD58" s="86"/>
      <c r="BE58" s="86"/>
      <c r="BF58" s="86"/>
      <c r="BG58" s="86"/>
      <c r="BH58" s="86"/>
      <c r="BI58" s="86"/>
      <c r="BJ58" s="86"/>
      <c r="BK58" s="86"/>
      <c r="BL58" s="86"/>
      <c r="BM58" s="86"/>
      <c r="BN58" s="86"/>
      <c r="BO58" s="86"/>
      <c r="BP58" s="202"/>
      <c r="BQ58" s="202"/>
      <c r="BR58" s="202"/>
      <c r="BS58" s="86"/>
      <c r="BT58" s="86"/>
      <c r="BU58" s="86"/>
      <c r="BV58" s="86"/>
      <c r="BW58" s="86"/>
      <c r="BX58" s="86"/>
      <c r="BY58" s="86"/>
      <c r="BZ58" s="86"/>
      <c r="CA58" s="86"/>
      <c r="CB58" s="86"/>
      <c r="CC58" s="86"/>
      <c r="CD58" s="86"/>
      <c r="CE58" s="86"/>
      <c r="CF58" s="86"/>
      <c r="CG58" s="86"/>
      <c r="CH58" s="86"/>
      <c r="CI58" s="86"/>
      <c r="CJ58" s="86"/>
      <c r="CK58" s="86"/>
      <c r="CL58" s="86"/>
      <c r="CM58" s="86"/>
      <c r="CN58" s="86"/>
      <c r="CO58" s="86"/>
      <c r="CP58" s="86"/>
      <c r="CQ58" s="86"/>
      <c r="CR58" s="86"/>
      <c r="CS58" s="86"/>
      <c r="CT58" s="86"/>
      <c r="CU58" s="86"/>
    </row>
    <row r="59" spans="8:99" s="227" customFormat="1" x14ac:dyDescent="0.3">
      <c r="H59" s="238"/>
      <c r="I59" s="238"/>
      <c r="J59" s="238"/>
      <c r="K59" s="238"/>
      <c r="L59" s="238"/>
      <c r="M59" s="238"/>
      <c r="N59" s="238"/>
      <c r="O59" s="199"/>
      <c r="P59" s="86"/>
      <c r="Q59" s="86"/>
      <c r="R59" s="86"/>
      <c r="S59" s="86"/>
      <c r="T59" s="86"/>
      <c r="U59" s="202"/>
      <c r="V59" s="86"/>
      <c r="W59" s="86"/>
      <c r="X59" s="86"/>
      <c r="Y59" s="86"/>
      <c r="Z59" s="86"/>
      <c r="AA59" s="86"/>
      <c r="AB59" s="86"/>
      <c r="AC59" s="86"/>
      <c r="AD59" s="86"/>
      <c r="AE59" s="86"/>
      <c r="AF59" s="86"/>
      <c r="AG59" s="86"/>
      <c r="AH59" s="86"/>
      <c r="AI59" s="86"/>
      <c r="AJ59" s="86"/>
      <c r="AK59" s="86"/>
      <c r="AL59" s="86"/>
      <c r="AM59" s="86"/>
      <c r="AN59" s="86"/>
      <c r="AO59" s="86"/>
      <c r="AP59" s="86"/>
      <c r="AQ59" s="86"/>
      <c r="AR59" s="199"/>
      <c r="AS59" s="86"/>
      <c r="AT59" s="86"/>
      <c r="AU59" s="86"/>
      <c r="AV59" s="225"/>
      <c r="AW59" s="86"/>
      <c r="AX59" s="86"/>
      <c r="AY59" s="239"/>
      <c r="AZ59" s="86"/>
      <c r="BA59" s="86"/>
      <c r="BB59" s="202"/>
      <c r="BC59" s="86"/>
      <c r="BD59" s="86"/>
      <c r="BE59" s="86"/>
      <c r="BF59" s="86"/>
      <c r="BG59" s="86"/>
      <c r="BH59" s="86"/>
      <c r="BI59" s="86"/>
      <c r="BJ59" s="86"/>
      <c r="BK59" s="86"/>
      <c r="BL59" s="86"/>
      <c r="BM59" s="86"/>
      <c r="BN59" s="86"/>
      <c r="BO59" s="86"/>
      <c r="BP59" s="202"/>
      <c r="BQ59" s="202"/>
      <c r="BR59" s="202"/>
      <c r="BS59" s="86"/>
      <c r="BT59" s="86"/>
      <c r="BU59" s="86"/>
      <c r="BV59" s="86"/>
      <c r="BW59" s="86"/>
      <c r="BX59" s="86"/>
      <c r="BY59" s="86"/>
      <c r="BZ59" s="86"/>
      <c r="CA59" s="86"/>
      <c r="CB59" s="86"/>
      <c r="CC59" s="86"/>
      <c r="CD59" s="86"/>
      <c r="CE59" s="86"/>
      <c r="CF59" s="86"/>
      <c r="CG59" s="86"/>
      <c r="CH59" s="86"/>
      <c r="CI59" s="86"/>
      <c r="CJ59" s="86"/>
      <c r="CK59" s="86"/>
      <c r="CL59" s="86"/>
      <c r="CM59" s="86"/>
      <c r="CN59" s="86"/>
      <c r="CO59" s="86"/>
      <c r="CP59" s="86"/>
      <c r="CQ59" s="86"/>
      <c r="CR59" s="86"/>
      <c r="CS59" s="86"/>
      <c r="CT59" s="86"/>
      <c r="CU59" s="86"/>
    </row>
    <row r="60" spans="8:99" x14ac:dyDescent="0.3">
      <c r="AY60" s="107"/>
    </row>
    <row r="61" spans="8:99" x14ac:dyDescent="0.3">
      <c r="AY61" s="107"/>
    </row>
    <row r="62" spans="8:99" x14ac:dyDescent="0.3">
      <c r="AY62" s="107"/>
    </row>
    <row r="63" spans="8:99" x14ac:dyDescent="0.3">
      <c r="AY63" s="107"/>
    </row>
    <row r="64" spans="8:99" x14ac:dyDescent="0.3">
      <c r="AY64" s="107"/>
    </row>
    <row r="65" spans="51:51" x14ac:dyDescent="0.3">
      <c r="AY65" s="107"/>
    </row>
    <row r="66" spans="51:51" x14ac:dyDescent="0.3">
      <c r="AY66" s="107"/>
    </row>
  </sheetData>
  <pageMargins left="0.7" right="0.7" top="0.75" bottom="0.75" header="0.3" footer="0.3"/>
  <pageSetup orientation="portrait" verticalDpi="0" r:id="rId1"/>
  <headerFooter>
    <oddFooter>&amp;L&amp;F&amp;C&amp;A&amp;R&amp;D&amp;T</oddFooter>
  </headerFooter>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50"/>
  </sheetPr>
  <dimension ref="B2:DM68"/>
  <sheetViews>
    <sheetView zoomScale="80" zoomScaleNormal="80" workbookViewId="0"/>
  </sheetViews>
  <sheetFormatPr defaultRowHeight="14.4" x14ac:dyDescent="0.3"/>
  <cols>
    <col min="1" max="1" width="3.6640625" customWidth="1"/>
    <col min="2" max="2" width="9.33203125" style="75" bestFit="1" customWidth="1"/>
    <col min="3" max="3" width="9.109375" style="75"/>
    <col min="4" max="4" width="9.33203125" style="136" customWidth="1"/>
    <col min="5" max="5" width="11.33203125" style="75" customWidth="1"/>
    <col min="6" max="6" width="11.44140625" style="75" customWidth="1"/>
    <col min="7" max="7" width="15.33203125" style="75" customWidth="1"/>
    <col min="8" max="8" width="11.33203125" style="75" customWidth="1"/>
    <col min="9" max="10" width="8.88671875" customWidth="1"/>
    <col min="11" max="11" width="9.109375" style="107"/>
    <col min="12" max="12" width="17" style="107" customWidth="1"/>
    <col min="13" max="13" width="15.88671875" style="107" bestFit="1" customWidth="1"/>
    <col min="14" max="14" width="15.88671875" style="107" customWidth="1"/>
    <col min="15" max="15" width="17.88671875" style="107" bestFit="1" customWidth="1"/>
    <col min="16" max="17" width="15.88671875" style="107" customWidth="1"/>
    <col min="18" max="18" width="9.109375" style="107"/>
    <col min="19" max="19" width="9.109375" style="107" customWidth="1"/>
    <col min="20" max="21" width="9.109375" style="107"/>
    <col min="22" max="22" width="12.33203125" customWidth="1"/>
    <col min="23" max="23" width="13" bestFit="1" customWidth="1"/>
    <col min="24" max="24" width="12.44140625" customWidth="1"/>
    <col min="25" max="25" width="12.88671875" customWidth="1"/>
    <col min="26" max="27" width="12.5546875" customWidth="1"/>
    <col min="32" max="32" width="13.33203125" customWidth="1"/>
    <col min="33" max="33" width="12.6640625" customWidth="1"/>
    <col min="34" max="34" width="12.33203125" bestFit="1" customWidth="1"/>
    <col min="35" max="35" width="12" customWidth="1"/>
    <col min="36" max="36" width="12.33203125" bestFit="1" customWidth="1"/>
    <col min="37" max="37" width="12.5546875" customWidth="1"/>
    <col min="42" max="42" width="13" customWidth="1"/>
    <col min="43" max="43" width="13" bestFit="1" customWidth="1"/>
    <col min="44" max="44" width="12" customWidth="1"/>
    <col min="45" max="46" width="12.33203125" bestFit="1" customWidth="1"/>
    <col min="47" max="47" width="12" customWidth="1"/>
    <col min="52" max="52" width="12.109375" customWidth="1"/>
    <col min="53" max="53" width="13" bestFit="1" customWidth="1"/>
    <col min="54" max="54" width="12.33203125" bestFit="1" customWidth="1"/>
    <col min="55" max="57" width="12" customWidth="1"/>
    <col min="62" max="62" width="12.33203125" customWidth="1"/>
    <col min="63" max="63" width="11.6640625" customWidth="1"/>
    <col min="64" max="64" width="12.109375" customWidth="1"/>
    <col min="65" max="65" width="12" customWidth="1"/>
    <col min="66" max="66" width="12.33203125" customWidth="1"/>
    <col min="67" max="67" width="11.5546875" customWidth="1"/>
    <col min="72" max="72" width="12.44140625" customWidth="1"/>
    <col min="73" max="73" width="13" bestFit="1" customWidth="1"/>
    <col min="74" max="77" width="12.33203125" bestFit="1" customWidth="1"/>
    <col min="82" max="82" width="12.33203125" customWidth="1"/>
    <col min="83" max="83" width="13" bestFit="1" customWidth="1"/>
    <col min="84" max="84" width="12.6640625" customWidth="1"/>
    <col min="85" max="85" width="12.5546875" customWidth="1"/>
    <col min="86" max="86" width="12.33203125" bestFit="1" customWidth="1"/>
    <col min="87" max="87" width="12.88671875" customWidth="1"/>
    <col min="89" max="89" width="10.6640625" customWidth="1"/>
    <col min="90" max="90" width="10.5546875" customWidth="1"/>
    <col min="91" max="91" width="11.33203125" customWidth="1"/>
    <col min="92" max="92" width="13.5546875" customWidth="1"/>
    <col min="93" max="93" width="13" bestFit="1" customWidth="1"/>
    <col min="94" max="96" width="12.33203125" bestFit="1" customWidth="1"/>
    <col min="97" max="97" width="13.88671875" bestFit="1" customWidth="1"/>
    <col min="99" max="99" width="11" customWidth="1"/>
    <col min="100" max="100" width="11.33203125" customWidth="1"/>
    <col min="101" max="101" width="11.109375" customWidth="1"/>
    <col min="102" max="102" width="11.44140625" customWidth="1"/>
    <col min="103" max="103" width="12.88671875" customWidth="1"/>
    <col min="104" max="104" width="11" customWidth="1"/>
    <col min="105" max="105" width="11.109375" customWidth="1"/>
    <col min="106" max="106" width="11.5546875" customWidth="1"/>
    <col min="107" max="107" width="11" customWidth="1"/>
    <col min="109" max="109" width="11.44140625" customWidth="1"/>
    <col min="110" max="110" width="11.6640625" customWidth="1"/>
    <col min="111" max="111" width="11.33203125" customWidth="1"/>
    <col min="112" max="112" width="11.44140625" customWidth="1"/>
    <col min="113" max="113" width="11.6640625" customWidth="1"/>
    <col min="114" max="115" width="11.44140625" customWidth="1"/>
    <col min="116" max="116" width="12" customWidth="1"/>
    <col min="117" max="117" width="11.88671875" customWidth="1"/>
  </cols>
  <sheetData>
    <row r="2" spans="2:117" x14ac:dyDescent="0.3">
      <c r="AE2" s="107"/>
      <c r="AO2" s="107"/>
      <c r="AY2" s="107"/>
      <c r="BI2" s="107"/>
      <c r="BS2" s="107"/>
      <c r="CC2" s="107"/>
      <c r="CM2" s="107"/>
      <c r="CN2" s="257"/>
      <c r="CW2" s="107"/>
      <c r="DG2" s="107"/>
    </row>
    <row r="4" spans="2:117" x14ac:dyDescent="0.3">
      <c r="G4" s="241"/>
      <c r="K4" s="781" t="s">
        <v>675</v>
      </c>
      <c r="L4" s="782"/>
      <c r="M4" s="782"/>
      <c r="N4" s="782"/>
      <c r="O4" s="782"/>
      <c r="P4" s="782"/>
      <c r="Q4" s="783"/>
      <c r="U4" s="781" t="s">
        <v>676</v>
      </c>
      <c r="V4" s="782"/>
      <c r="W4" s="782"/>
      <c r="X4" s="782"/>
      <c r="Y4" s="782"/>
      <c r="Z4" s="782"/>
      <c r="AA4" s="783"/>
      <c r="AE4" s="781" t="s">
        <v>692</v>
      </c>
      <c r="AF4" s="782"/>
      <c r="AG4" s="782"/>
      <c r="AH4" s="782"/>
      <c r="AI4" s="782"/>
      <c r="AJ4" s="782"/>
      <c r="AK4" s="783"/>
      <c r="AO4" s="781" t="s">
        <v>678</v>
      </c>
      <c r="AP4" s="782"/>
      <c r="AQ4" s="782"/>
      <c r="AR4" s="782"/>
      <c r="AS4" s="782"/>
      <c r="AT4" s="782"/>
      <c r="AU4" s="783"/>
      <c r="AY4" s="781" t="s">
        <v>679</v>
      </c>
      <c r="AZ4" s="782"/>
      <c r="BA4" s="782"/>
      <c r="BB4" s="782"/>
      <c r="BC4" s="782"/>
      <c r="BD4" s="782"/>
      <c r="BE4" s="783"/>
      <c r="BI4" s="781" t="s">
        <v>680</v>
      </c>
      <c r="BJ4" s="782"/>
      <c r="BK4" s="782"/>
      <c r="BL4" s="782"/>
      <c r="BM4" s="782"/>
      <c r="BN4" s="782"/>
      <c r="BO4" s="783"/>
      <c r="BS4" s="781" t="s">
        <v>681</v>
      </c>
      <c r="BT4" s="782"/>
      <c r="BU4" s="782"/>
      <c r="BV4" s="782"/>
      <c r="BW4" s="782"/>
      <c r="BX4" s="782"/>
      <c r="BY4" s="783"/>
      <c r="CC4" s="781" t="s">
        <v>682</v>
      </c>
      <c r="CD4" s="782"/>
      <c r="CE4" s="782"/>
      <c r="CF4" s="782"/>
      <c r="CG4" s="782"/>
      <c r="CH4" s="782"/>
      <c r="CI4" s="783"/>
      <c r="CM4" s="781" t="s">
        <v>335</v>
      </c>
      <c r="CN4" s="782"/>
      <c r="CO4" s="782"/>
      <c r="CP4" s="782"/>
      <c r="CQ4" s="782"/>
      <c r="CR4" s="782"/>
      <c r="CS4" s="783"/>
      <c r="CW4" s="781" t="s">
        <v>393</v>
      </c>
      <c r="CX4" s="782"/>
      <c r="CY4" s="782"/>
      <c r="CZ4" s="782"/>
      <c r="DA4" s="782"/>
      <c r="DB4" s="782"/>
      <c r="DC4" s="783"/>
      <c r="DG4" s="781" t="s">
        <v>683</v>
      </c>
      <c r="DH4" s="782"/>
      <c r="DI4" s="782"/>
      <c r="DJ4" s="782"/>
      <c r="DK4" s="782"/>
      <c r="DL4" s="782"/>
      <c r="DM4" s="783"/>
    </row>
    <row r="5" spans="2:117" s="244" customFormat="1" x14ac:dyDescent="0.3">
      <c r="B5" s="242"/>
      <c r="C5" s="242"/>
      <c r="D5" s="243"/>
      <c r="E5" s="242"/>
      <c r="F5" s="242"/>
      <c r="G5" s="242"/>
      <c r="H5" s="242"/>
      <c r="K5" s="245" t="s">
        <v>142</v>
      </c>
      <c r="L5" s="246" t="s">
        <v>150</v>
      </c>
      <c r="M5" s="247"/>
      <c r="N5" s="247"/>
      <c r="O5" s="247"/>
      <c r="P5" s="247"/>
      <c r="Q5" s="248"/>
      <c r="R5" s="249"/>
      <c r="U5" s="245" t="s">
        <v>142</v>
      </c>
      <c r="V5" s="246" t="s">
        <v>150</v>
      </c>
      <c r="W5" s="247"/>
      <c r="X5" s="247"/>
      <c r="Y5" s="247"/>
      <c r="Z5" s="247"/>
      <c r="AA5" s="248"/>
      <c r="AE5" s="245" t="s">
        <v>142</v>
      </c>
      <c r="AF5" s="246" t="s">
        <v>150</v>
      </c>
      <c r="AG5" s="247"/>
      <c r="AH5" s="247"/>
      <c r="AI5" s="247"/>
      <c r="AJ5" s="247"/>
      <c r="AK5" s="248"/>
      <c r="AO5" s="245" t="s">
        <v>142</v>
      </c>
      <c r="AP5" s="246" t="s">
        <v>150</v>
      </c>
      <c r="AQ5" s="247"/>
      <c r="AR5" s="247"/>
      <c r="AS5" s="247"/>
      <c r="AT5" s="247"/>
      <c r="AU5" s="248"/>
      <c r="AY5" s="245" t="s">
        <v>142</v>
      </c>
      <c r="AZ5" s="246" t="s">
        <v>150</v>
      </c>
      <c r="BA5" s="247"/>
      <c r="BB5" s="247"/>
      <c r="BC5" s="247"/>
      <c r="BD5" s="247"/>
      <c r="BE5" s="248"/>
      <c r="BI5" s="245" t="s">
        <v>142</v>
      </c>
      <c r="BJ5" s="246" t="s">
        <v>150</v>
      </c>
      <c r="BK5" s="247"/>
      <c r="BL5" s="247"/>
      <c r="BM5" s="247"/>
      <c r="BN5" s="247"/>
      <c r="BO5" s="248"/>
      <c r="BS5" s="245" t="s">
        <v>142</v>
      </c>
      <c r="BT5" s="246" t="s">
        <v>150</v>
      </c>
      <c r="BU5" s="247"/>
      <c r="BV5" s="247"/>
      <c r="BW5" s="247"/>
      <c r="BX5" s="247"/>
      <c r="BY5" s="248"/>
      <c r="CC5" s="245" t="s">
        <v>142</v>
      </c>
      <c r="CD5" s="246" t="s">
        <v>150</v>
      </c>
      <c r="CE5" s="247"/>
      <c r="CF5" s="247"/>
      <c r="CG5" s="247"/>
      <c r="CH5" s="247"/>
      <c r="CI5" s="248"/>
      <c r="CM5" s="245" t="s">
        <v>142</v>
      </c>
      <c r="CN5" s="246" t="s">
        <v>150</v>
      </c>
      <c r="CO5" s="247"/>
      <c r="CP5" s="247"/>
      <c r="CQ5" s="247"/>
      <c r="CR5" s="247"/>
      <c r="CS5" s="248"/>
      <c r="CW5" s="245" t="s">
        <v>142</v>
      </c>
      <c r="CX5" s="246" t="s">
        <v>150</v>
      </c>
      <c r="CY5" s="247"/>
      <c r="CZ5" s="247"/>
      <c r="DA5" s="247"/>
      <c r="DB5" s="247"/>
      <c r="DC5" s="248"/>
      <c r="DG5" s="245" t="s">
        <v>142</v>
      </c>
      <c r="DH5" s="246" t="s">
        <v>150</v>
      </c>
      <c r="DI5" s="247"/>
      <c r="DJ5" s="247"/>
      <c r="DK5" s="247"/>
      <c r="DL5" s="247"/>
      <c r="DM5" s="248"/>
    </row>
    <row r="6" spans="2:117" s="33" customFormat="1" ht="43.2" x14ac:dyDescent="0.3">
      <c r="B6" s="34" t="s">
        <v>51</v>
      </c>
      <c r="C6" s="35" t="s">
        <v>52</v>
      </c>
      <c r="D6" s="36" t="s">
        <v>53</v>
      </c>
      <c r="E6" s="37" t="s">
        <v>54</v>
      </c>
      <c r="F6" s="38" t="s">
        <v>55</v>
      </c>
      <c r="G6" s="36" t="s">
        <v>56</v>
      </c>
      <c r="H6" s="37" t="s">
        <v>57</v>
      </c>
      <c r="I6" s="39" t="s">
        <v>58</v>
      </c>
      <c r="J6" s="40" t="s">
        <v>59</v>
      </c>
      <c r="K6" s="41" t="s">
        <v>60</v>
      </c>
      <c r="L6" s="42" t="s">
        <v>61</v>
      </c>
      <c r="M6" s="43" t="s">
        <v>62</v>
      </c>
      <c r="N6" s="43" t="s">
        <v>63</v>
      </c>
      <c r="O6" s="43" t="s">
        <v>64</v>
      </c>
      <c r="P6" s="43" t="s">
        <v>65</v>
      </c>
      <c r="Q6" s="44" t="s">
        <v>66</v>
      </c>
      <c r="R6" s="45"/>
      <c r="S6" s="39" t="s">
        <v>58</v>
      </c>
      <c r="T6" s="40" t="s">
        <v>59</v>
      </c>
      <c r="U6" s="41" t="s">
        <v>60</v>
      </c>
      <c r="V6" s="42" t="s">
        <v>61</v>
      </c>
      <c r="W6" s="43" t="s">
        <v>62</v>
      </c>
      <c r="X6" s="43" t="s">
        <v>63</v>
      </c>
      <c r="Y6" s="43" t="s">
        <v>64</v>
      </c>
      <c r="Z6" s="43" t="s">
        <v>65</v>
      </c>
      <c r="AA6" s="44" t="s">
        <v>66</v>
      </c>
      <c r="AC6" s="39" t="s">
        <v>58</v>
      </c>
      <c r="AD6" s="40" t="s">
        <v>59</v>
      </c>
      <c r="AE6" s="41" t="s">
        <v>60</v>
      </c>
      <c r="AF6" s="42" t="s">
        <v>61</v>
      </c>
      <c r="AG6" s="43" t="s">
        <v>62</v>
      </c>
      <c r="AH6" s="43" t="s">
        <v>63</v>
      </c>
      <c r="AI6" s="43" t="s">
        <v>64</v>
      </c>
      <c r="AJ6" s="43" t="s">
        <v>65</v>
      </c>
      <c r="AK6" s="44" t="s">
        <v>66</v>
      </c>
      <c r="AM6" s="39" t="s">
        <v>58</v>
      </c>
      <c r="AN6" s="40" t="s">
        <v>59</v>
      </c>
      <c r="AO6" s="41" t="s">
        <v>60</v>
      </c>
      <c r="AP6" s="42" t="s">
        <v>61</v>
      </c>
      <c r="AQ6" s="43" t="s">
        <v>62</v>
      </c>
      <c r="AR6" s="43" t="s">
        <v>63</v>
      </c>
      <c r="AS6" s="43" t="s">
        <v>64</v>
      </c>
      <c r="AT6" s="43" t="s">
        <v>65</v>
      </c>
      <c r="AU6" s="44" t="s">
        <v>66</v>
      </c>
      <c r="AW6" s="39" t="s">
        <v>58</v>
      </c>
      <c r="AX6" s="40" t="s">
        <v>59</v>
      </c>
      <c r="AY6" s="41" t="s">
        <v>60</v>
      </c>
      <c r="AZ6" s="42" t="s">
        <v>61</v>
      </c>
      <c r="BA6" s="43" t="s">
        <v>62</v>
      </c>
      <c r="BB6" s="43" t="s">
        <v>63</v>
      </c>
      <c r="BC6" s="43" t="s">
        <v>64</v>
      </c>
      <c r="BD6" s="43" t="s">
        <v>65</v>
      </c>
      <c r="BE6" s="44" t="s">
        <v>66</v>
      </c>
      <c r="BG6" s="39" t="s">
        <v>58</v>
      </c>
      <c r="BH6" s="40" t="s">
        <v>59</v>
      </c>
      <c r="BI6" s="41" t="s">
        <v>60</v>
      </c>
      <c r="BJ6" s="42" t="s">
        <v>61</v>
      </c>
      <c r="BK6" s="43" t="s">
        <v>62</v>
      </c>
      <c r="BL6" s="43" t="s">
        <v>63</v>
      </c>
      <c r="BM6" s="43" t="s">
        <v>64</v>
      </c>
      <c r="BN6" s="43" t="s">
        <v>65</v>
      </c>
      <c r="BO6" s="44" t="s">
        <v>66</v>
      </c>
      <c r="BQ6" s="39" t="s">
        <v>58</v>
      </c>
      <c r="BR6" s="40" t="s">
        <v>59</v>
      </c>
      <c r="BS6" s="41" t="s">
        <v>60</v>
      </c>
      <c r="BT6" s="42" t="s">
        <v>61</v>
      </c>
      <c r="BU6" s="43" t="s">
        <v>62</v>
      </c>
      <c r="BV6" s="43" t="s">
        <v>63</v>
      </c>
      <c r="BW6" s="43" t="s">
        <v>64</v>
      </c>
      <c r="BX6" s="43" t="s">
        <v>65</v>
      </c>
      <c r="BY6" s="44" t="s">
        <v>66</v>
      </c>
      <c r="CA6" s="39" t="s">
        <v>58</v>
      </c>
      <c r="CB6" s="40" t="s">
        <v>59</v>
      </c>
      <c r="CC6" s="41" t="s">
        <v>60</v>
      </c>
      <c r="CD6" s="42" t="s">
        <v>61</v>
      </c>
      <c r="CE6" s="43" t="s">
        <v>62</v>
      </c>
      <c r="CF6" s="43" t="s">
        <v>63</v>
      </c>
      <c r="CG6" s="43" t="s">
        <v>64</v>
      </c>
      <c r="CH6" s="43" t="s">
        <v>65</v>
      </c>
      <c r="CI6" s="44" t="s">
        <v>66</v>
      </c>
      <c r="CK6" s="39" t="s">
        <v>58</v>
      </c>
      <c r="CL6" s="40" t="s">
        <v>59</v>
      </c>
      <c r="CM6" s="41" t="s">
        <v>60</v>
      </c>
      <c r="CN6" s="42" t="s">
        <v>61</v>
      </c>
      <c r="CO6" s="43" t="s">
        <v>62</v>
      </c>
      <c r="CP6" s="43" t="s">
        <v>63</v>
      </c>
      <c r="CQ6" s="43" t="s">
        <v>64</v>
      </c>
      <c r="CR6" s="43" t="s">
        <v>65</v>
      </c>
      <c r="CS6" s="44" t="s">
        <v>66</v>
      </c>
      <c r="CU6" s="39" t="s">
        <v>58</v>
      </c>
      <c r="CV6" s="40" t="s">
        <v>59</v>
      </c>
      <c r="CW6" s="41" t="s">
        <v>60</v>
      </c>
      <c r="CX6" s="42" t="s">
        <v>61</v>
      </c>
      <c r="CY6" s="43" t="s">
        <v>62</v>
      </c>
      <c r="CZ6" s="43" t="s">
        <v>63</v>
      </c>
      <c r="DA6" s="43" t="s">
        <v>64</v>
      </c>
      <c r="DB6" s="43" t="s">
        <v>65</v>
      </c>
      <c r="DC6" s="44" t="s">
        <v>66</v>
      </c>
      <c r="DE6" s="39" t="s">
        <v>58</v>
      </c>
      <c r="DF6" s="40" t="s">
        <v>59</v>
      </c>
      <c r="DG6" s="41" t="s">
        <v>60</v>
      </c>
      <c r="DH6" s="42" t="s">
        <v>61</v>
      </c>
      <c r="DI6" s="43" t="s">
        <v>62</v>
      </c>
      <c r="DJ6" s="43" t="s">
        <v>63</v>
      </c>
      <c r="DK6" s="43" t="s">
        <v>64</v>
      </c>
      <c r="DL6" s="43" t="s">
        <v>65</v>
      </c>
      <c r="DM6" s="44" t="s">
        <v>66</v>
      </c>
    </row>
    <row r="7" spans="2:117" s="257" customFormat="1" x14ac:dyDescent="0.3">
      <c r="B7" s="186"/>
      <c r="C7" s="250"/>
      <c r="D7" s="167"/>
      <c r="E7" s="168"/>
      <c r="F7" s="169"/>
      <c r="G7" s="167"/>
      <c r="H7" s="168"/>
      <c r="I7" s="251"/>
      <c r="J7" s="252"/>
      <c r="K7" s="253"/>
      <c r="L7" s="254">
        <f>SUM(L10:L44)</f>
        <v>399255.63522612292</v>
      </c>
      <c r="M7" s="255">
        <f>SUM(M10:M44)</f>
        <v>-211210.45797905352</v>
      </c>
      <c r="N7" s="255">
        <f>SUM(N10:N44)</f>
        <v>188045.17724706943</v>
      </c>
      <c r="O7" s="255"/>
      <c r="P7" s="255"/>
      <c r="Q7" s="256">
        <f>SUM(Q10:Q44)</f>
        <v>399255.63522612292</v>
      </c>
      <c r="R7" s="46"/>
      <c r="S7" s="251"/>
      <c r="T7" s="252"/>
      <c r="U7" s="253"/>
      <c r="V7" s="254">
        <f>SUM(V10:V44)</f>
        <v>511468.00713976513</v>
      </c>
      <c r="W7" s="255">
        <f>SUM(W10:W44)</f>
        <v>-317701.24951330078</v>
      </c>
      <c r="X7" s="255">
        <f>SUM(X10:X44)</f>
        <v>193766.75762646442</v>
      </c>
      <c r="Y7" s="255"/>
      <c r="Z7" s="255"/>
      <c r="AA7" s="256">
        <f>SUM(AA10:AA44)</f>
        <v>511468.00713976513</v>
      </c>
      <c r="AC7" s="251"/>
      <c r="AD7" s="252"/>
      <c r="AE7" s="253"/>
      <c r="AF7" s="254">
        <f>SUM(AF10:AF44)</f>
        <v>397739.67654849461</v>
      </c>
      <c r="AG7" s="255">
        <f>SUM(AG10:AG44)</f>
        <v>-194259.73315226816</v>
      </c>
      <c r="AH7" s="255">
        <f>SUM(AH10:AH44)</f>
        <v>203479.94339622644</v>
      </c>
      <c r="AI7" s="255"/>
      <c r="AJ7" s="255"/>
      <c r="AK7" s="256">
        <f>SUM(AK10:AK44)</f>
        <v>397739.67654849461</v>
      </c>
      <c r="AM7" s="251"/>
      <c r="AN7" s="252"/>
      <c r="AO7" s="253"/>
      <c r="AP7" s="254">
        <f>SUM(AP10:AP44)</f>
        <v>977094.60668984207</v>
      </c>
      <c r="AQ7" s="255">
        <f>SUM(AQ10:AQ44)</f>
        <v>-606927.84906337759</v>
      </c>
      <c r="AR7" s="255">
        <f>SUM(AR10:AR44)</f>
        <v>370166.75762646436</v>
      </c>
      <c r="AS7" s="255"/>
      <c r="AT7" s="255"/>
      <c r="AU7" s="256">
        <f>SUM(AU10:AU44)</f>
        <v>977094.60668984207</v>
      </c>
      <c r="AW7" s="251"/>
      <c r="AX7" s="252"/>
      <c r="AY7" s="253"/>
      <c r="AZ7" s="254">
        <f>SUM(AZ10:AZ44)</f>
        <v>364105.17771967663</v>
      </c>
      <c r="BA7" s="255">
        <f>SUM(BA10:BA44)</f>
        <v>-158089.2131427878</v>
      </c>
      <c r="BB7" s="255">
        <f>SUM(BB10:BB44)</f>
        <v>206015.9645768888</v>
      </c>
      <c r="BC7" s="255"/>
      <c r="BD7" s="255"/>
      <c r="BE7" s="256">
        <f>SUM(BE10:BE44)</f>
        <v>364105.17771967663</v>
      </c>
      <c r="BG7" s="251"/>
      <c r="BH7" s="252"/>
      <c r="BI7" s="253"/>
      <c r="BJ7" s="254">
        <f>SUM(BJ10:BJ44)</f>
        <v>177410.44596183227</v>
      </c>
      <c r="BK7" s="255">
        <f>SUM(BK10:BK44)</f>
        <v>-94460.445961832273</v>
      </c>
      <c r="BL7" s="255">
        <f>SUM(BL10:BL44)</f>
        <v>82950</v>
      </c>
      <c r="BM7" s="255"/>
      <c r="BN7" s="255"/>
      <c r="BO7" s="256">
        <f>SUM(BO10:BO44)</f>
        <v>177410.44596183227</v>
      </c>
      <c r="BQ7" s="251"/>
      <c r="BR7" s="252"/>
      <c r="BS7" s="253"/>
      <c r="BT7" s="254">
        <f>SUM(BT10:BT44)</f>
        <v>668405.34809329011</v>
      </c>
      <c r="BU7" s="255">
        <f>SUM(BU10:BU44)</f>
        <v>-326455.34809329017</v>
      </c>
      <c r="BV7" s="255">
        <f>SUM(BV10:BV44)</f>
        <v>341950</v>
      </c>
      <c r="BW7" s="255"/>
      <c r="BX7" s="255"/>
      <c r="BY7" s="256">
        <f>SUM(BY10:BY44)</f>
        <v>668405.34809329011</v>
      </c>
      <c r="CA7" s="251"/>
      <c r="CB7" s="252"/>
      <c r="CC7" s="253"/>
      <c r="CD7" s="254">
        <f>SUM(CD10:CD44)</f>
        <v>1061215.7923777138</v>
      </c>
      <c r="CE7" s="255">
        <f>SUM(CE10:CE44)</f>
        <v>-444025.79237771389</v>
      </c>
      <c r="CF7" s="255">
        <f>SUM(CF10:CF44)</f>
        <v>617190</v>
      </c>
      <c r="CG7" s="255"/>
      <c r="CH7" s="255"/>
      <c r="CI7" s="256">
        <f>SUM(CI10:CI44)</f>
        <v>1061215.7923777138</v>
      </c>
      <c r="CK7" s="251"/>
      <c r="CL7" s="252"/>
      <c r="CM7" s="253"/>
      <c r="CN7" s="254">
        <f>SUM(CN10:CN44)</f>
        <v>177410.44596183227</v>
      </c>
      <c r="CO7" s="255">
        <f>SUM(CO10:CO44)</f>
        <v>-94460.445961832273</v>
      </c>
      <c r="CP7" s="255">
        <f>SUM(CP10:CP44)</f>
        <v>82950</v>
      </c>
      <c r="CQ7" s="255"/>
      <c r="CR7" s="255"/>
      <c r="CS7" s="256">
        <f>SUM(CS10:CS44)</f>
        <v>177410.44596183227</v>
      </c>
      <c r="CU7" s="251"/>
      <c r="CV7" s="252"/>
      <c r="CW7" s="253"/>
      <c r="CX7" s="254">
        <f>SUM(CX10:CX44)</f>
        <v>121859.74060472377</v>
      </c>
      <c r="CY7" s="255">
        <f>SUM(CY10:CY44)</f>
        <v>-52909.740604723796</v>
      </c>
      <c r="CZ7" s="255">
        <f>SUM(CZ10:CZ44)</f>
        <v>68950</v>
      </c>
      <c r="DA7" s="255"/>
      <c r="DB7" s="255"/>
      <c r="DC7" s="256">
        <f>SUM(DC10:DC44)</f>
        <v>121859.74060472377</v>
      </c>
      <c r="DE7" s="251"/>
      <c r="DF7" s="252"/>
      <c r="DG7" s="253"/>
      <c r="DH7" s="254">
        <f>SUM(DH10:DH44)</f>
        <v>265292.58740817558</v>
      </c>
      <c r="DI7" s="255">
        <f>SUM(DI10:DI44)</f>
        <v>-140342.58740817566</v>
      </c>
      <c r="DJ7" s="255">
        <f>SUM(DJ10:DJ44)</f>
        <v>124949.99999999997</v>
      </c>
      <c r="DK7" s="255"/>
      <c r="DL7" s="255"/>
      <c r="DM7" s="256">
        <f>SUM(DM10:DM44)</f>
        <v>265292.58740817558</v>
      </c>
    </row>
    <row r="8" spans="2:117" x14ac:dyDescent="0.3">
      <c r="B8" s="186"/>
      <c r="C8" s="187"/>
      <c r="D8" s="186">
        <f>IF(AND(E8&gt;0,F8&gt;0),1,0)</f>
        <v>1</v>
      </c>
      <c r="E8" s="188">
        <f>EDATE(F8,-12)+1</f>
        <v>43831</v>
      </c>
      <c r="F8" s="189">
        <f>Fish_Inputs!G6-1</f>
        <v>44196</v>
      </c>
      <c r="G8" s="186"/>
      <c r="H8" s="258"/>
      <c r="I8" s="259"/>
      <c r="J8" s="260"/>
      <c r="K8" s="239"/>
      <c r="L8" s="61"/>
      <c r="M8" s="239"/>
      <c r="N8" s="239"/>
      <c r="O8" s="239"/>
      <c r="P8" s="657">
        <f>Fish_Inputs!G14</f>
        <v>188045.17724706943</v>
      </c>
      <c r="Q8" s="275"/>
      <c r="S8" s="259"/>
      <c r="T8" s="260"/>
      <c r="U8" s="239"/>
      <c r="V8" s="61"/>
      <c r="W8" s="239"/>
      <c r="X8" s="239"/>
      <c r="Y8" s="239"/>
      <c r="Z8" s="657">
        <f>Fruit_Inputs!G14</f>
        <v>193766.75762646444</v>
      </c>
      <c r="AA8" s="275"/>
      <c r="AC8" s="259"/>
      <c r="AD8" s="260"/>
      <c r="AE8" s="239"/>
      <c r="AF8" s="61"/>
      <c r="AG8" s="239"/>
      <c r="AH8" s="239"/>
      <c r="AI8" s="239"/>
      <c r="AJ8" s="657">
        <f>Veg_Inputs!G14</f>
        <v>203479.94339622642</v>
      </c>
      <c r="AK8" s="275"/>
      <c r="AM8" s="259"/>
      <c r="AN8" s="260"/>
      <c r="AO8" s="239"/>
      <c r="AP8" s="61"/>
      <c r="AQ8" s="239"/>
      <c r="AR8" s="239"/>
      <c r="AS8" s="239"/>
      <c r="AT8" s="657">
        <f>Rice_Inputs!G14</f>
        <v>370166.75762646447</v>
      </c>
      <c r="AU8" s="275"/>
      <c r="AW8" s="259"/>
      <c r="AX8" s="260"/>
      <c r="AY8" s="239"/>
      <c r="AZ8" s="61"/>
      <c r="BA8" s="239"/>
      <c r="BB8" s="239"/>
      <c r="BC8" s="239"/>
      <c r="BD8" s="657">
        <f>Pyre_Inputs!G14</f>
        <v>206015.96457688935</v>
      </c>
      <c r="BE8" s="275"/>
      <c r="BG8" s="259"/>
      <c r="BH8" s="260"/>
      <c r="BI8" s="239"/>
      <c r="BJ8" s="61"/>
      <c r="BK8" s="239"/>
      <c r="BL8" s="239"/>
      <c r="BM8" s="239"/>
      <c r="BN8" s="657">
        <f>Tea_Retrofit!G14</f>
        <v>82950</v>
      </c>
      <c r="BO8" s="275"/>
      <c r="BQ8" s="259"/>
      <c r="BR8" s="260"/>
      <c r="BS8" s="239"/>
      <c r="BT8" s="61"/>
      <c r="BU8" s="239"/>
      <c r="BV8" s="239"/>
      <c r="BW8" s="239"/>
      <c r="BX8" s="657">
        <f>Tobacco_Retrofit!G14</f>
        <v>341950</v>
      </c>
      <c r="BY8" s="275"/>
      <c r="CA8" s="259"/>
      <c r="CB8" s="260"/>
      <c r="CC8" s="239"/>
      <c r="CD8" s="61"/>
      <c r="CE8" s="239"/>
      <c r="CF8" s="239"/>
      <c r="CG8" s="239"/>
      <c r="CH8" s="657">
        <f>Spas_Inputs!G14</f>
        <v>617190</v>
      </c>
      <c r="CI8" s="275"/>
      <c r="CK8" s="259"/>
      <c r="CL8" s="260"/>
      <c r="CM8" s="239"/>
      <c r="CN8" s="61"/>
      <c r="CO8" s="239"/>
      <c r="CP8" s="239"/>
      <c r="CQ8" s="239"/>
      <c r="CR8" s="657">
        <f>Greenhouse_Retrofit!G14</f>
        <v>82950</v>
      </c>
      <c r="CS8" s="275"/>
      <c r="CU8" s="259"/>
      <c r="CV8" s="260"/>
      <c r="CW8" s="239"/>
      <c r="CX8" s="61"/>
      <c r="CY8" s="239"/>
      <c r="CZ8" s="239"/>
      <c r="DA8" s="239"/>
      <c r="DB8" s="657">
        <f>Hatchery_Retrofit!G14</f>
        <v>68950</v>
      </c>
      <c r="DC8" s="275"/>
      <c r="DE8" s="259"/>
      <c r="DF8" s="260"/>
      <c r="DG8" s="239"/>
      <c r="DH8" s="61"/>
      <c r="DI8" s="239"/>
      <c r="DJ8" s="239"/>
      <c r="DK8" s="239"/>
      <c r="DL8" s="657">
        <f>Milk_Retrofit!$G$14</f>
        <v>124949.99999999999</v>
      </c>
      <c r="DM8" s="275"/>
    </row>
    <row r="9" spans="2:117" x14ac:dyDescent="0.3">
      <c r="B9" s="261">
        <v>0</v>
      </c>
      <c r="C9" s="262">
        <f>YEAR(G9)</f>
        <v>2020</v>
      </c>
      <c r="D9" s="186">
        <f t="shared" ref="D9:D44" si="0">IF(AND(E9&gt;0,F9&gt;0),1,0)</f>
        <v>0</v>
      </c>
      <c r="E9" s="204"/>
      <c r="F9" s="169"/>
      <c r="G9" s="205">
        <f>EDATE(F8,-12)+1</f>
        <v>43831</v>
      </c>
      <c r="H9" s="263">
        <f>EDATE(G9,12)-1</f>
        <v>44196</v>
      </c>
      <c r="I9" s="264"/>
      <c r="J9" s="301">
        <f>Fish_Inputs!G21</f>
        <v>10</v>
      </c>
      <c r="K9" s="265"/>
      <c r="L9" s="266"/>
      <c r="M9" s="267"/>
      <c r="N9" s="267"/>
      <c r="O9" s="267">
        <f>P8</f>
        <v>188045.17724706943</v>
      </c>
      <c r="P9" s="267">
        <f>O9-N9</f>
        <v>188045.17724706943</v>
      </c>
      <c r="Q9" s="270">
        <f>-M9+N9</f>
        <v>0</v>
      </c>
      <c r="S9" s="264"/>
      <c r="T9" s="301">
        <f>Fruit_Inputs!$G$21</f>
        <v>10</v>
      </c>
      <c r="U9" s="265"/>
      <c r="V9" s="266"/>
      <c r="W9" s="267"/>
      <c r="X9" s="267"/>
      <c r="Y9" s="267">
        <f>Z8</f>
        <v>193766.75762646444</v>
      </c>
      <c r="Z9" s="267">
        <f>Y9-X9</f>
        <v>193766.75762646444</v>
      </c>
      <c r="AA9" s="270">
        <f>-W9+X9</f>
        <v>0</v>
      </c>
      <c r="AC9" s="264"/>
      <c r="AD9" s="301">
        <f>Veg_Inputs!$G$21</f>
        <v>10</v>
      </c>
      <c r="AE9" s="265"/>
      <c r="AF9" s="266"/>
      <c r="AG9" s="267"/>
      <c r="AH9" s="267"/>
      <c r="AI9" s="267">
        <f>AJ8</f>
        <v>203479.94339622642</v>
      </c>
      <c r="AJ9" s="267">
        <f>AI9-AH9</f>
        <v>203479.94339622642</v>
      </c>
      <c r="AK9" s="270">
        <f>-AG9+AH9</f>
        <v>0</v>
      </c>
      <c r="AM9" s="264"/>
      <c r="AN9" s="301">
        <f>Rice_Inputs!$G$21</f>
        <v>10</v>
      </c>
      <c r="AO9" s="265"/>
      <c r="AP9" s="266"/>
      <c r="AQ9" s="267"/>
      <c r="AR9" s="267"/>
      <c r="AS9" s="267">
        <f>AT8</f>
        <v>370166.75762646447</v>
      </c>
      <c r="AT9" s="267">
        <f>AS9-AR9</f>
        <v>370166.75762646447</v>
      </c>
      <c r="AU9" s="270">
        <f>-AQ9+AR9</f>
        <v>0</v>
      </c>
      <c r="AW9" s="264"/>
      <c r="AX9" s="301">
        <f>Pyre_Inputs!$G$21</f>
        <v>10</v>
      </c>
      <c r="AY9" s="265"/>
      <c r="AZ9" s="266"/>
      <c r="BA9" s="267"/>
      <c r="BB9" s="267"/>
      <c r="BC9" s="267">
        <f>BD8</f>
        <v>206015.96457688935</v>
      </c>
      <c r="BD9" s="267">
        <f>BC9-BB9</f>
        <v>206015.96457688935</v>
      </c>
      <c r="BE9" s="270">
        <f>-BA9+BB9</f>
        <v>0</v>
      </c>
      <c r="BG9" s="264"/>
      <c r="BH9" s="301">
        <f>Tea_Retrofit!$G$21</f>
        <v>10</v>
      </c>
      <c r="BI9" s="265"/>
      <c r="BJ9" s="266"/>
      <c r="BK9" s="267"/>
      <c r="BL9" s="267"/>
      <c r="BM9" s="267">
        <f>BN8</f>
        <v>82950</v>
      </c>
      <c r="BN9" s="267">
        <f>BM9-BL9</f>
        <v>82950</v>
      </c>
      <c r="BO9" s="270">
        <f>-BK9+BL9</f>
        <v>0</v>
      </c>
      <c r="BQ9" s="264"/>
      <c r="BR9" s="301">
        <f>Tobacco_Retrofit!$G$21</f>
        <v>10</v>
      </c>
      <c r="BS9" s="265"/>
      <c r="BT9" s="266"/>
      <c r="BU9" s="267"/>
      <c r="BV9" s="267"/>
      <c r="BW9" s="267">
        <f>BX8</f>
        <v>341950</v>
      </c>
      <c r="BX9" s="267">
        <f>BW9-BV9</f>
        <v>341950</v>
      </c>
      <c r="BY9" s="270">
        <f>-BU9+BV9</f>
        <v>0</v>
      </c>
      <c r="CA9" s="264"/>
      <c r="CB9" s="301">
        <f>Spas_Inputs!$G$21</f>
        <v>10</v>
      </c>
      <c r="CC9" s="265"/>
      <c r="CD9" s="266"/>
      <c r="CE9" s="267"/>
      <c r="CF9" s="267"/>
      <c r="CG9" s="267">
        <f>CH8</f>
        <v>617190</v>
      </c>
      <c r="CH9" s="267">
        <f>CG9-CF9</f>
        <v>617190</v>
      </c>
      <c r="CI9" s="270">
        <f>-CE9+CF9</f>
        <v>0</v>
      </c>
      <c r="CK9" s="264"/>
      <c r="CL9" s="301">
        <f>Greenhouse_Retrofit!$G$21</f>
        <v>10</v>
      </c>
      <c r="CM9" s="265"/>
      <c r="CN9" s="266"/>
      <c r="CO9" s="267"/>
      <c r="CP9" s="267"/>
      <c r="CQ9" s="267">
        <f>CR8</f>
        <v>82950</v>
      </c>
      <c r="CR9" s="267">
        <f>CQ9-CP9</f>
        <v>82950</v>
      </c>
      <c r="CS9" s="270">
        <f>-CO9+CP9</f>
        <v>0</v>
      </c>
      <c r="CU9" s="264"/>
      <c r="CV9" s="301">
        <f>Hatchery_Retrofit!$G$21</f>
        <v>10</v>
      </c>
      <c r="CW9" s="265"/>
      <c r="CX9" s="266"/>
      <c r="CY9" s="267"/>
      <c r="CZ9" s="267"/>
      <c r="DA9" s="267">
        <f>DB8</f>
        <v>68950</v>
      </c>
      <c r="DB9" s="267">
        <f>DA9-CZ9</f>
        <v>68950</v>
      </c>
      <c r="DC9" s="270">
        <f>-CY9+CZ9</f>
        <v>0</v>
      </c>
      <c r="DE9" s="264"/>
      <c r="DF9" s="301">
        <f>Milk_Retrofit!$G$21</f>
        <v>10</v>
      </c>
      <c r="DG9" s="265"/>
      <c r="DH9" s="266"/>
      <c r="DI9" s="267"/>
      <c r="DJ9" s="267"/>
      <c r="DK9" s="267">
        <f>DL8</f>
        <v>124949.99999999999</v>
      </c>
      <c r="DL9" s="267">
        <f>DK9-DJ9</f>
        <v>124949.99999999999</v>
      </c>
      <c r="DM9" s="270">
        <f>-DI9+DJ9</f>
        <v>0</v>
      </c>
    </row>
    <row r="10" spans="2:117" s="107" customFormat="1" x14ac:dyDescent="0.3">
      <c r="B10" s="184">
        <f>B9+1</f>
        <v>1</v>
      </c>
      <c r="C10" s="658">
        <f t="shared" ref="C10:C44" si="1">YEAR(G10)</f>
        <v>2021</v>
      </c>
      <c r="D10" s="130">
        <f t="shared" si="0"/>
        <v>0</v>
      </c>
      <c r="E10" s="185"/>
      <c r="F10" s="659"/>
      <c r="G10" s="347">
        <f>EDATE(G9,12)</f>
        <v>44197</v>
      </c>
      <c r="H10" s="440">
        <f>EDATE(H9,12)</f>
        <v>44561</v>
      </c>
      <c r="I10" s="660">
        <f>IF(B10&lt;=Fish_Inputs!$G$21,1,0)</f>
        <v>1</v>
      </c>
      <c r="J10" s="661">
        <f t="shared" ref="J10:J44" si="2">J9-I9</f>
        <v>10</v>
      </c>
      <c r="K10" s="662">
        <f>Fish_Inputs!$G$20</f>
        <v>0.16700000000000001</v>
      </c>
      <c r="L10" s="239">
        <f t="shared" ref="L10:L44" si="3">IF(I10=0,0,-M10/(1-(1+K10)^-J10))</f>
        <v>39925.563522612283</v>
      </c>
      <c r="M10" s="241">
        <f t="shared" ref="M10:M44" si="4">-K10*O10</f>
        <v>-31403.544600260597</v>
      </c>
      <c r="N10" s="241">
        <f t="shared" ref="N10:N44" si="5">L10+M10</f>
        <v>8522.0189223516863</v>
      </c>
      <c r="O10" s="241">
        <f t="shared" ref="O10:O44" si="6">P9</f>
        <v>188045.17724706943</v>
      </c>
      <c r="P10" s="241">
        <f t="shared" ref="P10:P44" si="7">O10-N10</f>
        <v>179523.15832471775</v>
      </c>
      <c r="Q10" s="268">
        <f t="shared" ref="Q10:Q44" si="8">-M10+N10</f>
        <v>39925.563522612283</v>
      </c>
      <c r="S10" s="763">
        <f>IF(B10&lt;=Fruit_Inputs!$G$21,1,0)</f>
        <v>1</v>
      </c>
      <c r="T10" s="661">
        <f t="shared" ref="T10:T44" si="9">T9-S9</f>
        <v>10</v>
      </c>
      <c r="U10" s="662">
        <f>Fruit_Inputs!$G$20</f>
        <v>0.23089999999999999</v>
      </c>
      <c r="V10" s="239">
        <f t="shared" ref="V10:V44" si="10">IF(S10=0,0,-W10/(1-(1+U10)^-T10))</f>
        <v>51146.800713976503</v>
      </c>
      <c r="W10" s="241">
        <f t="shared" ref="W10:W44" si="11">-U10*Y10</f>
        <v>-44740.744335950636</v>
      </c>
      <c r="X10" s="241">
        <f t="shared" ref="X10:X44" si="12">V10+W10</f>
        <v>6406.0563780258672</v>
      </c>
      <c r="Y10" s="241">
        <f t="shared" ref="Y10:Y44" si="13">Z9</f>
        <v>193766.75762646444</v>
      </c>
      <c r="Z10" s="241">
        <f t="shared" ref="Z10:Z44" si="14">Y10-X10</f>
        <v>187360.70124843856</v>
      </c>
      <c r="AA10" s="268">
        <f t="shared" ref="AA10:AA44" si="15">-W10+X10</f>
        <v>51146.800713976503</v>
      </c>
      <c r="AC10" s="763">
        <f>IF(B10&lt;=Veg_Inputs!$G$21,1,0)</f>
        <v>1</v>
      </c>
      <c r="AD10" s="661">
        <f t="shared" ref="AD10:AD44" si="16">AD9-AC9</f>
        <v>10</v>
      </c>
      <c r="AE10" s="662">
        <f>Veg_Inputs!$G$20</f>
        <v>0.14499999999999999</v>
      </c>
      <c r="AF10" s="239">
        <f t="shared" ref="AF10:AF44" si="17">IF(AC10=0,0,-AG10/(1-(1+AE10)^-AD10))</f>
        <v>39773.967654849446</v>
      </c>
      <c r="AG10" s="241">
        <f t="shared" ref="AG10:AG44" si="18">-AE10*AI10</f>
        <v>-29504.591792452829</v>
      </c>
      <c r="AH10" s="241">
        <f t="shared" ref="AH10:AH44" si="19">AF10+AG10</f>
        <v>10269.375862396617</v>
      </c>
      <c r="AI10" s="241">
        <f t="shared" ref="AI10:AI44" si="20">AJ9</f>
        <v>203479.94339622642</v>
      </c>
      <c r="AJ10" s="241">
        <f t="shared" ref="AJ10:AJ44" si="21">AI10-AH10</f>
        <v>193210.5675338298</v>
      </c>
      <c r="AK10" s="268">
        <f t="shared" ref="AK10:AK44" si="22">-AG10+AH10</f>
        <v>39773.967654849446</v>
      </c>
      <c r="AM10" s="763">
        <f>IF(B10&lt;=Rice_Inputs!$G$21,1,0)</f>
        <v>1</v>
      </c>
      <c r="AN10" s="661">
        <f t="shared" ref="AN10:AN44" si="23">AN9-AM9</f>
        <v>10</v>
      </c>
      <c r="AO10" s="662">
        <f>Rice_Inputs!$G$20</f>
        <v>0.23089999999999999</v>
      </c>
      <c r="AP10" s="239">
        <f t="shared" ref="AP10:AP44" si="24">IF(AM10=0,0,-AQ10/(1-(1+AO10)^-AN10))</f>
        <v>97709.460668984189</v>
      </c>
      <c r="AQ10" s="241">
        <f t="shared" ref="AQ10:AQ44" si="25">-AO10*AS10</f>
        <v>-85471.504335950638</v>
      </c>
      <c r="AR10" s="241">
        <f t="shared" ref="AR10:AR44" si="26">AP10+AQ10</f>
        <v>12237.956333033551</v>
      </c>
      <c r="AS10" s="241">
        <f t="shared" ref="AS10:AS44" si="27">AT9</f>
        <v>370166.75762646447</v>
      </c>
      <c r="AT10" s="241">
        <f t="shared" ref="AT10:AT44" si="28">AS10-AR10</f>
        <v>357928.80129343091</v>
      </c>
      <c r="AU10" s="268">
        <f t="shared" ref="AU10:AU44" si="29">-AQ10+AR10</f>
        <v>97709.460668984189</v>
      </c>
      <c r="AW10" s="763">
        <f>IF(B10&lt;=Pyre_Inputs!$G$21,1,0)</f>
        <v>1</v>
      </c>
      <c r="AX10" s="661">
        <f t="shared" ref="AX10:AX44" si="30">AX9-AW9</f>
        <v>10</v>
      </c>
      <c r="AY10" s="662">
        <f>Pyre_Inputs!$G$20</f>
        <v>0.119657894736842</v>
      </c>
      <c r="AZ10" s="239">
        <f t="shared" ref="AZ10:AZ44" si="31">IF(AW10=0,0,-BA10/(1-(1+AY10)^-AX10))</f>
        <v>36410.517771967643</v>
      </c>
      <c r="BA10" s="241">
        <f t="shared" ref="BA10:BA44" si="32">-AY10*BC10</f>
        <v>-24651.436603450398</v>
      </c>
      <c r="BB10" s="241">
        <f t="shared" ref="BB10:BB44" si="33">AZ10+BA10</f>
        <v>11759.081168517245</v>
      </c>
      <c r="BC10" s="241">
        <f t="shared" ref="BC10:BC44" si="34">BD9</f>
        <v>206015.96457688935</v>
      </c>
      <c r="BD10" s="241">
        <f t="shared" ref="BD10:BD44" si="35">BC10-BB10</f>
        <v>194256.88340837212</v>
      </c>
      <c r="BE10" s="268">
        <f t="shared" ref="BE10:BE44" si="36">-BA10+BB10</f>
        <v>36410.517771967643</v>
      </c>
      <c r="BG10" s="763">
        <f>IF(B10&lt;=Tea_Retrofit!$G$21,1,0)</f>
        <v>1</v>
      </c>
      <c r="BH10" s="661">
        <f t="shared" ref="BH10:BH44" si="37">BH9-BG9</f>
        <v>10</v>
      </c>
      <c r="BI10" s="662">
        <f>Tea_Retrofit!$G$20</f>
        <v>0.16900000000000001</v>
      </c>
      <c r="BJ10" s="239">
        <f t="shared" ref="BJ10:BJ44" si="38">IF(BG10=0,0,-BK10/(1-(1+BI10)^-BH10))</f>
        <v>17741.044596183223</v>
      </c>
      <c r="BK10" s="241">
        <f t="shared" ref="BK10:BK44" si="39">-BI10*BM10</f>
        <v>-14018.550000000001</v>
      </c>
      <c r="BL10" s="241">
        <f t="shared" ref="BL10:BL44" si="40">BJ10+BK10</f>
        <v>3722.4945961832218</v>
      </c>
      <c r="BM10" s="241">
        <f t="shared" ref="BM10:BM44" si="41">BN9</f>
        <v>82950</v>
      </c>
      <c r="BN10" s="241">
        <f t="shared" ref="BN10:BN44" si="42">BM10-BL10</f>
        <v>79227.505403816773</v>
      </c>
      <c r="BO10" s="268">
        <f t="shared" ref="BO10:BO44" si="43">-BK10+BL10</f>
        <v>17741.044596183223</v>
      </c>
      <c r="BQ10" s="763">
        <f>IF(B10&lt;=Tobacco_Retrofit!$G$21,1,0)</f>
        <v>1</v>
      </c>
      <c r="BR10" s="661">
        <f t="shared" ref="BR10:BR44" si="44">BR9-BQ9</f>
        <v>10</v>
      </c>
      <c r="BS10" s="662">
        <f>Tobacco_Retrofit!$G$20</f>
        <v>0.14499999999999999</v>
      </c>
      <c r="BT10" s="239">
        <f t="shared" ref="BT10:BT44" si="45">IF(BQ10=0,0,-BU10/(1-(1+BS10)^-BR10))</f>
        <v>66840.534809329009</v>
      </c>
      <c r="BU10" s="241">
        <f t="shared" ref="BU10:BU44" si="46">-BS10*BW10</f>
        <v>-49582.75</v>
      </c>
      <c r="BV10" s="241">
        <f t="shared" ref="BV10:BV44" si="47">BT10+BU10</f>
        <v>17257.784809329009</v>
      </c>
      <c r="BW10" s="241">
        <f t="shared" ref="BW10:BW44" si="48">BX9</f>
        <v>341950</v>
      </c>
      <c r="BX10" s="241">
        <f t="shared" ref="BX10:BX44" si="49">BW10-BV10</f>
        <v>324692.21519067098</v>
      </c>
      <c r="BY10" s="268">
        <f t="shared" ref="BY10:BY44" si="50">-BU10+BV10</f>
        <v>66840.534809329009</v>
      </c>
      <c r="CA10" s="763">
        <f>IF(B10&lt;=Spas_Inputs!$G$21,1,0)</f>
        <v>1</v>
      </c>
      <c r="CB10" s="661">
        <f t="shared" ref="CB10:CB44" si="51">CB9-CA9</f>
        <v>10</v>
      </c>
      <c r="CC10" s="662">
        <f>Spas_Inputs!$G$20</f>
        <v>0.113</v>
      </c>
      <c r="CD10" s="239">
        <f t="shared" ref="CD10:CD44" si="52">IF(CA10=0,0,-CE10/(1-(1+CC10)^-CB10))</f>
        <v>106121.57923777137</v>
      </c>
      <c r="CE10" s="241">
        <f t="shared" ref="CE10:CE44" si="53">-CC10*CG10</f>
        <v>-69742.47</v>
      </c>
      <c r="CF10" s="241">
        <f t="shared" ref="CF10:CF44" si="54">CD10+CE10</f>
        <v>36379.109237771365</v>
      </c>
      <c r="CG10" s="241">
        <f t="shared" ref="CG10:CG44" si="55">CH9</f>
        <v>617190</v>
      </c>
      <c r="CH10" s="241">
        <f t="shared" ref="CH10:CH44" si="56">CG10-CF10</f>
        <v>580810.89076222864</v>
      </c>
      <c r="CI10" s="268">
        <f t="shared" ref="CI10:CI44" si="57">-CE10+CF10</f>
        <v>106121.57923777137</v>
      </c>
      <c r="CK10" s="763">
        <f>IF(B10&lt;=Greenhouse_Retrofit!$G$21,1,0)</f>
        <v>1</v>
      </c>
      <c r="CL10" s="661">
        <f t="shared" ref="CL10:CL44" si="58">CL9-CK9</f>
        <v>10</v>
      </c>
      <c r="CM10" s="662">
        <f>Greenhouse_Retrofit!$G$20</f>
        <v>0.16900000000000001</v>
      </c>
      <c r="CN10" s="239">
        <f t="shared" ref="CN10:CN44" si="59">IF(CK10=0,0,-CO10/(1-(1+CM10)^-CL10))</f>
        <v>17741.044596183223</v>
      </c>
      <c r="CO10" s="241">
        <f t="shared" ref="CO10:CO44" si="60">-CM10*CQ10</f>
        <v>-14018.550000000001</v>
      </c>
      <c r="CP10" s="241">
        <f t="shared" ref="CP10:CP44" si="61">CN10+CO10</f>
        <v>3722.4945961832218</v>
      </c>
      <c r="CQ10" s="241">
        <f t="shared" ref="CQ10:CQ44" si="62">CR9</f>
        <v>82950</v>
      </c>
      <c r="CR10" s="241">
        <f t="shared" ref="CR10:CR44" si="63">CQ10-CP10</f>
        <v>79227.505403816773</v>
      </c>
      <c r="CS10" s="268">
        <f t="shared" ref="CS10:CS44" si="64">-CO10+CP10</f>
        <v>17741.044596183223</v>
      </c>
      <c r="CU10" s="763">
        <f>IF(B10&lt;=Hatchery_Retrofit!$G$21,1,0)</f>
        <v>1</v>
      </c>
      <c r="CV10" s="661">
        <f t="shared" ref="CV10" si="65">CV9-CU9</f>
        <v>10</v>
      </c>
      <c r="CW10" s="662">
        <f>Hatchery_Retrofit!$G$20</f>
        <v>0.119657894736842</v>
      </c>
      <c r="CX10" s="239">
        <f t="shared" ref="CX10:CX44" si="66">IF(CU10=0,0,-CY10/(1-(1+CW10)^-CV10))</f>
        <v>12185.974060472372</v>
      </c>
      <c r="CY10" s="241">
        <f t="shared" ref="CY10:CY44" si="67">-CW10*DA10</f>
        <v>-8250.4118421052553</v>
      </c>
      <c r="CZ10" s="241">
        <f t="shared" ref="CZ10:CZ44" si="68">CX10+CY10</f>
        <v>3935.5622183671167</v>
      </c>
      <c r="DA10" s="241">
        <f t="shared" ref="DA10:DA44" si="69">DB9</f>
        <v>68950</v>
      </c>
      <c r="DB10" s="241">
        <f t="shared" ref="DB10:DB44" si="70">DA10-CZ10</f>
        <v>65014.437781632885</v>
      </c>
      <c r="DC10" s="268">
        <f t="shared" ref="DC10:DC44" si="71">-CY10+CZ10</f>
        <v>12185.974060472372</v>
      </c>
      <c r="DE10" s="763">
        <f>IF(B10&lt;=Milk_Retrofit!$G$21,1,0)</f>
        <v>1</v>
      </c>
      <c r="DF10" s="661">
        <f t="shared" ref="DF10:DF44" si="72">DF9-DE9</f>
        <v>10</v>
      </c>
      <c r="DG10" s="662">
        <f>Milk_Retrofit!$G$20</f>
        <v>0.16700000000000001</v>
      </c>
      <c r="DH10" s="239">
        <f t="shared" ref="DH10:DH44" si="73">IF(DE10=0,0,-DI10/(1-(1+DG10)^-DF10))</f>
        <v>26529.25874081756</v>
      </c>
      <c r="DI10" s="241">
        <f t="shared" ref="DI10:DI44" si="74">-DG10*DK10</f>
        <v>-20866.649999999998</v>
      </c>
      <c r="DJ10" s="241">
        <f t="shared" ref="DJ10:DJ44" si="75">DH10+DI10</f>
        <v>5662.6087408175626</v>
      </c>
      <c r="DK10" s="241">
        <f t="shared" ref="DK10:DK44" si="76">DL9</f>
        <v>124949.99999999999</v>
      </c>
      <c r="DL10" s="241">
        <f t="shared" ref="DL10:DL44" si="77">DK10-DJ10</f>
        <v>119287.39125918242</v>
      </c>
      <c r="DM10" s="268">
        <f t="shared" ref="DM10:DM44" si="78">-DI10+DJ10</f>
        <v>26529.25874081756</v>
      </c>
    </row>
    <row r="11" spans="2:117" s="107" customFormat="1" x14ac:dyDescent="0.3">
      <c r="B11" s="192">
        <f t="shared" ref="B11:B44" si="79">B10+1</f>
        <v>2</v>
      </c>
      <c r="C11" s="663">
        <f t="shared" si="1"/>
        <v>2022</v>
      </c>
      <c r="D11" s="664">
        <f t="shared" si="0"/>
        <v>0</v>
      </c>
      <c r="E11" s="193"/>
      <c r="F11" s="229"/>
      <c r="G11" s="351">
        <f t="shared" ref="G11:H26" si="80">EDATE(G10,12)</f>
        <v>44562</v>
      </c>
      <c r="H11" s="441">
        <f t="shared" si="80"/>
        <v>44926</v>
      </c>
      <c r="I11" s="665">
        <f>IF(B11&lt;=Fish_Inputs!$G$21,1,0)</f>
        <v>1</v>
      </c>
      <c r="J11" s="666">
        <f t="shared" si="2"/>
        <v>9</v>
      </c>
      <c r="K11" s="518">
        <f>Fish_Inputs!$G$20</f>
        <v>0.16700000000000001</v>
      </c>
      <c r="L11" s="239">
        <f t="shared" si="3"/>
        <v>39925.563522612283</v>
      </c>
      <c r="M11" s="241">
        <f t="shared" si="4"/>
        <v>-29980.367440227867</v>
      </c>
      <c r="N11" s="241">
        <f t="shared" si="5"/>
        <v>9945.1960823844165</v>
      </c>
      <c r="O11" s="241">
        <f t="shared" si="6"/>
        <v>179523.15832471775</v>
      </c>
      <c r="P11" s="241">
        <f t="shared" si="7"/>
        <v>169577.96224233333</v>
      </c>
      <c r="Q11" s="268">
        <f t="shared" si="8"/>
        <v>39925.563522612283</v>
      </c>
      <c r="S11" s="763">
        <f>IF(B11&lt;=Fruit_Inputs!$G$21,1,0)</f>
        <v>1</v>
      </c>
      <c r="T11" s="666">
        <f t="shared" si="9"/>
        <v>9</v>
      </c>
      <c r="U11" s="662">
        <f>Fruit_Inputs!$G$20</f>
        <v>0.23089999999999999</v>
      </c>
      <c r="V11" s="239">
        <f t="shared" si="10"/>
        <v>51146.800713976503</v>
      </c>
      <c r="W11" s="241">
        <f t="shared" si="11"/>
        <v>-43261.585918264464</v>
      </c>
      <c r="X11" s="241">
        <f t="shared" si="12"/>
        <v>7885.2147957120396</v>
      </c>
      <c r="Y11" s="241">
        <f t="shared" si="13"/>
        <v>187360.70124843856</v>
      </c>
      <c r="Z11" s="241">
        <f t="shared" si="14"/>
        <v>179475.48645272653</v>
      </c>
      <c r="AA11" s="268">
        <f t="shared" si="15"/>
        <v>51146.800713976503</v>
      </c>
      <c r="AC11" s="763">
        <f>IF(B11&lt;=Veg_Inputs!$G$21,1,0)</f>
        <v>1</v>
      </c>
      <c r="AD11" s="666">
        <f t="shared" si="16"/>
        <v>9</v>
      </c>
      <c r="AE11" s="662">
        <f>Veg_Inputs!$G$20</f>
        <v>0.14499999999999999</v>
      </c>
      <c r="AF11" s="239">
        <f t="shared" si="17"/>
        <v>39773.967654849446</v>
      </c>
      <c r="AG11" s="241">
        <f t="shared" si="18"/>
        <v>-28015.532292405318</v>
      </c>
      <c r="AH11" s="241">
        <f t="shared" si="19"/>
        <v>11758.435362444128</v>
      </c>
      <c r="AI11" s="241">
        <f t="shared" si="20"/>
        <v>193210.5675338298</v>
      </c>
      <c r="AJ11" s="241">
        <f t="shared" si="21"/>
        <v>181452.13217138569</v>
      </c>
      <c r="AK11" s="268">
        <f t="shared" si="22"/>
        <v>39773.967654849446</v>
      </c>
      <c r="AM11" s="763">
        <f>IF(B11&lt;=Rice_Inputs!$G$21,1,0)</f>
        <v>1</v>
      </c>
      <c r="AN11" s="666">
        <f t="shared" si="23"/>
        <v>9</v>
      </c>
      <c r="AO11" s="662">
        <f>Rice_Inputs!$G$20</f>
        <v>0.23089999999999999</v>
      </c>
      <c r="AP11" s="239">
        <f t="shared" si="24"/>
        <v>97709.460668984189</v>
      </c>
      <c r="AQ11" s="241">
        <f t="shared" si="25"/>
        <v>-82645.760218653188</v>
      </c>
      <c r="AR11" s="241">
        <f t="shared" si="26"/>
        <v>15063.700450331002</v>
      </c>
      <c r="AS11" s="241">
        <f t="shared" si="27"/>
        <v>357928.80129343091</v>
      </c>
      <c r="AT11" s="241">
        <f t="shared" si="28"/>
        <v>342865.10084309988</v>
      </c>
      <c r="AU11" s="268">
        <f t="shared" si="29"/>
        <v>97709.460668984189</v>
      </c>
      <c r="AW11" s="763">
        <f>IF(B11&lt;=Pyre_Inputs!$G$21,1,0)</f>
        <v>1</v>
      </c>
      <c r="AX11" s="666">
        <f t="shared" si="30"/>
        <v>9</v>
      </c>
      <c r="AY11" s="662">
        <f>Pyre_Inputs!$G$20</f>
        <v>0.119657894736842</v>
      </c>
      <c r="AZ11" s="239">
        <f t="shared" si="31"/>
        <v>36410.517771967636</v>
      </c>
      <c r="BA11" s="241">
        <f t="shared" si="32"/>
        <v>-23244.369706785979</v>
      </c>
      <c r="BB11" s="241">
        <f t="shared" si="33"/>
        <v>13166.148065181656</v>
      </c>
      <c r="BC11" s="241">
        <f t="shared" si="34"/>
        <v>194256.88340837212</v>
      </c>
      <c r="BD11" s="241">
        <f t="shared" si="35"/>
        <v>181090.73534319046</v>
      </c>
      <c r="BE11" s="268">
        <f t="shared" si="36"/>
        <v>36410.517771967636</v>
      </c>
      <c r="BG11" s="763">
        <f>IF(B11&lt;=Tea_Retrofit!$G$21,1,0)</f>
        <v>1</v>
      </c>
      <c r="BH11" s="666">
        <f t="shared" si="37"/>
        <v>9</v>
      </c>
      <c r="BI11" s="662">
        <f>Tea_Retrofit!$G$20</f>
        <v>0.16900000000000001</v>
      </c>
      <c r="BJ11" s="239">
        <f t="shared" si="38"/>
        <v>17741.044596183223</v>
      </c>
      <c r="BK11" s="241">
        <f t="shared" si="39"/>
        <v>-13389.448413245036</v>
      </c>
      <c r="BL11" s="241">
        <f t="shared" si="40"/>
        <v>4351.5961829381868</v>
      </c>
      <c r="BM11" s="241">
        <f t="shared" si="41"/>
        <v>79227.505403816773</v>
      </c>
      <c r="BN11" s="241">
        <f t="shared" si="42"/>
        <v>74875.909220878588</v>
      </c>
      <c r="BO11" s="268">
        <f t="shared" si="43"/>
        <v>17741.044596183223</v>
      </c>
      <c r="BQ11" s="763">
        <f>IF(B11&lt;=Tobacco_Retrofit!$G$21,1,0)</f>
        <v>1</v>
      </c>
      <c r="BR11" s="666">
        <f t="shared" si="44"/>
        <v>9</v>
      </c>
      <c r="BS11" s="662">
        <f>Tobacco_Retrofit!$G$20</f>
        <v>0.14499999999999999</v>
      </c>
      <c r="BT11" s="239">
        <f t="shared" si="45"/>
        <v>66840.534809329009</v>
      </c>
      <c r="BU11" s="241">
        <f t="shared" si="46"/>
        <v>-47080.371202647286</v>
      </c>
      <c r="BV11" s="241">
        <f t="shared" si="47"/>
        <v>19760.163606681723</v>
      </c>
      <c r="BW11" s="241">
        <f t="shared" si="48"/>
        <v>324692.21519067098</v>
      </c>
      <c r="BX11" s="241">
        <f t="shared" si="49"/>
        <v>304932.05158398923</v>
      </c>
      <c r="BY11" s="268">
        <f t="shared" si="50"/>
        <v>66840.534809329009</v>
      </c>
      <c r="CA11" s="763">
        <f>IF(B11&lt;=Spas_Inputs!$G$21,1,0)</f>
        <v>1</v>
      </c>
      <c r="CB11" s="666">
        <f t="shared" si="51"/>
        <v>9</v>
      </c>
      <c r="CC11" s="662">
        <f>Spas_Inputs!$G$20</f>
        <v>0.113</v>
      </c>
      <c r="CD11" s="239">
        <f t="shared" si="52"/>
        <v>106121.57923777138</v>
      </c>
      <c r="CE11" s="241">
        <f t="shared" si="53"/>
        <v>-65631.630656131834</v>
      </c>
      <c r="CF11" s="241">
        <f t="shared" si="54"/>
        <v>40489.948581639546</v>
      </c>
      <c r="CG11" s="241">
        <f t="shared" si="55"/>
        <v>580810.89076222864</v>
      </c>
      <c r="CH11" s="241">
        <f t="shared" si="56"/>
        <v>540320.94218058907</v>
      </c>
      <c r="CI11" s="268">
        <f t="shared" si="57"/>
        <v>106121.57923777138</v>
      </c>
      <c r="CK11" s="763">
        <f>IF(B11&lt;=Greenhouse_Retrofit!$G$21,1,0)</f>
        <v>1</v>
      </c>
      <c r="CL11" s="666">
        <f t="shared" si="58"/>
        <v>9</v>
      </c>
      <c r="CM11" s="662">
        <f>Greenhouse_Retrofit!$G$20</f>
        <v>0.16900000000000001</v>
      </c>
      <c r="CN11" s="239">
        <f t="shared" si="59"/>
        <v>17741.044596183223</v>
      </c>
      <c r="CO11" s="241">
        <f t="shared" si="60"/>
        <v>-13389.448413245036</v>
      </c>
      <c r="CP11" s="241">
        <f t="shared" si="61"/>
        <v>4351.5961829381868</v>
      </c>
      <c r="CQ11" s="241">
        <f t="shared" si="62"/>
        <v>79227.505403816773</v>
      </c>
      <c r="CR11" s="241">
        <f t="shared" si="63"/>
        <v>74875.909220878588</v>
      </c>
      <c r="CS11" s="268">
        <f t="shared" si="64"/>
        <v>17741.044596183223</v>
      </c>
      <c r="CU11" s="763">
        <f>IF(B11&lt;=Hatchery_Retrofit!$G$21,1,0)</f>
        <v>1</v>
      </c>
      <c r="CV11" s="661">
        <f t="shared" ref="CV11:CV44" si="81">CV10-CU10</f>
        <v>9</v>
      </c>
      <c r="CW11" s="662">
        <f>Hatchery_Retrofit!$G$20</f>
        <v>0.119657894736842</v>
      </c>
      <c r="CX11" s="239">
        <f t="shared" si="66"/>
        <v>12185.974060472374</v>
      </c>
      <c r="CY11" s="241">
        <f t="shared" si="67"/>
        <v>-7779.490752449592</v>
      </c>
      <c r="CZ11" s="241">
        <f t="shared" si="68"/>
        <v>4406.4833080227818</v>
      </c>
      <c r="DA11" s="241">
        <f t="shared" si="69"/>
        <v>65014.437781632885</v>
      </c>
      <c r="DB11" s="241">
        <f t="shared" si="70"/>
        <v>60607.954473610102</v>
      </c>
      <c r="DC11" s="268">
        <f t="shared" si="71"/>
        <v>12185.974060472374</v>
      </c>
      <c r="DE11" s="763">
        <f>IF(B11&lt;=Milk_Retrofit!$G$21,1,0)</f>
        <v>1</v>
      </c>
      <c r="DF11" s="666">
        <f t="shared" si="72"/>
        <v>9</v>
      </c>
      <c r="DG11" s="662">
        <f>Milk_Retrofit!$G$20</f>
        <v>0.16700000000000001</v>
      </c>
      <c r="DH11" s="239">
        <f t="shared" si="73"/>
        <v>26529.25874081756</v>
      </c>
      <c r="DI11" s="241">
        <f t="shared" si="74"/>
        <v>-19920.994340283465</v>
      </c>
      <c r="DJ11" s="241">
        <f t="shared" si="75"/>
        <v>6608.2644005340953</v>
      </c>
      <c r="DK11" s="241">
        <f t="shared" si="76"/>
        <v>119287.39125918242</v>
      </c>
      <c r="DL11" s="241">
        <f t="shared" si="77"/>
        <v>112679.12685864832</v>
      </c>
      <c r="DM11" s="268">
        <f t="shared" si="78"/>
        <v>26529.25874081756</v>
      </c>
    </row>
    <row r="12" spans="2:117" s="107" customFormat="1" x14ac:dyDescent="0.3">
      <c r="B12" s="192">
        <f t="shared" si="79"/>
        <v>3</v>
      </c>
      <c r="C12" s="663">
        <f t="shared" si="1"/>
        <v>2023</v>
      </c>
      <c r="D12" s="664">
        <f t="shared" si="0"/>
        <v>0</v>
      </c>
      <c r="E12" s="228"/>
      <c r="F12" s="229"/>
      <c r="G12" s="351">
        <f t="shared" si="80"/>
        <v>44927</v>
      </c>
      <c r="H12" s="441">
        <f t="shared" si="80"/>
        <v>45291</v>
      </c>
      <c r="I12" s="665">
        <f>IF(B12&lt;=Fish_Inputs!$G$21,1,0)</f>
        <v>1</v>
      </c>
      <c r="J12" s="666">
        <f t="shared" si="2"/>
        <v>8</v>
      </c>
      <c r="K12" s="518">
        <f>Fish_Inputs!$G$20</f>
        <v>0.16700000000000001</v>
      </c>
      <c r="L12" s="239">
        <f t="shared" si="3"/>
        <v>39925.56352261229</v>
      </c>
      <c r="M12" s="241">
        <f t="shared" si="4"/>
        <v>-28319.519694469669</v>
      </c>
      <c r="N12" s="241">
        <f t="shared" si="5"/>
        <v>11606.043828142621</v>
      </c>
      <c r="O12" s="241">
        <f t="shared" si="6"/>
        <v>169577.96224233333</v>
      </c>
      <c r="P12" s="241">
        <f t="shared" si="7"/>
        <v>157971.9184141907</v>
      </c>
      <c r="Q12" s="268">
        <f t="shared" si="8"/>
        <v>39925.56352261229</v>
      </c>
      <c r="S12" s="763">
        <f>IF(B12&lt;=Fruit_Inputs!$G$21,1,0)</f>
        <v>1</v>
      </c>
      <c r="T12" s="666">
        <f t="shared" si="9"/>
        <v>8</v>
      </c>
      <c r="U12" s="662">
        <f>Fruit_Inputs!$G$20</f>
        <v>0.23089999999999999</v>
      </c>
      <c r="V12" s="239">
        <f t="shared" si="10"/>
        <v>51146.800713976503</v>
      </c>
      <c r="W12" s="241">
        <f t="shared" si="11"/>
        <v>-41440.889821934557</v>
      </c>
      <c r="X12" s="241">
        <f t="shared" si="12"/>
        <v>9705.9108920419458</v>
      </c>
      <c r="Y12" s="241">
        <f t="shared" si="13"/>
        <v>179475.48645272653</v>
      </c>
      <c r="Z12" s="241">
        <f t="shared" si="14"/>
        <v>169769.57556068458</v>
      </c>
      <c r="AA12" s="268">
        <f t="shared" si="15"/>
        <v>51146.800713976503</v>
      </c>
      <c r="AC12" s="763">
        <f>IF(B12&lt;=Veg_Inputs!$G$21,1,0)</f>
        <v>1</v>
      </c>
      <c r="AD12" s="666">
        <f t="shared" si="16"/>
        <v>8</v>
      </c>
      <c r="AE12" s="662">
        <f>Veg_Inputs!$G$20</f>
        <v>0.14499999999999999</v>
      </c>
      <c r="AF12" s="239">
        <f t="shared" si="17"/>
        <v>39773.967654849454</v>
      </c>
      <c r="AG12" s="241">
        <f t="shared" si="18"/>
        <v>-26310.559164850922</v>
      </c>
      <c r="AH12" s="241">
        <f t="shared" si="19"/>
        <v>13463.408489998532</v>
      </c>
      <c r="AI12" s="241">
        <f t="shared" si="20"/>
        <v>181452.13217138569</v>
      </c>
      <c r="AJ12" s="241">
        <f t="shared" si="21"/>
        <v>167988.72368138714</v>
      </c>
      <c r="AK12" s="268">
        <f t="shared" si="22"/>
        <v>39773.967654849454</v>
      </c>
      <c r="AM12" s="763">
        <f>IF(B12&lt;=Rice_Inputs!$G$21,1,0)</f>
        <v>1</v>
      </c>
      <c r="AN12" s="666">
        <f t="shared" si="23"/>
        <v>8</v>
      </c>
      <c r="AO12" s="662">
        <f>Rice_Inputs!$G$20</f>
        <v>0.23089999999999999</v>
      </c>
      <c r="AP12" s="239">
        <f t="shared" si="24"/>
        <v>97709.460668984175</v>
      </c>
      <c r="AQ12" s="241">
        <f t="shared" si="25"/>
        <v>-79167.551784671756</v>
      </c>
      <c r="AR12" s="241">
        <f t="shared" si="26"/>
        <v>18541.908884312419</v>
      </c>
      <c r="AS12" s="241">
        <f t="shared" si="27"/>
        <v>342865.10084309988</v>
      </c>
      <c r="AT12" s="241">
        <f t="shared" si="28"/>
        <v>324323.19195878744</v>
      </c>
      <c r="AU12" s="268">
        <f t="shared" si="29"/>
        <v>97709.460668984175</v>
      </c>
      <c r="AW12" s="763">
        <f>IF(B12&lt;=Pyre_Inputs!$G$21,1,0)</f>
        <v>1</v>
      </c>
      <c r="AX12" s="666">
        <f t="shared" si="30"/>
        <v>8</v>
      </c>
      <c r="AY12" s="662">
        <f>Pyre_Inputs!$G$20</f>
        <v>0.119657894736842</v>
      </c>
      <c r="AZ12" s="239">
        <f t="shared" si="31"/>
        <v>36410.51777196765</v>
      </c>
      <c r="BA12" s="241">
        <f t="shared" si="32"/>
        <v>-21668.936147512799</v>
      </c>
      <c r="BB12" s="241">
        <f t="shared" si="33"/>
        <v>14741.581624454851</v>
      </c>
      <c r="BC12" s="241">
        <f t="shared" si="34"/>
        <v>181090.73534319046</v>
      </c>
      <c r="BD12" s="241">
        <f t="shared" si="35"/>
        <v>166349.15371873562</v>
      </c>
      <c r="BE12" s="268">
        <f t="shared" si="36"/>
        <v>36410.51777196765</v>
      </c>
      <c r="BG12" s="763">
        <f>IF(B12&lt;=Tea_Retrofit!$G$21,1,0)</f>
        <v>1</v>
      </c>
      <c r="BH12" s="666">
        <f t="shared" si="37"/>
        <v>8</v>
      </c>
      <c r="BI12" s="662">
        <f>Tea_Retrofit!$G$20</f>
        <v>0.16900000000000001</v>
      </c>
      <c r="BJ12" s="239">
        <f t="shared" si="38"/>
        <v>17741.044596183223</v>
      </c>
      <c r="BK12" s="241">
        <f t="shared" si="39"/>
        <v>-12654.028658328481</v>
      </c>
      <c r="BL12" s="241">
        <f t="shared" si="40"/>
        <v>5087.0159378547414</v>
      </c>
      <c r="BM12" s="241">
        <f t="shared" si="41"/>
        <v>74875.909220878588</v>
      </c>
      <c r="BN12" s="241">
        <f t="shared" si="42"/>
        <v>69788.893283023848</v>
      </c>
      <c r="BO12" s="268">
        <f t="shared" si="43"/>
        <v>17741.044596183223</v>
      </c>
      <c r="BQ12" s="763">
        <f>IF(B12&lt;=Tobacco_Retrofit!$G$21,1,0)</f>
        <v>1</v>
      </c>
      <c r="BR12" s="666">
        <f t="shared" si="44"/>
        <v>8</v>
      </c>
      <c r="BS12" s="662">
        <f>Tobacco_Retrofit!$G$20</f>
        <v>0.14499999999999999</v>
      </c>
      <c r="BT12" s="239">
        <f t="shared" si="45"/>
        <v>66840.534809329009</v>
      </c>
      <c r="BU12" s="241">
        <f t="shared" si="46"/>
        <v>-44215.147479678439</v>
      </c>
      <c r="BV12" s="241">
        <f t="shared" si="47"/>
        <v>22625.38732965057</v>
      </c>
      <c r="BW12" s="241">
        <f t="shared" si="48"/>
        <v>304932.05158398923</v>
      </c>
      <c r="BX12" s="241">
        <f t="shared" si="49"/>
        <v>282306.66425433866</v>
      </c>
      <c r="BY12" s="268">
        <f t="shared" si="50"/>
        <v>66840.534809329009</v>
      </c>
      <c r="CA12" s="763">
        <f>IF(B12&lt;=Spas_Inputs!$G$21,1,0)</f>
        <v>1</v>
      </c>
      <c r="CB12" s="666">
        <f t="shared" si="51"/>
        <v>8</v>
      </c>
      <c r="CC12" s="662">
        <f>Spas_Inputs!$G$20</f>
        <v>0.113</v>
      </c>
      <c r="CD12" s="239">
        <f t="shared" si="52"/>
        <v>106121.57923777137</v>
      </c>
      <c r="CE12" s="241">
        <f t="shared" si="53"/>
        <v>-61056.266466406567</v>
      </c>
      <c r="CF12" s="241">
        <f t="shared" si="54"/>
        <v>45065.312771364799</v>
      </c>
      <c r="CG12" s="241">
        <f t="shared" si="55"/>
        <v>540320.94218058907</v>
      </c>
      <c r="CH12" s="241">
        <f t="shared" si="56"/>
        <v>495255.62940922426</v>
      </c>
      <c r="CI12" s="268">
        <f t="shared" si="57"/>
        <v>106121.57923777137</v>
      </c>
      <c r="CK12" s="763">
        <f>IF(B12&lt;=Greenhouse_Retrofit!$G$21,1,0)</f>
        <v>1</v>
      </c>
      <c r="CL12" s="666">
        <f t="shared" si="58"/>
        <v>8</v>
      </c>
      <c r="CM12" s="662">
        <f>Greenhouse_Retrofit!$G$20</f>
        <v>0.16900000000000001</v>
      </c>
      <c r="CN12" s="239">
        <f t="shared" si="59"/>
        <v>17741.044596183223</v>
      </c>
      <c r="CO12" s="241">
        <f t="shared" si="60"/>
        <v>-12654.028658328481</v>
      </c>
      <c r="CP12" s="241">
        <f t="shared" si="61"/>
        <v>5087.0159378547414</v>
      </c>
      <c r="CQ12" s="241">
        <f t="shared" si="62"/>
        <v>74875.909220878588</v>
      </c>
      <c r="CR12" s="241">
        <f t="shared" si="63"/>
        <v>69788.893283023848</v>
      </c>
      <c r="CS12" s="268">
        <f t="shared" si="64"/>
        <v>17741.044596183223</v>
      </c>
      <c r="CU12" s="763">
        <f>IF(B12&lt;=Hatchery_Retrofit!$G$21,1,0)</f>
        <v>1</v>
      </c>
      <c r="CV12" s="661">
        <f t="shared" si="81"/>
        <v>8</v>
      </c>
      <c r="CW12" s="662">
        <f>Hatchery_Retrofit!$G$20</f>
        <v>0.119657894736842</v>
      </c>
      <c r="CX12" s="239">
        <f t="shared" si="66"/>
        <v>12185.974060472376</v>
      </c>
      <c r="CY12" s="241">
        <f t="shared" si="67"/>
        <v>-7252.2202366185502</v>
      </c>
      <c r="CZ12" s="241">
        <f t="shared" si="68"/>
        <v>4933.7538238538255</v>
      </c>
      <c r="DA12" s="241">
        <f t="shared" si="69"/>
        <v>60607.954473610102</v>
      </c>
      <c r="DB12" s="241">
        <f t="shared" si="70"/>
        <v>55674.200649756276</v>
      </c>
      <c r="DC12" s="268">
        <f t="shared" si="71"/>
        <v>12185.974060472376</v>
      </c>
      <c r="DE12" s="763">
        <f>IF(B12&lt;=Milk_Retrofit!$G$21,1,0)</f>
        <v>1</v>
      </c>
      <c r="DF12" s="666">
        <f t="shared" si="72"/>
        <v>8</v>
      </c>
      <c r="DG12" s="662">
        <f>Milk_Retrofit!$G$20</f>
        <v>0.16700000000000001</v>
      </c>
      <c r="DH12" s="239">
        <f t="shared" si="73"/>
        <v>26529.258740817564</v>
      </c>
      <c r="DI12" s="241">
        <f t="shared" si="74"/>
        <v>-18817.414185394271</v>
      </c>
      <c r="DJ12" s="241">
        <f t="shared" si="75"/>
        <v>7711.8445554232931</v>
      </c>
      <c r="DK12" s="241">
        <f t="shared" si="76"/>
        <v>112679.12685864832</v>
      </c>
      <c r="DL12" s="241">
        <f t="shared" si="77"/>
        <v>104967.28230322503</v>
      </c>
      <c r="DM12" s="268">
        <f t="shared" si="78"/>
        <v>26529.258740817564</v>
      </c>
    </row>
    <row r="13" spans="2:117" s="107" customFormat="1" x14ac:dyDescent="0.3">
      <c r="B13" s="192">
        <f t="shared" si="79"/>
        <v>4</v>
      </c>
      <c r="C13" s="663">
        <f t="shared" si="1"/>
        <v>2024</v>
      </c>
      <c r="D13" s="664">
        <f t="shared" si="0"/>
        <v>0</v>
      </c>
      <c r="E13" s="86"/>
      <c r="F13" s="200"/>
      <c r="G13" s="351">
        <f t="shared" si="80"/>
        <v>45292</v>
      </c>
      <c r="H13" s="441">
        <f t="shared" si="80"/>
        <v>45657</v>
      </c>
      <c r="I13" s="665">
        <f>IF(B13&lt;=Fish_Inputs!$G$21,1,0)</f>
        <v>1</v>
      </c>
      <c r="J13" s="666">
        <f t="shared" si="2"/>
        <v>7</v>
      </c>
      <c r="K13" s="518">
        <f>Fish_Inputs!$G$20</f>
        <v>0.16700000000000001</v>
      </c>
      <c r="L13" s="239">
        <f t="shared" si="3"/>
        <v>39925.563522612276</v>
      </c>
      <c r="M13" s="241">
        <f t="shared" si="4"/>
        <v>-26381.310375169847</v>
      </c>
      <c r="N13" s="241">
        <f t="shared" si="5"/>
        <v>13544.253147442429</v>
      </c>
      <c r="O13" s="241">
        <f t="shared" si="6"/>
        <v>157971.9184141907</v>
      </c>
      <c r="P13" s="241">
        <f t="shared" si="7"/>
        <v>144427.66526674828</v>
      </c>
      <c r="Q13" s="268">
        <f t="shared" si="8"/>
        <v>39925.563522612276</v>
      </c>
      <c r="S13" s="763">
        <f>IF(B13&lt;=Fruit_Inputs!$G$21,1,0)</f>
        <v>1</v>
      </c>
      <c r="T13" s="666">
        <f t="shared" si="9"/>
        <v>7</v>
      </c>
      <c r="U13" s="662">
        <f>Fruit_Inputs!$G$20</f>
        <v>0.23089999999999999</v>
      </c>
      <c r="V13" s="239">
        <f t="shared" si="10"/>
        <v>51146.80071397651</v>
      </c>
      <c r="W13" s="241">
        <f t="shared" si="11"/>
        <v>-39199.794996962068</v>
      </c>
      <c r="X13" s="241">
        <f t="shared" si="12"/>
        <v>11947.005717014443</v>
      </c>
      <c r="Y13" s="241">
        <f t="shared" si="13"/>
        <v>169769.57556068458</v>
      </c>
      <c r="Z13" s="241">
        <f t="shared" si="14"/>
        <v>157822.56984367012</v>
      </c>
      <c r="AA13" s="268">
        <f t="shared" si="15"/>
        <v>51146.80071397651</v>
      </c>
      <c r="AC13" s="763">
        <f>IF(B13&lt;=Veg_Inputs!$G$21,1,0)</f>
        <v>1</v>
      </c>
      <c r="AD13" s="666">
        <f t="shared" si="16"/>
        <v>7</v>
      </c>
      <c r="AE13" s="662">
        <f>Veg_Inputs!$G$20</f>
        <v>0.14499999999999999</v>
      </c>
      <c r="AF13" s="239">
        <f t="shared" si="17"/>
        <v>39773.967654849454</v>
      </c>
      <c r="AG13" s="241">
        <f t="shared" si="18"/>
        <v>-24358.364933801135</v>
      </c>
      <c r="AH13" s="241">
        <f t="shared" si="19"/>
        <v>15415.602721048319</v>
      </c>
      <c r="AI13" s="241">
        <f t="shared" si="20"/>
        <v>167988.72368138714</v>
      </c>
      <c r="AJ13" s="241">
        <f t="shared" si="21"/>
        <v>152573.12096033883</v>
      </c>
      <c r="AK13" s="268">
        <f t="shared" si="22"/>
        <v>39773.967654849454</v>
      </c>
      <c r="AM13" s="763">
        <f>IF(B13&lt;=Rice_Inputs!$G$21,1,0)</f>
        <v>1</v>
      </c>
      <c r="AN13" s="666">
        <f t="shared" si="23"/>
        <v>7</v>
      </c>
      <c r="AO13" s="662">
        <f>Rice_Inputs!$G$20</f>
        <v>0.23089999999999999</v>
      </c>
      <c r="AP13" s="239">
        <f t="shared" si="24"/>
        <v>97709.460668984189</v>
      </c>
      <c r="AQ13" s="241">
        <f t="shared" si="25"/>
        <v>-74886.225023284016</v>
      </c>
      <c r="AR13" s="241">
        <f t="shared" si="26"/>
        <v>22823.235645700173</v>
      </c>
      <c r="AS13" s="241">
        <f t="shared" si="27"/>
        <v>324323.19195878744</v>
      </c>
      <c r="AT13" s="241">
        <f t="shared" si="28"/>
        <v>301499.95631308726</v>
      </c>
      <c r="AU13" s="268">
        <f t="shared" si="29"/>
        <v>97709.460668984189</v>
      </c>
      <c r="AW13" s="763">
        <f>IF(B13&lt;=Pyre_Inputs!$G$21,1,0)</f>
        <v>1</v>
      </c>
      <c r="AX13" s="666">
        <f t="shared" si="30"/>
        <v>7</v>
      </c>
      <c r="AY13" s="662">
        <f>Pyre_Inputs!$G$20</f>
        <v>0.119657894736842</v>
      </c>
      <c r="AZ13" s="239">
        <f t="shared" si="31"/>
        <v>36410.51777196765</v>
      </c>
      <c r="BA13" s="241">
        <f t="shared" si="32"/>
        <v>-19904.989525239216</v>
      </c>
      <c r="BB13" s="241">
        <f t="shared" si="33"/>
        <v>16505.528246728434</v>
      </c>
      <c r="BC13" s="241">
        <f t="shared" si="34"/>
        <v>166349.15371873562</v>
      </c>
      <c r="BD13" s="241">
        <f t="shared" si="35"/>
        <v>149843.62547200717</v>
      </c>
      <c r="BE13" s="268">
        <f t="shared" si="36"/>
        <v>36410.51777196765</v>
      </c>
      <c r="BG13" s="763">
        <f>IF(B13&lt;=Tea_Retrofit!$G$21,1,0)</f>
        <v>1</v>
      </c>
      <c r="BH13" s="666">
        <f t="shared" si="37"/>
        <v>7</v>
      </c>
      <c r="BI13" s="662">
        <f>Tea_Retrofit!$G$20</f>
        <v>0.16900000000000001</v>
      </c>
      <c r="BJ13" s="239">
        <f t="shared" si="38"/>
        <v>17741.044596183223</v>
      </c>
      <c r="BK13" s="241">
        <f t="shared" si="39"/>
        <v>-11794.322964831032</v>
      </c>
      <c r="BL13" s="241">
        <f t="shared" si="40"/>
        <v>5946.7216313521913</v>
      </c>
      <c r="BM13" s="241">
        <f t="shared" si="41"/>
        <v>69788.893283023848</v>
      </c>
      <c r="BN13" s="241">
        <f t="shared" si="42"/>
        <v>63842.171651671655</v>
      </c>
      <c r="BO13" s="268">
        <f t="shared" si="43"/>
        <v>17741.044596183223</v>
      </c>
      <c r="BQ13" s="763">
        <f>IF(B13&lt;=Tobacco_Retrofit!$G$21,1,0)</f>
        <v>1</v>
      </c>
      <c r="BR13" s="666">
        <f t="shared" si="44"/>
        <v>7</v>
      </c>
      <c r="BS13" s="662">
        <f>Tobacco_Retrofit!$G$20</f>
        <v>0.14499999999999999</v>
      </c>
      <c r="BT13" s="239">
        <f t="shared" si="45"/>
        <v>66840.534809329009</v>
      </c>
      <c r="BU13" s="241">
        <f t="shared" si="46"/>
        <v>-40934.466316879101</v>
      </c>
      <c r="BV13" s="241">
        <f t="shared" si="47"/>
        <v>25906.068492449907</v>
      </c>
      <c r="BW13" s="241">
        <f t="shared" si="48"/>
        <v>282306.66425433866</v>
      </c>
      <c r="BX13" s="241">
        <f t="shared" si="49"/>
        <v>256400.59576188875</v>
      </c>
      <c r="BY13" s="268">
        <f t="shared" si="50"/>
        <v>66840.534809329009</v>
      </c>
      <c r="CA13" s="763">
        <f>IF(B13&lt;=Spas_Inputs!$G$21,1,0)</f>
        <v>1</v>
      </c>
      <c r="CB13" s="666">
        <f t="shared" si="51"/>
        <v>7</v>
      </c>
      <c r="CC13" s="662">
        <f>Spas_Inputs!$G$20</f>
        <v>0.113</v>
      </c>
      <c r="CD13" s="239">
        <f t="shared" si="52"/>
        <v>106121.57923777138</v>
      </c>
      <c r="CE13" s="241">
        <f t="shared" si="53"/>
        <v>-55963.886123242344</v>
      </c>
      <c r="CF13" s="241">
        <f t="shared" si="54"/>
        <v>50157.693114529036</v>
      </c>
      <c r="CG13" s="241">
        <f t="shared" si="55"/>
        <v>495255.62940922426</v>
      </c>
      <c r="CH13" s="241">
        <f t="shared" si="56"/>
        <v>445097.93629469525</v>
      </c>
      <c r="CI13" s="268">
        <f t="shared" si="57"/>
        <v>106121.57923777138</v>
      </c>
      <c r="CK13" s="763">
        <f>IF(B13&lt;=Greenhouse_Retrofit!$G$21,1,0)</f>
        <v>1</v>
      </c>
      <c r="CL13" s="666">
        <f t="shared" si="58"/>
        <v>7</v>
      </c>
      <c r="CM13" s="662">
        <f>Greenhouse_Retrofit!$G$20</f>
        <v>0.16900000000000001</v>
      </c>
      <c r="CN13" s="239">
        <f t="shared" si="59"/>
        <v>17741.044596183223</v>
      </c>
      <c r="CO13" s="241">
        <f t="shared" si="60"/>
        <v>-11794.322964831032</v>
      </c>
      <c r="CP13" s="241">
        <f t="shared" si="61"/>
        <v>5946.7216313521913</v>
      </c>
      <c r="CQ13" s="241">
        <f t="shared" si="62"/>
        <v>69788.893283023848</v>
      </c>
      <c r="CR13" s="241">
        <f t="shared" si="63"/>
        <v>63842.171651671655</v>
      </c>
      <c r="CS13" s="268">
        <f t="shared" si="64"/>
        <v>17741.044596183223</v>
      </c>
      <c r="CU13" s="763">
        <f>IF(B13&lt;=Hatchery_Retrofit!$G$21,1,0)</f>
        <v>1</v>
      </c>
      <c r="CV13" s="661">
        <f t="shared" si="81"/>
        <v>7</v>
      </c>
      <c r="CW13" s="662">
        <f>Hatchery_Retrofit!$G$20</f>
        <v>0.119657894736842</v>
      </c>
      <c r="CX13" s="239">
        <f t="shared" si="66"/>
        <v>12185.974060472374</v>
      </c>
      <c r="CY13" s="241">
        <f t="shared" si="67"/>
        <v>-6661.8576409063571</v>
      </c>
      <c r="CZ13" s="241">
        <f t="shared" si="68"/>
        <v>5524.1164195660167</v>
      </c>
      <c r="DA13" s="241">
        <f t="shared" si="69"/>
        <v>55674.200649756276</v>
      </c>
      <c r="DB13" s="241">
        <f t="shared" si="70"/>
        <v>50150.084230190259</v>
      </c>
      <c r="DC13" s="268">
        <f t="shared" si="71"/>
        <v>12185.974060472374</v>
      </c>
      <c r="DE13" s="763">
        <f>IF(B13&lt;=Milk_Retrofit!$G$21,1,0)</f>
        <v>1</v>
      </c>
      <c r="DF13" s="666">
        <f t="shared" si="72"/>
        <v>7</v>
      </c>
      <c r="DG13" s="662">
        <f>Milk_Retrofit!$G$20</f>
        <v>0.16700000000000001</v>
      </c>
      <c r="DH13" s="239">
        <f t="shared" si="73"/>
        <v>26529.258740817557</v>
      </c>
      <c r="DI13" s="241">
        <f t="shared" si="74"/>
        <v>-17529.53614463858</v>
      </c>
      <c r="DJ13" s="241">
        <f t="shared" si="75"/>
        <v>8999.7225961789773</v>
      </c>
      <c r="DK13" s="241">
        <f t="shared" si="76"/>
        <v>104967.28230322503</v>
      </c>
      <c r="DL13" s="241">
        <f t="shared" si="77"/>
        <v>95967.55970704605</v>
      </c>
      <c r="DM13" s="268">
        <f t="shared" si="78"/>
        <v>26529.258740817557</v>
      </c>
    </row>
    <row r="14" spans="2:117" s="107" customFormat="1" x14ac:dyDescent="0.3">
      <c r="B14" s="192">
        <f t="shared" si="79"/>
        <v>5</v>
      </c>
      <c r="C14" s="663">
        <f t="shared" si="1"/>
        <v>2025</v>
      </c>
      <c r="D14" s="664">
        <f t="shared" si="0"/>
        <v>0</v>
      </c>
      <c r="E14" s="228"/>
      <c r="F14" s="229"/>
      <c r="G14" s="351">
        <f t="shared" si="80"/>
        <v>45658</v>
      </c>
      <c r="H14" s="441">
        <f t="shared" si="80"/>
        <v>46022</v>
      </c>
      <c r="I14" s="665">
        <f>IF(B14&lt;=Fish_Inputs!$G$21,1,0)</f>
        <v>1</v>
      </c>
      <c r="J14" s="666">
        <f t="shared" si="2"/>
        <v>6</v>
      </c>
      <c r="K14" s="518">
        <f>Fish_Inputs!$G$20</f>
        <v>0.16700000000000001</v>
      </c>
      <c r="L14" s="239">
        <f t="shared" si="3"/>
        <v>39925.56352261229</v>
      </c>
      <c r="M14" s="241">
        <f t="shared" si="4"/>
        <v>-24119.420099546966</v>
      </c>
      <c r="N14" s="241">
        <f t="shared" si="5"/>
        <v>15806.143423065325</v>
      </c>
      <c r="O14" s="241">
        <f t="shared" si="6"/>
        <v>144427.66526674828</v>
      </c>
      <c r="P14" s="241">
        <f t="shared" si="7"/>
        <v>128621.52184368296</v>
      </c>
      <c r="Q14" s="268">
        <f t="shared" si="8"/>
        <v>39925.56352261229</v>
      </c>
      <c r="S14" s="763">
        <f>IF(B14&lt;=Fruit_Inputs!$G$21,1,0)</f>
        <v>1</v>
      </c>
      <c r="T14" s="666">
        <f t="shared" si="9"/>
        <v>6</v>
      </c>
      <c r="U14" s="662">
        <f>Fruit_Inputs!$G$20</f>
        <v>0.23089999999999999</v>
      </c>
      <c r="V14" s="239">
        <f t="shared" si="10"/>
        <v>51146.80071397651</v>
      </c>
      <c r="W14" s="241">
        <f t="shared" si="11"/>
        <v>-36441.23137690343</v>
      </c>
      <c r="X14" s="241">
        <f t="shared" si="12"/>
        <v>14705.569337073081</v>
      </c>
      <c r="Y14" s="241">
        <f t="shared" si="13"/>
        <v>157822.56984367012</v>
      </c>
      <c r="Z14" s="241">
        <f t="shared" si="14"/>
        <v>143117.00050659705</v>
      </c>
      <c r="AA14" s="268">
        <f t="shared" si="15"/>
        <v>51146.80071397651</v>
      </c>
      <c r="AC14" s="763">
        <f>IF(B14&lt;=Veg_Inputs!$G$21,1,0)</f>
        <v>1</v>
      </c>
      <c r="AD14" s="666">
        <f t="shared" si="16"/>
        <v>6</v>
      </c>
      <c r="AE14" s="662">
        <f>Veg_Inputs!$G$20</f>
        <v>0.14499999999999999</v>
      </c>
      <c r="AF14" s="239">
        <f t="shared" si="17"/>
        <v>39773.967654849446</v>
      </c>
      <c r="AG14" s="241">
        <f t="shared" si="18"/>
        <v>-22123.102539249128</v>
      </c>
      <c r="AH14" s="241">
        <f t="shared" si="19"/>
        <v>17650.865115600318</v>
      </c>
      <c r="AI14" s="241">
        <f t="shared" si="20"/>
        <v>152573.12096033883</v>
      </c>
      <c r="AJ14" s="241">
        <f t="shared" si="21"/>
        <v>134922.25584473851</v>
      </c>
      <c r="AK14" s="268">
        <f t="shared" si="22"/>
        <v>39773.967654849446</v>
      </c>
      <c r="AM14" s="763">
        <f>IF(B14&lt;=Rice_Inputs!$G$21,1,0)</f>
        <v>1</v>
      </c>
      <c r="AN14" s="666">
        <f t="shared" si="23"/>
        <v>6</v>
      </c>
      <c r="AO14" s="662">
        <f>Rice_Inputs!$G$20</f>
        <v>0.23089999999999999</v>
      </c>
      <c r="AP14" s="239">
        <f t="shared" si="24"/>
        <v>97709.460668984204</v>
      </c>
      <c r="AQ14" s="241">
        <f t="shared" si="25"/>
        <v>-69616.339912691852</v>
      </c>
      <c r="AR14" s="241">
        <f t="shared" si="26"/>
        <v>28093.120756292352</v>
      </c>
      <c r="AS14" s="241">
        <f t="shared" si="27"/>
        <v>301499.95631308726</v>
      </c>
      <c r="AT14" s="241">
        <f t="shared" si="28"/>
        <v>273406.83555679489</v>
      </c>
      <c r="AU14" s="268">
        <f t="shared" si="29"/>
        <v>97709.460668984204</v>
      </c>
      <c r="AW14" s="763">
        <f>IF(B14&lt;=Pyre_Inputs!$G$21,1,0)</f>
        <v>1</v>
      </c>
      <c r="AX14" s="666">
        <f t="shared" si="30"/>
        <v>6</v>
      </c>
      <c r="AY14" s="662">
        <f>Pyre_Inputs!$G$20</f>
        <v>0.119657894736842</v>
      </c>
      <c r="AZ14" s="239">
        <f t="shared" si="31"/>
        <v>36410.51777196765</v>
      </c>
      <c r="BA14" s="241">
        <f t="shared" si="32"/>
        <v>-17929.97276371621</v>
      </c>
      <c r="BB14" s="241">
        <f t="shared" si="33"/>
        <v>18480.54500825144</v>
      </c>
      <c r="BC14" s="241">
        <f t="shared" si="34"/>
        <v>149843.62547200717</v>
      </c>
      <c r="BD14" s="241">
        <f t="shared" si="35"/>
        <v>131363.08046375573</v>
      </c>
      <c r="BE14" s="268">
        <f t="shared" si="36"/>
        <v>36410.51777196765</v>
      </c>
      <c r="BG14" s="763">
        <f>IF(B14&lt;=Tea_Retrofit!$G$21,1,0)</f>
        <v>1</v>
      </c>
      <c r="BH14" s="666">
        <f t="shared" si="37"/>
        <v>6</v>
      </c>
      <c r="BI14" s="662">
        <f>Tea_Retrofit!$G$20</f>
        <v>0.16900000000000001</v>
      </c>
      <c r="BJ14" s="239">
        <f t="shared" si="38"/>
        <v>17741.044596183223</v>
      </c>
      <c r="BK14" s="241">
        <f t="shared" si="39"/>
        <v>-10789.32700913251</v>
      </c>
      <c r="BL14" s="241">
        <f t="shared" si="40"/>
        <v>6951.7175870507126</v>
      </c>
      <c r="BM14" s="241">
        <f t="shared" si="41"/>
        <v>63842.171651671655</v>
      </c>
      <c r="BN14" s="241">
        <f t="shared" si="42"/>
        <v>56890.454064620943</v>
      </c>
      <c r="BO14" s="268">
        <f t="shared" si="43"/>
        <v>17741.044596183223</v>
      </c>
      <c r="BQ14" s="763">
        <f>IF(B14&lt;=Tobacco_Retrofit!$G$21,1,0)</f>
        <v>1</v>
      </c>
      <c r="BR14" s="666">
        <f t="shared" si="44"/>
        <v>6</v>
      </c>
      <c r="BS14" s="662">
        <f>Tobacco_Retrofit!$G$20</f>
        <v>0.14499999999999999</v>
      </c>
      <c r="BT14" s="239">
        <f t="shared" si="45"/>
        <v>66840.534809328994</v>
      </c>
      <c r="BU14" s="241">
        <f t="shared" si="46"/>
        <v>-37178.086385473864</v>
      </c>
      <c r="BV14" s="241">
        <f t="shared" si="47"/>
        <v>29662.44842385513</v>
      </c>
      <c r="BW14" s="241">
        <f t="shared" si="48"/>
        <v>256400.59576188875</v>
      </c>
      <c r="BX14" s="241">
        <f t="shared" si="49"/>
        <v>226738.14733803362</v>
      </c>
      <c r="BY14" s="268">
        <f t="shared" si="50"/>
        <v>66840.534809328994</v>
      </c>
      <c r="CA14" s="763">
        <f>IF(B14&lt;=Spas_Inputs!$G$21,1,0)</f>
        <v>1</v>
      </c>
      <c r="CB14" s="666">
        <f t="shared" si="51"/>
        <v>6</v>
      </c>
      <c r="CC14" s="662">
        <f>Spas_Inputs!$G$20</f>
        <v>0.113</v>
      </c>
      <c r="CD14" s="239">
        <f t="shared" si="52"/>
        <v>106121.5792377714</v>
      </c>
      <c r="CE14" s="241">
        <f t="shared" si="53"/>
        <v>-50296.066801300563</v>
      </c>
      <c r="CF14" s="241">
        <f t="shared" si="54"/>
        <v>55825.512436470832</v>
      </c>
      <c r="CG14" s="241">
        <f t="shared" si="55"/>
        <v>445097.93629469525</v>
      </c>
      <c r="CH14" s="241">
        <f t="shared" si="56"/>
        <v>389272.42385822441</v>
      </c>
      <c r="CI14" s="268">
        <f t="shared" si="57"/>
        <v>106121.5792377714</v>
      </c>
      <c r="CK14" s="763">
        <f>IF(B14&lt;=Greenhouse_Retrofit!$G$21,1,0)</f>
        <v>1</v>
      </c>
      <c r="CL14" s="666">
        <f t="shared" si="58"/>
        <v>6</v>
      </c>
      <c r="CM14" s="662">
        <f>Greenhouse_Retrofit!$G$20</f>
        <v>0.16900000000000001</v>
      </c>
      <c r="CN14" s="239">
        <f t="shared" si="59"/>
        <v>17741.044596183223</v>
      </c>
      <c r="CO14" s="241">
        <f t="shared" si="60"/>
        <v>-10789.32700913251</v>
      </c>
      <c r="CP14" s="241">
        <f t="shared" si="61"/>
        <v>6951.7175870507126</v>
      </c>
      <c r="CQ14" s="241">
        <f t="shared" si="62"/>
        <v>63842.171651671655</v>
      </c>
      <c r="CR14" s="241">
        <f t="shared" si="63"/>
        <v>56890.454064620943</v>
      </c>
      <c r="CS14" s="268">
        <f t="shared" si="64"/>
        <v>17741.044596183223</v>
      </c>
      <c r="CU14" s="763">
        <f>IF(B14&lt;=Hatchery_Retrofit!$G$21,1,0)</f>
        <v>1</v>
      </c>
      <c r="CV14" s="661">
        <f t="shared" si="81"/>
        <v>6</v>
      </c>
      <c r="CW14" s="662">
        <f>Hatchery_Retrofit!$G$20</f>
        <v>0.119657894736842</v>
      </c>
      <c r="CX14" s="239">
        <f t="shared" si="66"/>
        <v>12185.974060472376</v>
      </c>
      <c r="CY14" s="241">
        <f t="shared" si="67"/>
        <v>-6000.8534998598661</v>
      </c>
      <c r="CZ14" s="241">
        <f t="shared" si="68"/>
        <v>6185.1205606125095</v>
      </c>
      <c r="DA14" s="241">
        <f t="shared" si="69"/>
        <v>50150.084230190259</v>
      </c>
      <c r="DB14" s="241">
        <f t="shared" si="70"/>
        <v>43964.963669577752</v>
      </c>
      <c r="DC14" s="268">
        <f t="shared" si="71"/>
        <v>12185.974060472376</v>
      </c>
      <c r="DE14" s="763">
        <f>IF(B14&lt;=Milk_Retrofit!$G$21,1,0)</f>
        <v>1</v>
      </c>
      <c r="DF14" s="666">
        <f t="shared" si="72"/>
        <v>6</v>
      </c>
      <c r="DG14" s="662">
        <f>Milk_Retrofit!$G$20</f>
        <v>0.16700000000000001</v>
      </c>
      <c r="DH14" s="239">
        <f t="shared" si="73"/>
        <v>26529.25874081756</v>
      </c>
      <c r="DI14" s="241">
        <f t="shared" si="74"/>
        <v>-16026.582471076692</v>
      </c>
      <c r="DJ14" s="241">
        <f t="shared" si="75"/>
        <v>10502.676269740869</v>
      </c>
      <c r="DK14" s="241">
        <f t="shared" si="76"/>
        <v>95967.55970704605</v>
      </c>
      <c r="DL14" s="241">
        <f t="shared" si="77"/>
        <v>85464.88343730518</v>
      </c>
      <c r="DM14" s="268">
        <f t="shared" si="78"/>
        <v>26529.25874081756</v>
      </c>
    </row>
    <row r="15" spans="2:117" s="107" customFormat="1" x14ac:dyDescent="0.3">
      <c r="B15" s="192">
        <f t="shared" si="79"/>
        <v>6</v>
      </c>
      <c r="C15" s="663">
        <f t="shared" si="1"/>
        <v>2026</v>
      </c>
      <c r="D15" s="664">
        <f t="shared" si="0"/>
        <v>0</v>
      </c>
      <c r="E15" s="228"/>
      <c r="F15" s="229"/>
      <c r="G15" s="351">
        <f t="shared" si="80"/>
        <v>46023</v>
      </c>
      <c r="H15" s="441">
        <f t="shared" si="80"/>
        <v>46387</v>
      </c>
      <c r="I15" s="665">
        <f>IF(B15&lt;=Fish_Inputs!$G$21,1,0)</f>
        <v>1</v>
      </c>
      <c r="J15" s="666">
        <f t="shared" si="2"/>
        <v>5</v>
      </c>
      <c r="K15" s="518">
        <f>Fish_Inputs!$G$20</f>
        <v>0.16700000000000001</v>
      </c>
      <c r="L15" s="239">
        <f t="shared" si="3"/>
        <v>39925.56352261229</v>
      </c>
      <c r="M15" s="241">
        <f t="shared" si="4"/>
        <v>-21479.794147895056</v>
      </c>
      <c r="N15" s="241">
        <f t="shared" si="5"/>
        <v>18445.769374717234</v>
      </c>
      <c r="O15" s="241">
        <f t="shared" si="6"/>
        <v>128621.52184368296</v>
      </c>
      <c r="P15" s="241">
        <f t="shared" si="7"/>
        <v>110175.75246896573</v>
      </c>
      <c r="Q15" s="268">
        <f t="shared" si="8"/>
        <v>39925.56352261229</v>
      </c>
      <c r="S15" s="763">
        <f>IF(B15&lt;=Fruit_Inputs!$G$21,1,0)</f>
        <v>1</v>
      </c>
      <c r="T15" s="666">
        <f t="shared" si="9"/>
        <v>5</v>
      </c>
      <c r="U15" s="662">
        <f>Fruit_Inputs!$G$20</f>
        <v>0.23089999999999999</v>
      </c>
      <c r="V15" s="239">
        <f t="shared" si="10"/>
        <v>51146.80071397651</v>
      </c>
      <c r="W15" s="241">
        <f t="shared" si="11"/>
        <v>-33045.71541697326</v>
      </c>
      <c r="X15" s="241">
        <f t="shared" si="12"/>
        <v>18101.08529700325</v>
      </c>
      <c r="Y15" s="241">
        <f t="shared" si="13"/>
        <v>143117.00050659705</v>
      </c>
      <c r="Z15" s="241">
        <f t="shared" si="14"/>
        <v>125015.9152095938</v>
      </c>
      <c r="AA15" s="268">
        <f t="shared" si="15"/>
        <v>51146.80071397651</v>
      </c>
      <c r="AC15" s="763">
        <f>IF(B15&lt;=Veg_Inputs!$G$21,1,0)</f>
        <v>1</v>
      </c>
      <c r="AD15" s="666">
        <f t="shared" si="16"/>
        <v>5</v>
      </c>
      <c r="AE15" s="662">
        <f>Veg_Inputs!$G$20</f>
        <v>0.14499999999999999</v>
      </c>
      <c r="AF15" s="239">
        <f t="shared" si="17"/>
        <v>39773.967654849454</v>
      </c>
      <c r="AG15" s="241">
        <f t="shared" si="18"/>
        <v>-19563.727097487081</v>
      </c>
      <c r="AH15" s="241">
        <f t="shared" si="19"/>
        <v>20210.240557362373</v>
      </c>
      <c r="AI15" s="241">
        <f t="shared" si="20"/>
        <v>134922.25584473851</v>
      </c>
      <c r="AJ15" s="241">
        <f t="shared" si="21"/>
        <v>114712.01528737614</v>
      </c>
      <c r="AK15" s="268">
        <f t="shared" si="22"/>
        <v>39773.967654849454</v>
      </c>
      <c r="AM15" s="763">
        <f>IF(B15&lt;=Rice_Inputs!$G$21,1,0)</f>
        <v>1</v>
      </c>
      <c r="AN15" s="666">
        <f t="shared" si="23"/>
        <v>5</v>
      </c>
      <c r="AO15" s="662">
        <f>Rice_Inputs!$G$20</f>
        <v>0.23089999999999999</v>
      </c>
      <c r="AP15" s="239">
        <f t="shared" si="24"/>
        <v>97709.460668984189</v>
      </c>
      <c r="AQ15" s="241">
        <f t="shared" si="25"/>
        <v>-63129.638330063935</v>
      </c>
      <c r="AR15" s="241">
        <f t="shared" si="26"/>
        <v>34579.822338920254</v>
      </c>
      <c r="AS15" s="241">
        <f t="shared" si="27"/>
        <v>273406.83555679489</v>
      </c>
      <c r="AT15" s="241">
        <f t="shared" si="28"/>
        <v>238827.01321787463</v>
      </c>
      <c r="AU15" s="268">
        <f t="shared" si="29"/>
        <v>97709.460668984189</v>
      </c>
      <c r="AW15" s="763">
        <f>IF(B15&lt;=Pyre_Inputs!$G$21,1,0)</f>
        <v>1</v>
      </c>
      <c r="AX15" s="666">
        <f t="shared" si="30"/>
        <v>5</v>
      </c>
      <c r="AY15" s="662">
        <f>Pyre_Inputs!$G$20</f>
        <v>0.119657894736842</v>
      </c>
      <c r="AZ15" s="239">
        <f t="shared" si="31"/>
        <v>36410.517771967658</v>
      </c>
      <c r="BA15" s="241">
        <f t="shared" si="32"/>
        <v>-15718.62965443939</v>
      </c>
      <c r="BB15" s="241">
        <f t="shared" si="33"/>
        <v>20691.888117528266</v>
      </c>
      <c r="BC15" s="241">
        <f t="shared" si="34"/>
        <v>131363.08046375573</v>
      </c>
      <c r="BD15" s="241">
        <f t="shared" si="35"/>
        <v>110671.19234622747</v>
      </c>
      <c r="BE15" s="268">
        <f t="shared" si="36"/>
        <v>36410.517771967658</v>
      </c>
      <c r="BG15" s="763">
        <f>IF(B15&lt;=Tea_Retrofit!$G$21,1,0)</f>
        <v>1</v>
      </c>
      <c r="BH15" s="666">
        <f t="shared" si="37"/>
        <v>5</v>
      </c>
      <c r="BI15" s="662">
        <f>Tea_Retrofit!$G$20</f>
        <v>0.16900000000000001</v>
      </c>
      <c r="BJ15" s="239">
        <f t="shared" si="38"/>
        <v>17741.04459618323</v>
      </c>
      <c r="BK15" s="241">
        <f t="shared" si="39"/>
        <v>-9614.4867369209405</v>
      </c>
      <c r="BL15" s="241">
        <f t="shared" si="40"/>
        <v>8126.5578592622896</v>
      </c>
      <c r="BM15" s="241">
        <f t="shared" si="41"/>
        <v>56890.454064620943</v>
      </c>
      <c r="BN15" s="241">
        <f t="shared" si="42"/>
        <v>48763.896205358651</v>
      </c>
      <c r="BO15" s="268">
        <f t="shared" si="43"/>
        <v>17741.04459618323</v>
      </c>
      <c r="BQ15" s="763">
        <f>IF(B15&lt;=Tobacco_Retrofit!$G$21,1,0)</f>
        <v>1</v>
      </c>
      <c r="BR15" s="666">
        <f t="shared" si="44"/>
        <v>5</v>
      </c>
      <c r="BS15" s="662">
        <f>Tobacco_Retrofit!$G$20</f>
        <v>0.14499999999999999</v>
      </c>
      <c r="BT15" s="239">
        <f t="shared" si="45"/>
        <v>66840.534809329023</v>
      </c>
      <c r="BU15" s="241">
        <f t="shared" si="46"/>
        <v>-32877.031364014874</v>
      </c>
      <c r="BV15" s="241">
        <f t="shared" si="47"/>
        <v>33963.503445314149</v>
      </c>
      <c r="BW15" s="241">
        <f t="shared" si="48"/>
        <v>226738.14733803362</v>
      </c>
      <c r="BX15" s="241">
        <f t="shared" si="49"/>
        <v>192774.64389271947</v>
      </c>
      <c r="BY15" s="268">
        <f t="shared" si="50"/>
        <v>66840.534809329023</v>
      </c>
      <c r="CA15" s="763">
        <f>IF(B15&lt;=Spas_Inputs!$G$21,1,0)</f>
        <v>1</v>
      </c>
      <c r="CB15" s="666">
        <f t="shared" si="51"/>
        <v>5</v>
      </c>
      <c r="CC15" s="662">
        <f>Spas_Inputs!$G$20</f>
        <v>0.113</v>
      </c>
      <c r="CD15" s="239">
        <f t="shared" si="52"/>
        <v>106121.5792377714</v>
      </c>
      <c r="CE15" s="241">
        <f t="shared" si="53"/>
        <v>-43987.783895979359</v>
      </c>
      <c r="CF15" s="241">
        <f t="shared" si="54"/>
        <v>62133.795341792036</v>
      </c>
      <c r="CG15" s="241">
        <f t="shared" si="55"/>
        <v>389272.42385822441</v>
      </c>
      <c r="CH15" s="241">
        <f t="shared" si="56"/>
        <v>327138.62851643236</v>
      </c>
      <c r="CI15" s="268">
        <f t="shared" si="57"/>
        <v>106121.5792377714</v>
      </c>
      <c r="CK15" s="763">
        <f>IF(B15&lt;=Greenhouse_Retrofit!$G$21,1,0)</f>
        <v>1</v>
      </c>
      <c r="CL15" s="666">
        <f t="shared" si="58"/>
        <v>5</v>
      </c>
      <c r="CM15" s="662">
        <f>Greenhouse_Retrofit!$G$20</f>
        <v>0.16900000000000001</v>
      </c>
      <c r="CN15" s="239">
        <f t="shared" si="59"/>
        <v>17741.04459618323</v>
      </c>
      <c r="CO15" s="241">
        <f t="shared" si="60"/>
        <v>-9614.4867369209405</v>
      </c>
      <c r="CP15" s="241">
        <f t="shared" si="61"/>
        <v>8126.5578592622896</v>
      </c>
      <c r="CQ15" s="241">
        <f t="shared" si="62"/>
        <v>56890.454064620943</v>
      </c>
      <c r="CR15" s="241">
        <f t="shared" si="63"/>
        <v>48763.896205358651</v>
      </c>
      <c r="CS15" s="268">
        <f t="shared" si="64"/>
        <v>17741.04459618323</v>
      </c>
      <c r="CU15" s="763">
        <f>IF(B15&lt;=Hatchery_Retrofit!$G$21,1,0)</f>
        <v>1</v>
      </c>
      <c r="CV15" s="661">
        <f t="shared" si="81"/>
        <v>5</v>
      </c>
      <c r="CW15" s="662">
        <f>Hatchery_Retrofit!$G$20</f>
        <v>0.119657894736842</v>
      </c>
      <c r="CX15" s="239">
        <f t="shared" si="66"/>
        <v>12185.974060472377</v>
      </c>
      <c r="CY15" s="241">
        <f t="shared" si="67"/>
        <v>-5260.7549948834176</v>
      </c>
      <c r="CZ15" s="241">
        <f t="shared" si="68"/>
        <v>6925.2190655889599</v>
      </c>
      <c r="DA15" s="241">
        <f t="shared" si="69"/>
        <v>43964.963669577752</v>
      </c>
      <c r="DB15" s="241">
        <f t="shared" si="70"/>
        <v>37039.744603988795</v>
      </c>
      <c r="DC15" s="268">
        <f t="shared" si="71"/>
        <v>12185.974060472377</v>
      </c>
      <c r="DE15" s="763">
        <f>IF(B15&lt;=Milk_Retrofit!$G$21,1,0)</f>
        <v>1</v>
      </c>
      <c r="DF15" s="666">
        <f t="shared" si="72"/>
        <v>5</v>
      </c>
      <c r="DG15" s="662">
        <f>Milk_Retrofit!$G$20</f>
        <v>0.16700000000000001</v>
      </c>
      <c r="DH15" s="239">
        <f t="shared" si="73"/>
        <v>26529.25874081756</v>
      </c>
      <c r="DI15" s="241">
        <f t="shared" si="74"/>
        <v>-14272.635534029965</v>
      </c>
      <c r="DJ15" s="241">
        <f t="shared" si="75"/>
        <v>12256.623206787595</v>
      </c>
      <c r="DK15" s="241">
        <f t="shared" si="76"/>
        <v>85464.88343730518</v>
      </c>
      <c r="DL15" s="241">
        <f t="shared" si="77"/>
        <v>73208.260230517582</v>
      </c>
      <c r="DM15" s="268">
        <f t="shared" si="78"/>
        <v>26529.25874081756</v>
      </c>
    </row>
    <row r="16" spans="2:117" s="107" customFormat="1" x14ac:dyDescent="0.3">
      <c r="B16" s="192">
        <f t="shared" si="79"/>
        <v>7</v>
      </c>
      <c r="C16" s="663">
        <f t="shared" si="1"/>
        <v>2027</v>
      </c>
      <c r="D16" s="664">
        <f t="shared" si="0"/>
        <v>0</v>
      </c>
      <c r="E16" s="228"/>
      <c r="F16" s="229"/>
      <c r="G16" s="351">
        <f t="shared" si="80"/>
        <v>46388</v>
      </c>
      <c r="H16" s="441">
        <f t="shared" si="80"/>
        <v>46752</v>
      </c>
      <c r="I16" s="665">
        <f>IF(B16&lt;=Fish_Inputs!$G$21,1,0)</f>
        <v>1</v>
      </c>
      <c r="J16" s="666">
        <f t="shared" si="2"/>
        <v>4</v>
      </c>
      <c r="K16" s="518">
        <f>Fish_Inputs!$G$20</f>
        <v>0.16700000000000001</v>
      </c>
      <c r="L16" s="239">
        <f t="shared" si="3"/>
        <v>39925.56352261229</v>
      </c>
      <c r="M16" s="241">
        <f t="shared" si="4"/>
        <v>-18399.350662317276</v>
      </c>
      <c r="N16" s="241">
        <f t="shared" si="5"/>
        <v>21526.212860295014</v>
      </c>
      <c r="O16" s="241">
        <f t="shared" si="6"/>
        <v>110175.75246896573</v>
      </c>
      <c r="P16" s="241">
        <f t="shared" si="7"/>
        <v>88649.539608670719</v>
      </c>
      <c r="Q16" s="268">
        <f t="shared" si="8"/>
        <v>39925.56352261229</v>
      </c>
      <c r="S16" s="763">
        <f>IF(B16&lt;=Fruit_Inputs!$G$21,1,0)</f>
        <v>1</v>
      </c>
      <c r="T16" s="666">
        <f t="shared" si="9"/>
        <v>4</v>
      </c>
      <c r="U16" s="662">
        <f>Fruit_Inputs!$G$20</f>
        <v>0.23089999999999999</v>
      </c>
      <c r="V16" s="239">
        <f t="shared" si="10"/>
        <v>51146.80071397651</v>
      </c>
      <c r="W16" s="241">
        <f t="shared" si="11"/>
        <v>-28866.174821895209</v>
      </c>
      <c r="X16" s="241">
        <f t="shared" si="12"/>
        <v>22280.625892081302</v>
      </c>
      <c r="Y16" s="241">
        <f t="shared" si="13"/>
        <v>125015.9152095938</v>
      </c>
      <c r="Z16" s="241">
        <f t="shared" si="14"/>
        <v>102735.28931751251</v>
      </c>
      <c r="AA16" s="268">
        <f t="shared" si="15"/>
        <v>51146.80071397651</v>
      </c>
      <c r="AC16" s="763">
        <f>IF(B16&lt;=Veg_Inputs!$G$21,1,0)</f>
        <v>1</v>
      </c>
      <c r="AD16" s="666">
        <f t="shared" si="16"/>
        <v>4</v>
      </c>
      <c r="AE16" s="662">
        <f>Veg_Inputs!$G$20</f>
        <v>0.14499999999999999</v>
      </c>
      <c r="AF16" s="239">
        <f t="shared" si="17"/>
        <v>39773.967654849454</v>
      </c>
      <c r="AG16" s="241">
        <f t="shared" si="18"/>
        <v>-16633.24221666954</v>
      </c>
      <c r="AH16" s="241">
        <f t="shared" si="19"/>
        <v>23140.725438179914</v>
      </c>
      <c r="AI16" s="241">
        <f t="shared" si="20"/>
        <v>114712.01528737614</v>
      </c>
      <c r="AJ16" s="241">
        <f t="shared" si="21"/>
        <v>91571.289849196226</v>
      </c>
      <c r="AK16" s="268">
        <f t="shared" si="22"/>
        <v>39773.967654849454</v>
      </c>
      <c r="AM16" s="763">
        <f>IF(B16&lt;=Rice_Inputs!$G$21,1,0)</f>
        <v>1</v>
      </c>
      <c r="AN16" s="666">
        <f t="shared" si="23"/>
        <v>4</v>
      </c>
      <c r="AO16" s="662">
        <f>Rice_Inputs!$G$20</f>
        <v>0.23089999999999999</v>
      </c>
      <c r="AP16" s="239">
        <f t="shared" si="24"/>
        <v>97709.460668984189</v>
      </c>
      <c r="AQ16" s="241">
        <f t="shared" si="25"/>
        <v>-55145.157352007249</v>
      </c>
      <c r="AR16" s="241">
        <f t="shared" si="26"/>
        <v>42564.303316976941</v>
      </c>
      <c r="AS16" s="241">
        <f t="shared" si="27"/>
        <v>238827.01321787463</v>
      </c>
      <c r="AT16" s="241">
        <f t="shared" si="28"/>
        <v>196262.70990089769</v>
      </c>
      <c r="AU16" s="268">
        <f t="shared" si="29"/>
        <v>97709.460668984189</v>
      </c>
      <c r="AW16" s="763">
        <f>IF(B16&lt;=Pyre_Inputs!$G$21,1,0)</f>
        <v>1</v>
      </c>
      <c r="AX16" s="666">
        <f t="shared" si="30"/>
        <v>4</v>
      </c>
      <c r="AY16" s="662">
        <f>Pyre_Inputs!$G$20</f>
        <v>0.119657894736842</v>
      </c>
      <c r="AZ16" s="239">
        <f t="shared" si="31"/>
        <v>36410.517771967665</v>
      </c>
      <c r="BA16" s="241">
        <f t="shared" si="32"/>
        <v>-13242.68188416568</v>
      </c>
      <c r="BB16" s="241">
        <f t="shared" si="33"/>
        <v>23167.835887801986</v>
      </c>
      <c r="BC16" s="241">
        <f t="shared" si="34"/>
        <v>110671.19234622747</v>
      </c>
      <c r="BD16" s="241">
        <f t="shared" si="35"/>
        <v>87503.356458425493</v>
      </c>
      <c r="BE16" s="268">
        <f t="shared" si="36"/>
        <v>36410.517771967665</v>
      </c>
      <c r="BG16" s="763">
        <f>IF(B16&lt;=Tea_Retrofit!$G$21,1,0)</f>
        <v>1</v>
      </c>
      <c r="BH16" s="666">
        <f t="shared" si="37"/>
        <v>4</v>
      </c>
      <c r="BI16" s="662">
        <f>Tea_Retrofit!$G$20</f>
        <v>0.16900000000000001</v>
      </c>
      <c r="BJ16" s="239">
        <f t="shared" si="38"/>
        <v>17741.044596183223</v>
      </c>
      <c r="BK16" s="241">
        <f t="shared" si="39"/>
        <v>-8241.0984587056118</v>
      </c>
      <c r="BL16" s="241">
        <f t="shared" si="40"/>
        <v>9499.946137477611</v>
      </c>
      <c r="BM16" s="241">
        <f t="shared" si="41"/>
        <v>48763.896205358651</v>
      </c>
      <c r="BN16" s="241">
        <f t="shared" si="42"/>
        <v>39263.950067881044</v>
      </c>
      <c r="BO16" s="268">
        <f t="shared" si="43"/>
        <v>17741.044596183223</v>
      </c>
      <c r="BQ16" s="763">
        <f>IF(B16&lt;=Tobacco_Retrofit!$G$21,1,0)</f>
        <v>1</v>
      </c>
      <c r="BR16" s="666">
        <f t="shared" si="44"/>
        <v>4</v>
      </c>
      <c r="BS16" s="662">
        <f>Tobacco_Retrofit!$G$20</f>
        <v>0.14499999999999999</v>
      </c>
      <c r="BT16" s="239">
        <f t="shared" si="45"/>
        <v>66840.534809329009</v>
      </c>
      <c r="BU16" s="241">
        <f t="shared" si="46"/>
        <v>-27952.323364444321</v>
      </c>
      <c r="BV16" s="241">
        <f t="shared" si="47"/>
        <v>38888.211444884684</v>
      </c>
      <c r="BW16" s="241">
        <f t="shared" si="48"/>
        <v>192774.64389271947</v>
      </c>
      <c r="BX16" s="241">
        <f t="shared" si="49"/>
        <v>153886.43244783478</v>
      </c>
      <c r="BY16" s="268">
        <f t="shared" si="50"/>
        <v>66840.534809329009</v>
      </c>
      <c r="CA16" s="763">
        <f>IF(B16&lt;=Spas_Inputs!$G$21,1,0)</f>
        <v>1</v>
      </c>
      <c r="CB16" s="666">
        <f t="shared" si="51"/>
        <v>4</v>
      </c>
      <c r="CC16" s="662">
        <f>Spas_Inputs!$G$20</f>
        <v>0.113</v>
      </c>
      <c r="CD16" s="239">
        <f t="shared" si="52"/>
        <v>106121.57923777137</v>
      </c>
      <c r="CE16" s="241">
        <f t="shared" si="53"/>
        <v>-36966.665022356858</v>
      </c>
      <c r="CF16" s="241">
        <f t="shared" si="54"/>
        <v>69154.914215414508</v>
      </c>
      <c r="CG16" s="241">
        <f t="shared" si="55"/>
        <v>327138.62851643236</v>
      </c>
      <c r="CH16" s="241">
        <f t="shared" si="56"/>
        <v>257983.71430101787</v>
      </c>
      <c r="CI16" s="268">
        <f t="shared" si="57"/>
        <v>106121.57923777137</v>
      </c>
      <c r="CK16" s="763">
        <f>IF(B16&lt;=Greenhouse_Retrofit!$G$21,1,0)</f>
        <v>1</v>
      </c>
      <c r="CL16" s="666">
        <f t="shared" si="58"/>
        <v>4</v>
      </c>
      <c r="CM16" s="662">
        <f>Greenhouse_Retrofit!$G$20</f>
        <v>0.16900000000000001</v>
      </c>
      <c r="CN16" s="239">
        <f t="shared" si="59"/>
        <v>17741.044596183223</v>
      </c>
      <c r="CO16" s="241">
        <f t="shared" si="60"/>
        <v>-8241.0984587056118</v>
      </c>
      <c r="CP16" s="241">
        <f t="shared" si="61"/>
        <v>9499.946137477611</v>
      </c>
      <c r="CQ16" s="241">
        <f t="shared" si="62"/>
        <v>48763.896205358651</v>
      </c>
      <c r="CR16" s="241">
        <f t="shared" si="63"/>
        <v>39263.950067881044</v>
      </c>
      <c r="CS16" s="268">
        <f t="shared" si="64"/>
        <v>17741.044596183223</v>
      </c>
      <c r="CU16" s="763">
        <f>IF(B16&lt;=Hatchery_Retrofit!$G$21,1,0)</f>
        <v>1</v>
      </c>
      <c r="CV16" s="661">
        <f t="shared" si="81"/>
        <v>4</v>
      </c>
      <c r="CW16" s="662">
        <f>Hatchery_Retrofit!$G$20</f>
        <v>0.119657894736842</v>
      </c>
      <c r="CX16" s="239">
        <f t="shared" si="66"/>
        <v>12185.974060472381</v>
      </c>
      <c r="CY16" s="241">
        <f t="shared" si="67"/>
        <v>-4432.0978609036029</v>
      </c>
      <c r="CZ16" s="241">
        <f t="shared" si="68"/>
        <v>7753.8761995687782</v>
      </c>
      <c r="DA16" s="241">
        <f t="shared" si="69"/>
        <v>37039.744603988795</v>
      </c>
      <c r="DB16" s="241">
        <f t="shared" si="70"/>
        <v>29285.868404420016</v>
      </c>
      <c r="DC16" s="268">
        <f t="shared" si="71"/>
        <v>12185.974060472381</v>
      </c>
      <c r="DE16" s="763">
        <f>IF(B16&lt;=Milk_Retrofit!$G$21,1,0)</f>
        <v>1</v>
      </c>
      <c r="DF16" s="666">
        <f t="shared" si="72"/>
        <v>4</v>
      </c>
      <c r="DG16" s="662">
        <f>Milk_Retrofit!$G$20</f>
        <v>0.16700000000000001</v>
      </c>
      <c r="DH16" s="239">
        <f t="shared" si="73"/>
        <v>26529.25874081756</v>
      </c>
      <c r="DI16" s="241">
        <f t="shared" si="74"/>
        <v>-12225.779458496438</v>
      </c>
      <c r="DJ16" s="241">
        <f t="shared" si="75"/>
        <v>14303.479282321123</v>
      </c>
      <c r="DK16" s="241">
        <f t="shared" si="76"/>
        <v>73208.260230517582</v>
      </c>
      <c r="DL16" s="241">
        <f t="shared" si="77"/>
        <v>58904.780948196458</v>
      </c>
      <c r="DM16" s="268">
        <f t="shared" si="78"/>
        <v>26529.25874081756</v>
      </c>
    </row>
    <row r="17" spans="2:117" s="107" customFormat="1" x14ac:dyDescent="0.3">
      <c r="B17" s="192">
        <f t="shared" si="79"/>
        <v>8</v>
      </c>
      <c r="C17" s="663">
        <f t="shared" si="1"/>
        <v>2028</v>
      </c>
      <c r="D17" s="664">
        <f t="shared" si="0"/>
        <v>0</v>
      </c>
      <c r="E17" s="228"/>
      <c r="F17" s="229"/>
      <c r="G17" s="351">
        <f t="shared" si="80"/>
        <v>46753</v>
      </c>
      <c r="H17" s="441">
        <f t="shared" si="80"/>
        <v>47118</v>
      </c>
      <c r="I17" s="665">
        <f>IF(B17&lt;=Fish_Inputs!$G$21,1,0)</f>
        <v>1</v>
      </c>
      <c r="J17" s="666">
        <f t="shared" si="2"/>
        <v>3</v>
      </c>
      <c r="K17" s="518">
        <f>Fish_Inputs!$G$20</f>
        <v>0.16700000000000001</v>
      </c>
      <c r="L17" s="239">
        <f t="shared" si="3"/>
        <v>39925.563522612298</v>
      </c>
      <c r="M17" s="241">
        <f t="shared" si="4"/>
        <v>-14804.473114648012</v>
      </c>
      <c r="N17" s="241">
        <f t="shared" si="5"/>
        <v>25121.090407964286</v>
      </c>
      <c r="O17" s="241">
        <f t="shared" si="6"/>
        <v>88649.539608670719</v>
      </c>
      <c r="P17" s="241">
        <f t="shared" si="7"/>
        <v>63528.449200706433</v>
      </c>
      <c r="Q17" s="268">
        <f t="shared" si="8"/>
        <v>39925.563522612298</v>
      </c>
      <c r="S17" s="763">
        <f>IF(B17&lt;=Fruit_Inputs!$G$21,1,0)</f>
        <v>1</v>
      </c>
      <c r="T17" s="666">
        <f t="shared" si="9"/>
        <v>3</v>
      </c>
      <c r="U17" s="662">
        <f>Fruit_Inputs!$G$20</f>
        <v>0.23089999999999999</v>
      </c>
      <c r="V17" s="239">
        <f t="shared" si="10"/>
        <v>51146.800713976518</v>
      </c>
      <c r="W17" s="241">
        <f t="shared" si="11"/>
        <v>-23721.578303413637</v>
      </c>
      <c r="X17" s="241">
        <f t="shared" si="12"/>
        <v>27425.222410562881</v>
      </c>
      <c r="Y17" s="241">
        <f t="shared" si="13"/>
        <v>102735.28931751251</v>
      </c>
      <c r="Z17" s="241">
        <f t="shared" si="14"/>
        <v>75310.066906949622</v>
      </c>
      <c r="AA17" s="268">
        <f t="shared" si="15"/>
        <v>51146.800713976518</v>
      </c>
      <c r="AC17" s="763">
        <f>IF(B17&lt;=Veg_Inputs!$G$21,1,0)</f>
        <v>1</v>
      </c>
      <c r="AD17" s="666">
        <f t="shared" si="16"/>
        <v>3</v>
      </c>
      <c r="AE17" s="662">
        <f>Veg_Inputs!$G$20</f>
        <v>0.14499999999999999</v>
      </c>
      <c r="AF17" s="239">
        <f t="shared" si="17"/>
        <v>39773.967654849454</v>
      </c>
      <c r="AG17" s="241">
        <f t="shared" si="18"/>
        <v>-13277.837028133452</v>
      </c>
      <c r="AH17" s="241">
        <f t="shared" si="19"/>
        <v>26496.130626716003</v>
      </c>
      <c r="AI17" s="241">
        <f t="shared" si="20"/>
        <v>91571.289849196226</v>
      </c>
      <c r="AJ17" s="241">
        <f t="shared" si="21"/>
        <v>65075.159222480223</v>
      </c>
      <c r="AK17" s="268">
        <f t="shared" si="22"/>
        <v>39773.967654849454</v>
      </c>
      <c r="AM17" s="763">
        <f>IF(B17&lt;=Rice_Inputs!$G$21,1,0)</f>
        <v>1</v>
      </c>
      <c r="AN17" s="666">
        <f t="shared" si="23"/>
        <v>3</v>
      </c>
      <c r="AO17" s="662">
        <f>Rice_Inputs!$G$20</f>
        <v>0.23089999999999999</v>
      </c>
      <c r="AP17" s="239">
        <f t="shared" si="24"/>
        <v>97709.460668984204</v>
      </c>
      <c r="AQ17" s="241">
        <f t="shared" si="25"/>
        <v>-45317.059716117277</v>
      </c>
      <c r="AR17" s="241">
        <f t="shared" si="26"/>
        <v>52392.400952866927</v>
      </c>
      <c r="AS17" s="241">
        <f t="shared" si="27"/>
        <v>196262.70990089769</v>
      </c>
      <c r="AT17" s="241">
        <f t="shared" si="28"/>
        <v>143870.30894803075</v>
      </c>
      <c r="AU17" s="268">
        <f t="shared" si="29"/>
        <v>97709.460668984204</v>
      </c>
      <c r="AW17" s="763">
        <f>IF(B17&lt;=Pyre_Inputs!$G$21,1,0)</f>
        <v>1</v>
      </c>
      <c r="AX17" s="666">
        <f t="shared" si="30"/>
        <v>3</v>
      </c>
      <c r="AY17" s="662">
        <f>Pyre_Inputs!$G$20</f>
        <v>0.119657894736842</v>
      </c>
      <c r="AZ17" s="239">
        <f t="shared" si="31"/>
        <v>36410.517771967679</v>
      </c>
      <c r="BA17" s="241">
        <f t="shared" si="32"/>
        <v>-10470.467416222642</v>
      </c>
      <c r="BB17" s="241">
        <f t="shared" si="33"/>
        <v>25940.050355745036</v>
      </c>
      <c r="BC17" s="241">
        <f t="shared" si="34"/>
        <v>87503.356458425493</v>
      </c>
      <c r="BD17" s="241">
        <f t="shared" si="35"/>
        <v>61563.306102680457</v>
      </c>
      <c r="BE17" s="268">
        <f t="shared" si="36"/>
        <v>36410.517771967679</v>
      </c>
      <c r="BG17" s="763">
        <f>IF(B17&lt;=Tea_Retrofit!$G$21,1,0)</f>
        <v>1</v>
      </c>
      <c r="BH17" s="666">
        <f t="shared" si="37"/>
        <v>3</v>
      </c>
      <c r="BI17" s="662">
        <f>Tea_Retrofit!$G$20</f>
        <v>0.16900000000000001</v>
      </c>
      <c r="BJ17" s="239">
        <f t="shared" si="38"/>
        <v>17741.04459618323</v>
      </c>
      <c r="BK17" s="241">
        <f t="shared" si="39"/>
        <v>-6635.6075614718966</v>
      </c>
      <c r="BL17" s="241">
        <f t="shared" si="40"/>
        <v>11105.437034711333</v>
      </c>
      <c r="BM17" s="241">
        <f t="shared" si="41"/>
        <v>39263.950067881044</v>
      </c>
      <c r="BN17" s="241">
        <f t="shared" si="42"/>
        <v>28158.513033169711</v>
      </c>
      <c r="BO17" s="268">
        <f t="shared" si="43"/>
        <v>17741.04459618323</v>
      </c>
      <c r="BQ17" s="763">
        <f>IF(B17&lt;=Tobacco_Retrofit!$G$21,1,0)</f>
        <v>1</v>
      </c>
      <c r="BR17" s="666">
        <f t="shared" si="44"/>
        <v>3</v>
      </c>
      <c r="BS17" s="662">
        <f>Tobacco_Retrofit!$G$20</f>
        <v>0.14499999999999999</v>
      </c>
      <c r="BT17" s="239">
        <f t="shared" si="45"/>
        <v>66840.534809329009</v>
      </c>
      <c r="BU17" s="241">
        <f t="shared" si="46"/>
        <v>-22313.532704936042</v>
      </c>
      <c r="BV17" s="241">
        <f t="shared" si="47"/>
        <v>44527.002104392966</v>
      </c>
      <c r="BW17" s="241">
        <f t="shared" si="48"/>
        <v>153886.43244783478</v>
      </c>
      <c r="BX17" s="241">
        <f t="shared" si="49"/>
        <v>109359.43034344181</v>
      </c>
      <c r="BY17" s="268">
        <f t="shared" si="50"/>
        <v>66840.534809329009</v>
      </c>
      <c r="CA17" s="763">
        <f>IF(B17&lt;=Spas_Inputs!$G$21,1,0)</f>
        <v>1</v>
      </c>
      <c r="CB17" s="666">
        <f t="shared" si="51"/>
        <v>3</v>
      </c>
      <c r="CC17" s="662">
        <f>Spas_Inputs!$G$20</f>
        <v>0.113</v>
      </c>
      <c r="CD17" s="239">
        <f t="shared" si="52"/>
        <v>106121.5792377714</v>
      </c>
      <c r="CE17" s="241">
        <f t="shared" si="53"/>
        <v>-29152.15971601502</v>
      </c>
      <c r="CF17" s="241">
        <f t="shared" si="54"/>
        <v>76969.419521756383</v>
      </c>
      <c r="CG17" s="241">
        <f t="shared" si="55"/>
        <v>257983.71430101787</v>
      </c>
      <c r="CH17" s="241">
        <f t="shared" si="56"/>
        <v>181014.29477926149</v>
      </c>
      <c r="CI17" s="268">
        <f t="shared" si="57"/>
        <v>106121.5792377714</v>
      </c>
      <c r="CK17" s="763">
        <f>IF(B17&lt;=Greenhouse_Retrofit!$G$21,1,0)</f>
        <v>1</v>
      </c>
      <c r="CL17" s="666">
        <f t="shared" si="58"/>
        <v>3</v>
      </c>
      <c r="CM17" s="662">
        <f>Greenhouse_Retrofit!$G$20</f>
        <v>0.16900000000000001</v>
      </c>
      <c r="CN17" s="239">
        <f t="shared" si="59"/>
        <v>17741.04459618323</v>
      </c>
      <c r="CO17" s="241">
        <f t="shared" si="60"/>
        <v>-6635.6075614718966</v>
      </c>
      <c r="CP17" s="241">
        <f t="shared" si="61"/>
        <v>11105.437034711333</v>
      </c>
      <c r="CQ17" s="241">
        <f t="shared" si="62"/>
        <v>39263.950067881044</v>
      </c>
      <c r="CR17" s="241">
        <f t="shared" si="63"/>
        <v>28158.513033169711</v>
      </c>
      <c r="CS17" s="268">
        <f t="shared" si="64"/>
        <v>17741.04459618323</v>
      </c>
      <c r="CU17" s="763">
        <f>IF(B17&lt;=Hatchery_Retrofit!$G$21,1,0)</f>
        <v>1</v>
      </c>
      <c r="CV17" s="661">
        <f t="shared" si="81"/>
        <v>3</v>
      </c>
      <c r="CW17" s="662">
        <f>Hatchery_Retrofit!$G$20</f>
        <v>0.119657894736842</v>
      </c>
      <c r="CX17" s="239">
        <f t="shared" si="66"/>
        <v>12185.974060472383</v>
      </c>
      <c r="CY17" s="241">
        <f t="shared" si="67"/>
        <v>-3504.2853588130974</v>
      </c>
      <c r="CZ17" s="241">
        <f t="shared" si="68"/>
        <v>8681.6887016592846</v>
      </c>
      <c r="DA17" s="241">
        <f t="shared" si="69"/>
        <v>29285.868404420016</v>
      </c>
      <c r="DB17" s="241">
        <f t="shared" si="70"/>
        <v>20604.179702760732</v>
      </c>
      <c r="DC17" s="268">
        <f t="shared" si="71"/>
        <v>12185.974060472381</v>
      </c>
      <c r="DE17" s="763">
        <f>IF(B17&lt;=Milk_Retrofit!$G$21,1,0)</f>
        <v>1</v>
      </c>
      <c r="DF17" s="666">
        <f t="shared" si="72"/>
        <v>3</v>
      </c>
      <c r="DG17" s="662">
        <f>Milk_Retrofit!$G$20</f>
        <v>0.16700000000000001</v>
      </c>
      <c r="DH17" s="239">
        <f t="shared" si="73"/>
        <v>26529.25874081756</v>
      </c>
      <c r="DI17" s="241">
        <f t="shared" si="74"/>
        <v>-9837.098418348809</v>
      </c>
      <c r="DJ17" s="241">
        <f t="shared" si="75"/>
        <v>16692.16032246875</v>
      </c>
      <c r="DK17" s="241">
        <f t="shared" si="76"/>
        <v>58904.780948196458</v>
      </c>
      <c r="DL17" s="241">
        <f t="shared" si="77"/>
        <v>42212.620625727708</v>
      </c>
      <c r="DM17" s="268">
        <f t="shared" si="78"/>
        <v>26529.25874081756</v>
      </c>
    </row>
    <row r="18" spans="2:117" s="107" customFormat="1" x14ac:dyDescent="0.3">
      <c r="B18" s="192">
        <f t="shared" si="79"/>
        <v>9</v>
      </c>
      <c r="C18" s="663">
        <f t="shared" si="1"/>
        <v>2029</v>
      </c>
      <c r="D18" s="664">
        <f t="shared" si="0"/>
        <v>0</v>
      </c>
      <c r="E18" s="228"/>
      <c r="F18" s="229"/>
      <c r="G18" s="351">
        <f t="shared" si="80"/>
        <v>47119</v>
      </c>
      <c r="H18" s="441">
        <f t="shared" si="80"/>
        <v>47483</v>
      </c>
      <c r="I18" s="665">
        <f>IF(B18&lt;=Fish_Inputs!$G$21,1,0)</f>
        <v>1</v>
      </c>
      <c r="J18" s="666">
        <f t="shared" si="2"/>
        <v>2</v>
      </c>
      <c r="K18" s="518">
        <f>Fish_Inputs!$G$20</f>
        <v>0.16700000000000001</v>
      </c>
      <c r="L18" s="239">
        <f t="shared" si="3"/>
        <v>39925.563522612298</v>
      </c>
      <c r="M18" s="241">
        <f t="shared" si="4"/>
        <v>-10609.251016517976</v>
      </c>
      <c r="N18" s="241">
        <f t="shared" si="5"/>
        <v>29316.31250609432</v>
      </c>
      <c r="O18" s="241">
        <f t="shared" si="6"/>
        <v>63528.449200706433</v>
      </c>
      <c r="P18" s="241">
        <f t="shared" si="7"/>
        <v>34212.136694612112</v>
      </c>
      <c r="Q18" s="268">
        <f t="shared" si="8"/>
        <v>39925.563522612298</v>
      </c>
      <c r="S18" s="763">
        <f>IF(B18&lt;=Fruit_Inputs!$G$21,1,0)</f>
        <v>1</v>
      </c>
      <c r="T18" s="666">
        <f t="shared" si="9"/>
        <v>2</v>
      </c>
      <c r="U18" s="662">
        <f>Fruit_Inputs!$G$20</f>
        <v>0.23089999999999999</v>
      </c>
      <c r="V18" s="239">
        <f t="shared" si="10"/>
        <v>51146.800713976525</v>
      </c>
      <c r="W18" s="241">
        <f t="shared" si="11"/>
        <v>-17389.094448814667</v>
      </c>
      <c r="X18" s="241">
        <f t="shared" si="12"/>
        <v>33757.706265161862</v>
      </c>
      <c r="Y18" s="241">
        <f t="shared" si="13"/>
        <v>75310.066906949622</v>
      </c>
      <c r="Z18" s="241">
        <f t="shared" si="14"/>
        <v>41552.36064178776</v>
      </c>
      <c r="AA18" s="268">
        <f t="shared" si="15"/>
        <v>51146.800713976525</v>
      </c>
      <c r="AC18" s="763">
        <f>IF(B18&lt;=Veg_Inputs!$G$21,1,0)</f>
        <v>1</v>
      </c>
      <c r="AD18" s="666">
        <f t="shared" si="16"/>
        <v>2</v>
      </c>
      <c r="AE18" s="662">
        <f>Veg_Inputs!$G$20</f>
        <v>0.14499999999999999</v>
      </c>
      <c r="AF18" s="239">
        <f t="shared" si="17"/>
        <v>39773.967654849461</v>
      </c>
      <c r="AG18" s="241">
        <f t="shared" si="18"/>
        <v>-9435.8980872596312</v>
      </c>
      <c r="AH18" s="241">
        <f t="shared" si="19"/>
        <v>30338.069567589831</v>
      </c>
      <c r="AI18" s="241">
        <f t="shared" si="20"/>
        <v>65075.159222480223</v>
      </c>
      <c r="AJ18" s="241">
        <f t="shared" si="21"/>
        <v>34737.089654890391</v>
      </c>
      <c r="AK18" s="268">
        <f t="shared" si="22"/>
        <v>39773.967654849461</v>
      </c>
      <c r="AM18" s="763">
        <f>IF(B18&lt;=Rice_Inputs!$G$21,1,0)</f>
        <v>1</v>
      </c>
      <c r="AN18" s="666">
        <f t="shared" si="23"/>
        <v>2</v>
      </c>
      <c r="AO18" s="662">
        <f>Rice_Inputs!$G$20</f>
        <v>0.23089999999999999</v>
      </c>
      <c r="AP18" s="239">
        <f t="shared" si="24"/>
        <v>97709.460668984204</v>
      </c>
      <c r="AQ18" s="241">
        <f t="shared" si="25"/>
        <v>-33219.654336100299</v>
      </c>
      <c r="AR18" s="241">
        <f t="shared" si="26"/>
        <v>64489.806332883905</v>
      </c>
      <c r="AS18" s="241">
        <f t="shared" si="27"/>
        <v>143870.30894803075</v>
      </c>
      <c r="AT18" s="241">
        <f t="shared" si="28"/>
        <v>79380.502615146848</v>
      </c>
      <c r="AU18" s="268">
        <f t="shared" si="29"/>
        <v>97709.460668984204</v>
      </c>
      <c r="AW18" s="763">
        <f>IF(B18&lt;=Pyre_Inputs!$G$21,1,0)</f>
        <v>1</v>
      </c>
      <c r="AX18" s="666">
        <f t="shared" si="30"/>
        <v>2</v>
      </c>
      <c r="AY18" s="662">
        <f>Pyre_Inputs!$G$20</f>
        <v>0.119657894736842</v>
      </c>
      <c r="AZ18" s="239">
        <f t="shared" si="31"/>
        <v>36410.517771967701</v>
      </c>
      <c r="BA18" s="241">
        <f t="shared" si="32"/>
        <v>-7366.5356012865213</v>
      </c>
      <c r="BB18" s="241">
        <f t="shared" si="33"/>
        <v>29043.982170681178</v>
      </c>
      <c r="BC18" s="241">
        <f t="shared" si="34"/>
        <v>61563.306102680457</v>
      </c>
      <c r="BD18" s="241">
        <f t="shared" si="35"/>
        <v>32519.323931999279</v>
      </c>
      <c r="BE18" s="268">
        <f t="shared" si="36"/>
        <v>36410.517771967701</v>
      </c>
      <c r="BG18" s="763">
        <f>IF(B18&lt;=Tea_Retrofit!$G$21,1,0)</f>
        <v>1</v>
      </c>
      <c r="BH18" s="666">
        <f t="shared" si="37"/>
        <v>2</v>
      </c>
      <c r="BI18" s="662">
        <f>Tea_Retrofit!$G$20</f>
        <v>0.16900000000000001</v>
      </c>
      <c r="BJ18" s="239">
        <f t="shared" si="38"/>
        <v>17741.044596183227</v>
      </c>
      <c r="BK18" s="241">
        <f t="shared" si="39"/>
        <v>-4758.7887026056815</v>
      </c>
      <c r="BL18" s="241">
        <f t="shared" si="40"/>
        <v>12982.255893577545</v>
      </c>
      <c r="BM18" s="241">
        <f t="shared" si="41"/>
        <v>28158.513033169711</v>
      </c>
      <c r="BN18" s="241">
        <f t="shared" si="42"/>
        <v>15176.257139592166</v>
      </c>
      <c r="BO18" s="268">
        <f t="shared" si="43"/>
        <v>17741.044596183227</v>
      </c>
      <c r="BQ18" s="763">
        <f>IF(B18&lt;=Tobacco_Retrofit!$G$21,1,0)</f>
        <v>1</v>
      </c>
      <c r="BR18" s="666">
        <f t="shared" si="44"/>
        <v>2</v>
      </c>
      <c r="BS18" s="662">
        <f>Tobacco_Retrofit!$G$20</f>
        <v>0.14499999999999999</v>
      </c>
      <c r="BT18" s="239">
        <f t="shared" si="45"/>
        <v>66840.534809329009</v>
      </c>
      <c r="BU18" s="241">
        <f t="shared" si="46"/>
        <v>-15857.117399799061</v>
      </c>
      <c r="BV18" s="241">
        <f t="shared" si="47"/>
        <v>50983.417409529946</v>
      </c>
      <c r="BW18" s="241">
        <f t="shared" si="48"/>
        <v>109359.43034344181</v>
      </c>
      <c r="BX18" s="241">
        <f t="shared" si="49"/>
        <v>58376.012933911865</v>
      </c>
      <c r="BY18" s="268">
        <f t="shared" si="50"/>
        <v>66840.534809329009</v>
      </c>
      <c r="CA18" s="763">
        <f>IF(B18&lt;=Spas_Inputs!$G$21,1,0)</f>
        <v>1</v>
      </c>
      <c r="CB18" s="666">
        <f t="shared" si="51"/>
        <v>2</v>
      </c>
      <c r="CC18" s="662">
        <f>Spas_Inputs!$G$20</f>
        <v>0.113</v>
      </c>
      <c r="CD18" s="239">
        <f t="shared" si="52"/>
        <v>106121.57923777142</v>
      </c>
      <c r="CE18" s="241">
        <f t="shared" si="53"/>
        <v>-20454.61531005655</v>
      </c>
      <c r="CF18" s="241">
        <f t="shared" si="54"/>
        <v>85666.963927714882</v>
      </c>
      <c r="CG18" s="241">
        <f t="shared" si="55"/>
        <v>181014.29477926149</v>
      </c>
      <c r="CH18" s="241">
        <f t="shared" si="56"/>
        <v>95347.330851546605</v>
      </c>
      <c r="CI18" s="268">
        <f t="shared" si="57"/>
        <v>106121.57923777142</v>
      </c>
      <c r="CK18" s="763">
        <f>IF(B18&lt;=Greenhouse_Retrofit!$G$21,1,0)</f>
        <v>1</v>
      </c>
      <c r="CL18" s="666">
        <f t="shared" si="58"/>
        <v>2</v>
      </c>
      <c r="CM18" s="662">
        <f>Greenhouse_Retrofit!$G$20</f>
        <v>0.16900000000000001</v>
      </c>
      <c r="CN18" s="239">
        <f t="shared" si="59"/>
        <v>17741.044596183227</v>
      </c>
      <c r="CO18" s="241">
        <f t="shared" si="60"/>
        <v>-4758.7887026056815</v>
      </c>
      <c r="CP18" s="241">
        <f t="shared" si="61"/>
        <v>12982.255893577545</v>
      </c>
      <c r="CQ18" s="241">
        <f t="shared" si="62"/>
        <v>28158.513033169711</v>
      </c>
      <c r="CR18" s="241">
        <f t="shared" si="63"/>
        <v>15176.257139592166</v>
      </c>
      <c r="CS18" s="268">
        <f t="shared" si="64"/>
        <v>17741.044596183227</v>
      </c>
      <c r="CU18" s="763">
        <f>IF(B18&lt;=Hatchery_Retrofit!$G$21,1,0)</f>
        <v>1</v>
      </c>
      <c r="CV18" s="661">
        <f t="shared" si="81"/>
        <v>2</v>
      </c>
      <c r="CW18" s="662">
        <f>Hatchery_Retrofit!$G$20</f>
        <v>0.119657894736842</v>
      </c>
      <c r="CX18" s="239">
        <f t="shared" si="66"/>
        <v>12185.974060472392</v>
      </c>
      <c r="CY18" s="241">
        <f t="shared" si="67"/>
        <v>-2465.4527660119202</v>
      </c>
      <c r="CZ18" s="241">
        <f t="shared" si="68"/>
        <v>9720.5212944604718</v>
      </c>
      <c r="DA18" s="241">
        <f t="shared" si="69"/>
        <v>20604.179702760732</v>
      </c>
      <c r="DB18" s="241">
        <f t="shared" si="70"/>
        <v>10883.65840830026</v>
      </c>
      <c r="DC18" s="268">
        <f t="shared" si="71"/>
        <v>12185.974060472392</v>
      </c>
      <c r="DE18" s="763">
        <f>IF(B18&lt;=Milk_Retrofit!$G$21,1,0)</f>
        <v>1</v>
      </c>
      <c r="DF18" s="666">
        <f t="shared" si="72"/>
        <v>2</v>
      </c>
      <c r="DG18" s="662">
        <f>Milk_Retrofit!$G$20</f>
        <v>0.16700000000000001</v>
      </c>
      <c r="DH18" s="239">
        <f t="shared" si="73"/>
        <v>26529.258740817564</v>
      </c>
      <c r="DI18" s="241">
        <f t="shared" si="74"/>
        <v>-7049.507644496528</v>
      </c>
      <c r="DJ18" s="241">
        <f t="shared" si="75"/>
        <v>19479.751096321037</v>
      </c>
      <c r="DK18" s="241">
        <f t="shared" si="76"/>
        <v>42212.620625727708</v>
      </c>
      <c r="DL18" s="241">
        <f t="shared" si="77"/>
        <v>22732.869529406671</v>
      </c>
      <c r="DM18" s="268">
        <f t="shared" si="78"/>
        <v>26529.258740817564</v>
      </c>
    </row>
    <row r="19" spans="2:117" s="107" customFormat="1" x14ac:dyDescent="0.3">
      <c r="B19" s="192">
        <f t="shared" si="79"/>
        <v>10</v>
      </c>
      <c r="C19" s="663">
        <f t="shared" si="1"/>
        <v>2030</v>
      </c>
      <c r="D19" s="664">
        <f t="shared" si="0"/>
        <v>0</v>
      </c>
      <c r="E19" s="86"/>
      <c r="F19" s="200"/>
      <c r="G19" s="351">
        <f t="shared" si="80"/>
        <v>47484</v>
      </c>
      <c r="H19" s="441">
        <f t="shared" si="80"/>
        <v>47848</v>
      </c>
      <c r="I19" s="665">
        <f>IF(B19&lt;=Fish_Inputs!$G$21,1,0)</f>
        <v>1</v>
      </c>
      <c r="J19" s="666">
        <f t="shared" si="2"/>
        <v>1</v>
      </c>
      <c r="K19" s="518">
        <f>Fish_Inputs!$G$20</f>
        <v>0.16700000000000001</v>
      </c>
      <c r="L19" s="239">
        <f t="shared" si="3"/>
        <v>39925.563522612327</v>
      </c>
      <c r="M19" s="241">
        <f t="shared" si="4"/>
        <v>-5713.4268280002234</v>
      </c>
      <c r="N19" s="241">
        <f t="shared" si="5"/>
        <v>34212.136694612105</v>
      </c>
      <c r="O19" s="241">
        <f t="shared" si="6"/>
        <v>34212.136694612112</v>
      </c>
      <c r="P19" s="241">
        <f t="shared" si="7"/>
        <v>0</v>
      </c>
      <c r="Q19" s="268">
        <f t="shared" si="8"/>
        <v>39925.563522612327</v>
      </c>
      <c r="S19" s="763">
        <f>IF(B19&lt;=Fruit_Inputs!$G$21,1,0)</f>
        <v>1</v>
      </c>
      <c r="T19" s="666">
        <f t="shared" si="9"/>
        <v>1</v>
      </c>
      <c r="U19" s="662">
        <f>Fruit_Inputs!$G$20</f>
        <v>0.23089999999999999</v>
      </c>
      <c r="V19" s="239">
        <f t="shared" si="10"/>
        <v>51146.800713976547</v>
      </c>
      <c r="W19" s="241">
        <f t="shared" si="11"/>
        <v>-9594.4400721887941</v>
      </c>
      <c r="X19" s="241">
        <f t="shared" si="12"/>
        <v>41552.360641787753</v>
      </c>
      <c r="Y19" s="241">
        <f t="shared" si="13"/>
        <v>41552.36064178776</v>
      </c>
      <c r="Z19" s="241">
        <f t="shared" si="14"/>
        <v>0</v>
      </c>
      <c r="AA19" s="268">
        <f t="shared" si="15"/>
        <v>51146.800713976547</v>
      </c>
      <c r="AC19" s="763">
        <f>IF(B19&lt;=Veg_Inputs!$G$21,1,0)</f>
        <v>1</v>
      </c>
      <c r="AD19" s="666">
        <f t="shared" si="16"/>
        <v>1</v>
      </c>
      <c r="AE19" s="662">
        <f>Veg_Inputs!$G$20</f>
        <v>0.14499999999999999</v>
      </c>
      <c r="AF19" s="239">
        <f t="shared" si="17"/>
        <v>39773.967654849504</v>
      </c>
      <c r="AG19" s="241">
        <f t="shared" si="18"/>
        <v>-5036.8779999591061</v>
      </c>
      <c r="AH19" s="241">
        <f t="shared" si="19"/>
        <v>34737.089654890398</v>
      </c>
      <c r="AI19" s="241">
        <f t="shared" si="20"/>
        <v>34737.089654890391</v>
      </c>
      <c r="AJ19" s="241">
        <f t="shared" si="21"/>
        <v>0</v>
      </c>
      <c r="AK19" s="268">
        <f t="shared" si="22"/>
        <v>39773.967654849504</v>
      </c>
      <c r="AM19" s="763">
        <f>IF(B19&lt;=Rice_Inputs!$G$21,1,0)</f>
        <v>1</v>
      </c>
      <c r="AN19" s="666">
        <f t="shared" si="23"/>
        <v>1</v>
      </c>
      <c r="AO19" s="662">
        <f>Rice_Inputs!$G$20</f>
        <v>0.23089999999999999</v>
      </c>
      <c r="AP19" s="239">
        <f t="shared" si="24"/>
        <v>97709.460668984233</v>
      </c>
      <c r="AQ19" s="241">
        <f t="shared" si="25"/>
        <v>-18328.958053837407</v>
      </c>
      <c r="AR19" s="241">
        <f t="shared" si="26"/>
        <v>79380.502615146834</v>
      </c>
      <c r="AS19" s="241">
        <f t="shared" si="27"/>
        <v>79380.502615146848</v>
      </c>
      <c r="AT19" s="241">
        <f t="shared" si="28"/>
        <v>0</v>
      </c>
      <c r="AU19" s="268">
        <f t="shared" si="29"/>
        <v>97709.460668984248</v>
      </c>
      <c r="AW19" s="763">
        <f>IF(B19&lt;=Pyre_Inputs!$G$21,1,0)</f>
        <v>1</v>
      </c>
      <c r="AX19" s="666">
        <f t="shared" si="30"/>
        <v>1</v>
      </c>
      <c r="AY19" s="662">
        <f>Pyre_Inputs!$G$20</f>
        <v>0.119657894736842</v>
      </c>
      <c r="AZ19" s="239">
        <f t="shared" si="31"/>
        <v>36410.517771967679</v>
      </c>
      <c r="BA19" s="241">
        <f t="shared" si="32"/>
        <v>-3891.1938399684368</v>
      </c>
      <c r="BB19" s="241">
        <f t="shared" si="33"/>
        <v>32519.323931999243</v>
      </c>
      <c r="BC19" s="241">
        <f t="shared" si="34"/>
        <v>32519.323931999279</v>
      </c>
      <c r="BD19" s="241">
        <f t="shared" si="35"/>
        <v>3.637978807091713E-11</v>
      </c>
      <c r="BE19" s="268">
        <f t="shared" si="36"/>
        <v>36410.517771967679</v>
      </c>
      <c r="BG19" s="763">
        <f>IF(B19&lt;=Tea_Retrofit!$G$21,1,0)</f>
        <v>1</v>
      </c>
      <c r="BH19" s="666">
        <f t="shared" si="37"/>
        <v>1</v>
      </c>
      <c r="BI19" s="662">
        <f>Tea_Retrofit!$G$20</f>
        <v>0.16900000000000001</v>
      </c>
      <c r="BJ19" s="239">
        <f t="shared" si="38"/>
        <v>17741.044596183241</v>
      </c>
      <c r="BK19" s="241">
        <f t="shared" si="39"/>
        <v>-2564.7874565910761</v>
      </c>
      <c r="BL19" s="241">
        <f t="shared" si="40"/>
        <v>15176.257139592166</v>
      </c>
      <c r="BM19" s="241">
        <f t="shared" si="41"/>
        <v>15176.257139592166</v>
      </c>
      <c r="BN19" s="241">
        <f t="shared" si="42"/>
        <v>0</v>
      </c>
      <c r="BO19" s="268">
        <f t="shared" si="43"/>
        <v>17741.044596183241</v>
      </c>
      <c r="BQ19" s="763">
        <f>IF(B19&lt;=Tobacco_Retrofit!$G$21,1,0)</f>
        <v>1</v>
      </c>
      <c r="BR19" s="666">
        <f t="shared" si="44"/>
        <v>1</v>
      </c>
      <c r="BS19" s="662">
        <f>Tobacco_Retrofit!$G$20</f>
        <v>0.14499999999999999</v>
      </c>
      <c r="BT19" s="239">
        <f t="shared" si="45"/>
        <v>66840.53480932911</v>
      </c>
      <c r="BU19" s="241">
        <f t="shared" si="46"/>
        <v>-8464.5218754172201</v>
      </c>
      <c r="BV19" s="241">
        <f t="shared" si="47"/>
        <v>58376.012933911887</v>
      </c>
      <c r="BW19" s="241">
        <f t="shared" si="48"/>
        <v>58376.012933911865</v>
      </c>
      <c r="BX19" s="241">
        <f t="shared" si="49"/>
        <v>0</v>
      </c>
      <c r="BY19" s="268">
        <f t="shared" si="50"/>
        <v>66840.53480932911</v>
      </c>
      <c r="CA19" s="763">
        <f>IF(B19&lt;=Spas_Inputs!$G$21,1,0)</f>
        <v>1</v>
      </c>
      <c r="CB19" s="666">
        <f t="shared" si="51"/>
        <v>1</v>
      </c>
      <c r="CC19" s="662">
        <f>Spas_Inputs!$G$20</f>
        <v>0.113</v>
      </c>
      <c r="CD19" s="239">
        <f t="shared" si="52"/>
        <v>106121.57923777138</v>
      </c>
      <c r="CE19" s="241">
        <f t="shared" si="53"/>
        <v>-10774.248386224766</v>
      </c>
      <c r="CF19" s="241">
        <f t="shared" si="54"/>
        <v>95347.33085154662</v>
      </c>
      <c r="CG19" s="241">
        <f t="shared" si="55"/>
        <v>95347.330851546605</v>
      </c>
      <c r="CH19" s="241">
        <f t="shared" si="56"/>
        <v>0</v>
      </c>
      <c r="CI19" s="268">
        <f t="shared" si="57"/>
        <v>106121.57923777138</v>
      </c>
      <c r="CK19" s="763">
        <f>IF(B19&lt;=Greenhouse_Retrofit!$G$21,1,0)</f>
        <v>1</v>
      </c>
      <c r="CL19" s="666">
        <f t="shared" si="58"/>
        <v>1</v>
      </c>
      <c r="CM19" s="662">
        <f>Greenhouse_Retrofit!$G$20</f>
        <v>0.16900000000000001</v>
      </c>
      <c r="CN19" s="239">
        <f t="shared" si="59"/>
        <v>17741.044596183241</v>
      </c>
      <c r="CO19" s="241">
        <f t="shared" si="60"/>
        <v>-2564.7874565910761</v>
      </c>
      <c r="CP19" s="241">
        <f t="shared" si="61"/>
        <v>15176.257139592166</v>
      </c>
      <c r="CQ19" s="241">
        <f t="shared" si="62"/>
        <v>15176.257139592166</v>
      </c>
      <c r="CR19" s="241">
        <f t="shared" si="63"/>
        <v>0</v>
      </c>
      <c r="CS19" s="268">
        <f t="shared" si="64"/>
        <v>17741.044596183241</v>
      </c>
      <c r="CU19" s="763">
        <f>IF(B19&lt;=Hatchery_Retrofit!$G$21,1,0)</f>
        <v>1</v>
      </c>
      <c r="CV19" s="661">
        <f t="shared" si="81"/>
        <v>1</v>
      </c>
      <c r="CW19" s="662">
        <f>Hatchery_Retrofit!$G$20</f>
        <v>0.119657894736842</v>
      </c>
      <c r="CX19" s="239">
        <f t="shared" si="66"/>
        <v>12185.974060472385</v>
      </c>
      <c r="CY19" s="241">
        <f t="shared" si="67"/>
        <v>-1302.3156521721378</v>
      </c>
      <c r="CZ19" s="241">
        <f t="shared" si="68"/>
        <v>10883.658408300247</v>
      </c>
      <c r="DA19" s="241">
        <f t="shared" si="69"/>
        <v>10883.65840830026</v>
      </c>
      <c r="DB19" s="241">
        <f t="shared" si="70"/>
        <v>0</v>
      </c>
      <c r="DC19" s="268">
        <f t="shared" si="71"/>
        <v>12185.974060472385</v>
      </c>
      <c r="DE19" s="763">
        <f>IF(B19&lt;=Milk_Retrofit!$G$21,1,0)</f>
        <v>1</v>
      </c>
      <c r="DF19" s="666">
        <f t="shared" si="72"/>
        <v>1</v>
      </c>
      <c r="DG19" s="662">
        <f>Milk_Retrofit!$G$20</f>
        <v>0.16700000000000001</v>
      </c>
      <c r="DH19" s="239">
        <f t="shared" si="73"/>
        <v>26529.258740817579</v>
      </c>
      <c r="DI19" s="241">
        <f t="shared" si="74"/>
        <v>-3796.3892114109144</v>
      </c>
      <c r="DJ19" s="241">
        <f t="shared" si="75"/>
        <v>22732.869529406664</v>
      </c>
      <c r="DK19" s="241">
        <f t="shared" si="76"/>
        <v>22732.869529406671</v>
      </c>
      <c r="DL19" s="241">
        <f t="shared" si="77"/>
        <v>0</v>
      </c>
      <c r="DM19" s="268">
        <f t="shared" si="78"/>
        <v>26529.258740817579</v>
      </c>
    </row>
    <row r="20" spans="2:117" s="107" customFormat="1" x14ac:dyDescent="0.3">
      <c r="B20" s="192">
        <f t="shared" si="79"/>
        <v>11</v>
      </c>
      <c r="C20" s="663">
        <f t="shared" si="1"/>
        <v>2031</v>
      </c>
      <c r="D20" s="664">
        <f t="shared" si="0"/>
        <v>0</v>
      </c>
      <c r="E20" s="228"/>
      <c r="F20" s="229"/>
      <c r="G20" s="351">
        <f t="shared" si="80"/>
        <v>47849</v>
      </c>
      <c r="H20" s="441">
        <f t="shared" si="80"/>
        <v>48213</v>
      </c>
      <c r="I20" s="665">
        <f>IF(B20&lt;=Fish_Inputs!$G$21,1,0)</f>
        <v>0</v>
      </c>
      <c r="J20" s="666">
        <f t="shared" si="2"/>
        <v>0</v>
      </c>
      <c r="K20" s="518">
        <f>Fish_Inputs!$G$20</f>
        <v>0.16700000000000001</v>
      </c>
      <c r="L20" s="239">
        <f t="shared" si="3"/>
        <v>0</v>
      </c>
      <c r="M20" s="241">
        <f t="shared" si="4"/>
        <v>0</v>
      </c>
      <c r="N20" s="241">
        <f t="shared" si="5"/>
        <v>0</v>
      </c>
      <c r="O20" s="241">
        <f t="shared" si="6"/>
        <v>0</v>
      </c>
      <c r="P20" s="241">
        <f t="shared" si="7"/>
        <v>0</v>
      </c>
      <c r="Q20" s="268">
        <f t="shared" si="8"/>
        <v>0</v>
      </c>
      <c r="S20" s="763">
        <f>IF(B20&lt;=Fruit_Inputs!$G$21,1,0)</f>
        <v>0</v>
      </c>
      <c r="T20" s="666">
        <f t="shared" si="9"/>
        <v>0</v>
      </c>
      <c r="U20" s="662">
        <f>Fruit_Inputs!$G$20</f>
        <v>0.23089999999999999</v>
      </c>
      <c r="V20" s="239">
        <f t="shared" si="10"/>
        <v>0</v>
      </c>
      <c r="W20" s="241">
        <f t="shared" si="11"/>
        <v>0</v>
      </c>
      <c r="X20" s="241">
        <f t="shared" si="12"/>
        <v>0</v>
      </c>
      <c r="Y20" s="241">
        <f t="shared" si="13"/>
        <v>0</v>
      </c>
      <c r="Z20" s="241">
        <f t="shared" si="14"/>
        <v>0</v>
      </c>
      <c r="AA20" s="268">
        <f t="shared" si="15"/>
        <v>0</v>
      </c>
      <c r="AC20" s="763">
        <f>IF(B20&lt;=Veg_Inputs!$G$21,1,0)</f>
        <v>0</v>
      </c>
      <c r="AD20" s="666">
        <f t="shared" si="16"/>
        <v>0</v>
      </c>
      <c r="AE20" s="662">
        <f>Veg_Inputs!$G$20</f>
        <v>0.14499999999999999</v>
      </c>
      <c r="AF20" s="239">
        <f t="shared" si="17"/>
        <v>0</v>
      </c>
      <c r="AG20" s="241">
        <f t="shared" si="18"/>
        <v>0</v>
      </c>
      <c r="AH20" s="241">
        <f t="shared" si="19"/>
        <v>0</v>
      </c>
      <c r="AI20" s="241">
        <f t="shared" si="20"/>
        <v>0</v>
      </c>
      <c r="AJ20" s="241">
        <f t="shared" si="21"/>
        <v>0</v>
      </c>
      <c r="AK20" s="268">
        <f t="shared" si="22"/>
        <v>0</v>
      </c>
      <c r="AM20" s="763">
        <f>IF(B20&lt;=Rice_Inputs!$G$21,1,0)</f>
        <v>0</v>
      </c>
      <c r="AN20" s="666">
        <f t="shared" si="23"/>
        <v>0</v>
      </c>
      <c r="AO20" s="662">
        <f>Rice_Inputs!$G$20</f>
        <v>0.23089999999999999</v>
      </c>
      <c r="AP20" s="239">
        <f t="shared" si="24"/>
        <v>0</v>
      </c>
      <c r="AQ20" s="241">
        <f t="shared" si="25"/>
        <v>0</v>
      </c>
      <c r="AR20" s="241">
        <f t="shared" si="26"/>
        <v>0</v>
      </c>
      <c r="AS20" s="241">
        <f t="shared" si="27"/>
        <v>0</v>
      </c>
      <c r="AT20" s="241">
        <f t="shared" si="28"/>
        <v>0</v>
      </c>
      <c r="AU20" s="268">
        <f t="shared" si="29"/>
        <v>0</v>
      </c>
      <c r="AW20" s="763">
        <f>IF(B20&lt;=Pyre_Inputs!$G$21,1,0)</f>
        <v>0</v>
      </c>
      <c r="AX20" s="666">
        <f t="shared" si="30"/>
        <v>0</v>
      </c>
      <c r="AY20" s="662">
        <f>Pyre_Inputs!$G$20</f>
        <v>0.119657894736842</v>
      </c>
      <c r="AZ20" s="239">
        <f t="shared" si="31"/>
        <v>0</v>
      </c>
      <c r="BA20" s="241">
        <f t="shared" si="32"/>
        <v>-4.3531288515384224E-12</v>
      </c>
      <c r="BB20" s="241">
        <f t="shared" si="33"/>
        <v>-4.3531288515384224E-12</v>
      </c>
      <c r="BC20" s="241">
        <f t="shared" si="34"/>
        <v>3.637978807091713E-11</v>
      </c>
      <c r="BD20" s="241">
        <f t="shared" si="35"/>
        <v>4.0732916922455554E-11</v>
      </c>
      <c r="BE20" s="268">
        <f t="shared" si="36"/>
        <v>0</v>
      </c>
      <c r="BG20" s="763">
        <f>IF(B20&lt;=Tea_Retrofit!$G$21,1,0)</f>
        <v>0</v>
      </c>
      <c r="BH20" s="666">
        <f t="shared" si="37"/>
        <v>0</v>
      </c>
      <c r="BI20" s="662">
        <f>Tea_Retrofit!$G$20</f>
        <v>0.16900000000000001</v>
      </c>
      <c r="BJ20" s="239">
        <f t="shared" si="38"/>
        <v>0</v>
      </c>
      <c r="BK20" s="241">
        <f t="shared" si="39"/>
        <v>0</v>
      </c>
      <c r="BL20" s="241">
        <f t="shared" si="40"/>
        <v>0</v>
      </c>
      <c r="BM20" s="241">
        <f t="shared" si="41"/>
        <v>0</v>
      </c>
      <c r="BN20" s="241">
        <f t="shared" si="42"/>
        <v>0</v>
      </c>
      <c r="BO20" s="268">
        <f t="shared" si="43"/>
        <v>0</v>
      </c>
      <c r="BQ20" s="763">
        <f>IF(B20&lt;=Tobacco_Retrofit!$G$21,1,0)</f>
        <v>0</v>
      </c>
      <c r="BR20" s="666">
        <f t="shared" si="44"/>
        <v>0</v>
      </c>
      <c r="BS20" s="662">
        <f>Tobacco_Retrofit!$G$20</f>
        <v>0.14499999999999999</v>
      </c>
      <c r="BT20" s="239">
        <f t="shared" si="45"/>
        <v>0</v>
      </c>
      <c r="BU20" s="241">
        <f t="shared" si="46"/>
        <v>0</v>
      </c>
      <c r="BV20" s="241">
        <f t="shared" si="47"/>
        <v>0</v>
      </c>
      <c r="BW20" s="241">
        <f t="shared" si="48"/>
        <v>0</v>
      </c>
      <c r="BX20" s="241">
        <f t="shared" si="49"/>
        <v>0</v>
      </c>
      <c r="BY20" s="268">
        <f t="shared" si="50"/>
        <v>0</v>
      </c>
      <c r="CA20" s="763">
        <f>IF(B20&lt;=Spas_Inputs!$G$21,1,0)</f>
        <v>0</v>
      </c>
      <c r="CB20" s="666">
        <f t="shared" si="51"/>
        <v>0</v>
      </c>
      <c r="CC20" s="662">
        <f>Spas_Inputs!$G$20</f>
        <v>0.113</v>
      </c>
      <c r="CD20" s="239">
        <f t="shared" si="52"/>
        <v>0</v>
      </c>
      <c r="CE20" s="241">
        <f t="shared" si="53"/>
        <v>0</v>
      </c>
      <c r="CF20" s="241">
        <f t="shared" si="54"/>
        <v>0</v>
      </c>
      <c r="CG20" s="241">
        <f t="shared" si="55"/>
        <v>0</v>
      </c>
      <c r="CH20" s="241">
        <f t="shared" si="56"/>
        <v>0</v>
      </c>
      <c r="CI20" s="268">
        <f t="shared" si="57"/>
        <v>0</v>
      </c>
      <c r="CK20" s="763">
        <f>IF(B20&lt;=Greenhouse_Retrofit!$G$21,1,0)</f>
        <v>0</v>
      </c>
      <c r="CL20" s="666">
        <f t="shared" si="58"/>
        <v>0</v>
      </c>
      <c r="CM20" s="662">
        <f>Greenhouse_Retrofit!$G$20</f>
        <v>0.16900000000000001</v>
      </c>
      <c r="CN20" s="239">
        <f t="shared" si="59"/>
        <v>0</v>
      </c>
      <c r="CO20" s="241">
        <f t="shared" si="60"/>
        <v>0</v>
      </c>
      <c r="CP20" s="241">
        <f t="shared" si="61"/>
        <v>0</v>
      </c>
      <c r="CQ20" s="241">
        <f t="shared" si="62"/>
        <v>0</v>
      </c>
      <c r="CR20" s="241">
        <f t="shared" si="63"/>
        <v>0</v>
      </c>
      <c r="CS20" s="268">
        <f t="shared" si="64"/>
        <v>0</v>
      </c>
      <c r="CU20" s="763">
        <f>IF(B20&lt;=Hatchery_Retrofit!$G$21,1,0)</f>
        <v>0</v>
      </c>
      <c r="CV20" s="661">
        <f t="shared" si="81"/>
        <v>0</v>
      </c>
      <c r="CW20" s="662">
        <f>Hatchery_Retrofit!$G$20</f>
        <v>0.119657894736842</v>
      </c>
      <c r="CX20" s="239">
        <f t="shared" si="66"/>
        <v>0</v>
      </c>
      <c r="CY20" s="241">
        <f t="shared" si="67"/>
        <v>0</v>
      </c>
      <c r="CZ20" s="241">
        <f t="shared" si="68"/>
        <v>0</v>
      </c>
      <c r="DA20" s="241">
        <f t="shared" si="69"/>
        <v>0</v>
      </c>
      <c r="DB20" s="241">
        <f t="shared" si="70"/>
        <v>0</v>
      </c>
      <c r="DC20" s="268">
        <f t="shared" si="71"/>
        <v>0</v>
      </c>
      <c r="DE20" s="763">
        <f>IF(B20&lt;=Milk_Retrofit!$G$21,1,0)</f>
        <v>0</v>
      </c>
      <c r="DF20" s="666">
        <f t="shared" si="72"/>
        <v>0</v>
      </c>
      <c r="DG20" s="662">
        <f>Milk_Retrofit!$G$20</f>
        <v>0.16700000000000001</v>
      </c>
      <c r="DH20" s="239">
        <f t="shared" si="73"/>
        <v>0</v>
      </c>
      <c r="DI20" s="241">
        <f t="shared" si="74"/>
        <v>0</v>
      </c>
      <c r="DJ20" s="241">
        <f t="shared" si="75"/>
        <v>0</v>
      </c>
      <c r="DK20" s="241">
        <f t="shared" si="76"/>
        <v>0</v>
      </c>
      <c r="DL20" s="241">
        <f t="shared" si="77"/>
        <v>0</v>
      </c>
      <c r="DM20" s="268">
        <f t="shared" si="78"/>
        <v>0</v>
      </c>
    </row>
    <row r="21" spans="2:117" s="107" customFormat="1" x14ac:dyDescent="0.3">
      <c r="B21" s="192">
        <f t="shared" si="79"/>
        <v>12</v>
      </c>
      <c r="C21" s="663">
        <f t="shared" si="1"/>
        <v>2032</v>
      </c>
      <c r="D21" s="664">
        <f t="shared" si="0"/>
        <v>0</v>
      </c>
      <c r="E21" s="228"/>
      <c r="F21" s="229"/>
      <c r="G21" s="351">
        <f t="shared" si="80"/>
        <v>48214</v>
      </c>
      <c r="H21" s="441">
        <f t="shared" si="80"/>
        <v>48579</v>
      </c>
      <c r="I21" s="665">
        <f>IF(B21&lt;=Fish_Inputs!$G$21,1,0)</f>
        <v>0</v>
      </c>
      <c r="J21" s="666">
        <f t="shared" si="2"/>
        <v>0</v>
      </c>
      <c r="K21" s="518">
        <f>Fish_Inputs!$G$20</f>
        <v>0.16700000000000001</v>
      </c>
      <c r="L21" s="239">
        <f t="shared" si="3"/>
        <v>0</v>
      </c>
      <c r="M21" s="241">
        <f t="shared" si="4"/>
        <v>0</v>
      </c>
      <c r="N21" s="241">
        <f t="shared" si="5"/>
        <v>0</v>
      </c>
      <c r="O21" s="241">
        <f t="shared" si="6"/>
        <v>0</v>
      </c>
      <c r="P21" s="241">
        <f t="shared" si="7"/>
        <v>0</v>
      </c>
      <c r="Q21" s="268">
        <f t="shared" si="8"/>
        <v>0</v>
      </c>
      <c r="S21" s="763">
        <f>IF(B21&lt;=Fruit_Inputs!$G$21,1,0)</f>
        <v>0</v>
      </c>
      <c r="T21" s="666">
        <f t="shared" si="9"/>
        <v>0</v>
      </c>
      <c r="U21" s="662">
        <f>Fruit_Inputs!$G$20</f>
        <v>0.23089999999999999</v>
      </c>
      <c r="V21" s="239">
        <f t="shared" si="10"/>
        <v>0</v>
      </c>
      <c r="W21" s="241">
        <f t="shared" si="11"/>
        <v>0</v>
      </c>
      <c r="X21" s="241">
        <f t="shared" si="12"/>
        <v>0</v>
      </c>
      <c r="Y21" s="241">
        <f t="shared" si="13"/>
        <v>0</v>
      </c>
      <c r="Z21" s="241">
        <f t="shared" si="14"/>
        <v>0</v>
      </c>
      <c r="AA21" s="268">
        <f t="shared" si="15"/>
        <v>0</v>
      </c>
      <c r="AC21" s="763">
        <f>IF(B21&lt;=Veg_Inputs!$G$21,1,0)</f>
        <v>0</v>
      </c>
      <c r="AD21" s="666">
        <f t="shared" si="16"/>
        <v>0</v>
      </c>
      <c r="AE21" s="662">
        <f>Veg_Inputs!$G$20</f>
        <v>0.14499999999999999</v>
      </c>
      <c r="AF21" s="239">
        <f t="shared" si="17"/>
        <v>0</v>
      </c>
      <c r="AG21" s="241">
        <f t="shared" si="18"/>
        <v>0</v>
      </c>
      <c r="AH21" s="241">
        <f t="shared" si="19"/>
        <v>0</v>
      </c>
      <c r="AI21" s="241">
        <f t="shared" si="20"/>
        <v>0</v>
      </c>
      <c r="AJ21" s="241">
        <f t="shared" si="21"/>
        <v>0</v>
      </c>
      <c r="AK21" s="268">
        <f t="shared" si="22"/>
        <v>0</v>
      </c>
      <c r="AM21" s="763">
        <f>IF(B21&lt;=Rice_Inputs!$G$21,1,0)</f>
        <v>0</v>
      </c>
      <c r="AN21" s="666">
        <f t="shared" si="23"/>
        <v>0</v>
      </c>
      <c r="AO21" s="662">
        <f>Rice_Inputs!$G$20</f>
        <v>0.23089999999999999</v>
      </c>
      <c r="AP21" s="239">
        <f t="shared" si="24"/>
        <v>0</v>
      </c>
      <c r="AQ21" s="241">
        <f t="shared" si="25"/>
        <v>0</v>
      </c>
      <c r="AR21" s="241">
        <f t="shared" si="26"/>
        <v>0</v>
      </c>
      <c r="AS21" s="241">
        <f t="shared" si="27"/>
        <v>0</v>
      </c>
      <c r="AT21" s="241">
        <f t="shared" si="28"/>
        <v>0</v>
      </c>
      <c r="AU21" s="268">
        <f t="shared" si="29"/>
        <v>0</v>
      </c>
      <c r="AW21" s="763">
        <f>IF(B21&lt;=Pyre_Inputs!$G$21,1,0)</f>
        <v>0</v>
      </c>
      <c r="AX21" s="666">
        <f t="shared" si="30"/>
        <v>0</v>
      </c>
      <c r="AY21" s="662">
        <f>Pyre_Inputs!$G$20</f>
        <v>0.119657894736842</v>
      </c>
      <c r="AZ21" s="239">
        <f t="shared" si="31"/>
        <v>0</v>
      </c>
      <c r="BA21" s="241">
        <f t="shared" si="32"/>
        <v>-4.8740150854317171E-12</v>
      </c>
      <c r="BB21" s="241">
        <f t="shared" si="33"/>
        <v>-4.8740150854317171E-12</v>
      </c>
      <c r="BC21" s="241">
        <f t="shared" si="34"/>
        <v>4.0732916922455554E-11</v>
      </c>
      <c r="BD21" s="241">
        <f t="shared" si="35"/>
        <v>4.5606932007887268E-11</v>
      </c>
      <c r="BE21" s="268">
        <f t="shared" si="36"/>
        <v>0</v>
      </c>
      <c r="BG21" s="763">
        <f>IF(B21&lt;=Tea_Retrofit!$G$21,1,0)</f>
        <v>0</v>
      </c>
      <c r="BH21" s="666">
        <f t="shared" si="37"/>
        <v>0</v>
      </c>
      <c r="BI21" s="662">
        <f>Tea_Retrofit!$G$20</f>
        <v>0.16900000000000001</v>
      </c>
      <c r="BJ21" s="239">
        <f t="shared" si="38"/>
        <v>0</v>
      </c>
      <c r="BK21" s="241">
        <f t="shared" si="39"/>
        <v>0</v>
      </c>
      <c r="BL21" s="241">
        <f t="shared" si="40"/>
        <v>0</v>
      </c>
      <c r="BM21" s="241">
        <f t="shared" si="41"/>
        <v>0</v>
      </c>
      <c r="BN21" s="241">
        <f t="shared" si="42"/>
        <v>0</v>
      </c>
      <c r="BO21" s="268">
        <f t="shared" si="43"/>
        <v>0</v>
      </c>
      <c r="BQ21" s="763">
        <f>IF(B21&lt;=Tobacco_Retrofit!$G$21,1,0)</f>
        <v>0</v>
      </c>
      <c r="BR21" s="666">
        <f t="shared" si="44"/>
        <v>0</v>
      </c>
      <c r="BS21" s="662">
        <f>Tobacco_Retrofit!$G$20</f>
        <v>0.14499999999999999</v>
      </c>
      <c r="BT21" s="239">
        <f t="shared" si="45"/>
        <v>0</v>
      </c>
      <c r="BU21" s="241">
        <f t="shared" si="46"/>
        <v>0</v>
      </c>
      <c r="BV21" s="241">
        <f t="shared" si="47"/>
        <v>0</v>
      </c>
      <c r="BW21" s="241">
        <f t="shared" si="48"/>
        <v>0</v>
      </c>
      <c r="BX21" s="241">
        <f t="shared" si="49"/>
        <v>0</v>
      </c>
      <c r="BY21" s="268">
        <f t="shared" si="50"/>
        <v>0</v>
      </c>
      <c r="CA21" s="763">
        <f>IF(B21&lt;=Spas_Inputs!$G$21,1,0)</f>
        <v>0</v>
      </c>
      <c r="CB21" s="666">
        <f t="shared" si="51"/>
        <v>0</v>
      </c>
      <c r="CC21" s="662">
        <f>Spas_Inputs!$G$20</f>
        <v>0.113</v>
      </c>
      <c r="CD21" s="239">
        <f t="shared" si="52"/>
        <v>0</v>
      </c>
      <c r="CE21" s="241">
        <f t="shared" si="53"/>
        <v>0</v>
      </c>
      <c r="CF21" s="241">
        <f t="shared" si="54"/>
        <v>0</v>
      </c>
      <c r="CG21" s="241">
        <f t="shared" si="55"/>
        <v>0</v>
      </c>
      <c r="CH21" s="241">
        <f t="shared" si="56"/>
        <v>0</v>
      </c>
      <c r="CI21" s="268">
        <f t="shared" si="57"/>
        <v>0</v>
      </c>
      <c r="CK21" s="763">
        <f>IF(B21&lt;=Greenhouse_Retrofit!$G$21,1,0)</f>
        <v>0</v>
      </c>
      <c r="CL21" s="666">
        <f t="shared" si="58"/>
        <v>0</v>
      </c>
      <c r="CM21" s="662">
        <f>Greenhouse_Retrofit!$G$20</f>
        <v>0.16900000000000001</v>
      </c>
      <c r="CN21" s="239">
        <f t="shared" si="59"/>
        <v>0</v>
      </c>
      <c r="CO21" s="241">
        <f t="shared" si="60"/>
        <v>0</v>
      </c>
      <c r="CP21" s="241">
        <f t="shared" si="61"/>
        <v>0</v>
      </c>
      <c r="CQ21" s="241">
        <f t="shared" si="62"/>
        <v>0</v>
      </c>
      <c r="CR21" s="241">
        <f t="shared" si="63"/>
        <v>0</v>
      </c>
      <c r="CS21" s="268">
        <f t="shared" si="64"/>
        <v>0</v>
      </c>
      <c r="CU21" s="763">
        <f>IF(B21&lt;=Hatchery_Retrofit!$G$21,1,0)</f>
        <v>0</v>
      </c>
      <c r="CV21" s="661">
        <f t="shared" si="81"/>
        <v>0</v>
      </c>
      <c r="CW21" s="662">
        <f>Hatchery_Retrofit!$G$20</f>
        <v>0.119657894736842</v>
      </c>
      <c r="CX21" s="239">
        <f t="shared" si="66"/>
        <v>0</v>
      </c>
      <c r="CY21" s="241">
        <f t="shared" si="67"/>
        <v>0</v>
      </c>
      <c r="CZ21" s="241">
        <f t="shared" si="68"/>
        <v>0</v>
      </c>
      <c r="DA21" s="241">
        <f t="shared" si="69"/>
        <v>0</v>
      </c>
      <c r="DB21" s="241">
        <f t="shared" si="70"/>
        <v>0</v>
      </c>
      <c r="DC21" s="268">
        <f t="shared" si="71"/>
        <v>0</v>
      </c>
      <c r="DE21" s="763">
        <f>IF(B21&lt;=Milk_Retrofit!$G$21,1,0)</f>
        <v>0</v>
      </c>
      <c r="DF21" s="666">
        <f t="shared" si="72"/>
        <v>0</v>
      </c>
      <c r="DG21" s="662">
        <f>Milk_Retrofit!$G$20</f>
        <v>0.16700000000000001</v>
      </c>
      <c r="DH21" s="239">
        <f t="shared" si="73"/>
        <v>0</v>
      </c>
      <c r="DI21" s="241">
        <f t="shared" si="74"/>
        <v>0</v>
      </c>
      <c r="DJ21" s="241">
        <f t="shared" si="75"/>
        <v>0</v>
      </c>
      <c r="DK21" s="241">
        <f t="shared" si="76"/>
        <v>0</v>
      </c>
      <c r="DL21" s="241">
        <f t="shared" si="77"/>
        <v>0</v>
      </c>
      <c r="DM21" s="268">
        <f t="shared" si="78"/>
        <v>0</v>
      </c>
    </row>
    <row r="22" spans="2:117" s="107" customFormat="1" x14ac:dyDescent="0.3">
      <c r="B22" s="192">
        <f t="shared" si="79"/>
        <v>13</v>
      </c>
      <c r="C22" s="663">
        <f t="shared" si="1"/>
        <v>2033</v>
      </c>
      <c r="D22" s="664">
        <f t="shared" si="0"/>
        <v>0</v>
      </c>
      <c r="E22" s="228"/>
      <c r="F22" s="229"/>
      <c r="G22" s="351">
        <f t="shared" si="80"/>
        <v>48580</v>
      </c>
      <c r="H22" s="441">
        <f t="shared" si="80"/>
        <v>48944</v>
      </c>
      <c r="I22" s="665">
        <f>IF(B22&lt;=Fish_Inputs!$G$21,1,0)</f>
        <v>0</v>
      </c>
      <c r="J22" s="666">
        <f t="shared" si="2"/>
        <v>0</v>
      </c>
      <c r="K22" s="518">
        <f>Fish_Inputs!$G$20</f>
        <v>0.16700000000000001</v>
      </c>
      <c r="L22" s="239">
        <f t="shared" si="3"/>
        <v>0</v>
      </c>
      <c r="M22" s="241">
        <f t="shared" si="4"/>
        <v>0</v>
      </c>
      <c r="N22" s="241">
        <f t="shared" si="5"/>
        <v>0</v>
      </c>
      <c r="O22" s="241">
        <f t="shared" si="6"/>
        <v>0</v>
      </c>
      <c r="P22" s="241">
        <f t="shared" si="7"/>
        <v>0</v>
      </c>
      <c r="Q22" s="268">
        <f t="shared" si="8"/>
        <v>0</v>
      </c>
      <c r="S22" s="763">
        <f>IF(B22&lt;=Fruit_Inputs!$G$21,1,0)</f>
        <v>0</v>
      </c>
      <c r="T22" s="666">
        <f t="shared" si="9"/>
        <v>0</v>
      </c>
      <c r="U22" s="662">
        <f>Fruit_Inputs!$G$20</f>
        <v>0.23089999999999999</v>
      </c>
      <c r="V22" s="239">
        <f t="shared" si="10"/>
        <v>0</v>
      </c>
      <c r="W22" s="241">
        <f t="shared" si="11"/>
        <v>0</v>
      </c>
      <c r="X22" s="241">
        <f t="shared" si="12"/>
        <v>0</v>
      </c>
      <c r="Y22" s="241">
        <f t="shared" si="13"/>
        <v>0</v>
      </c>
      <c r="Z22" s="241">
        <f t="shared" si="14"/>
        <v>0</v>
      </c>
      <c r="AA22" s="268">
        <f t="shared" si="15"/>
        <v>0</v>
      </c>
      <c r="AC22" s="763">
        <f>IF(B22&lt;=Veg_Inputs!$G$21,1,0)</f>
        <v>0</v>
      </c>
      <c r="AD22" s="666">
        <f t="shared" si="16"/>
        <v>0</v>
      </c>
      <c r="AE22" s="662">
        <f>Veg_Inputs!$G$20</f>
        <v>0.14499999999999999</v>
      </c>
      <c r="AF22" s="239">
        <f t="shared" si="17"/>
        <v>0</v>
      </c>
      <c r="AG22" s="241">
        <f t="shared" si="18"/>
        <v>0</v>
      </c>
      <c r="AH22" s="241">
        <f t="shared" si="19"/>
        <v>0</v>
      </c>
      <c r="AI22" s="241">
        <f t="shared" si="20"/>
        <v>0</v>
      </c>
      <c r="AJ22" s="241">
        <f t="shared" si="21"/>
        <v>0</v>
      </c>
      <c r="AK22" s="268">
        <f t="shared" si="22"/>
        <v>0</v>
      </c>
      <c r="AM22" s="763">
        <f>IF(B22&lt;=Rice_Inputs!$G$21,1,0)</f>
        <v>0</v>
      </c>
      <c r="AN22" s="666">
        <f t="shared" si="23"/>
        <v>0</v>
      </c>
      <c r="AO22" s="662">
        <f>Rice_Inputs!$G$20</f>
        <v>0.23089999999999999</v>
      </c>
      <c r="AP22" s="239">
        <f t="shared" si="24"/>
        <v>0</v>
      </c>
      <c r="AQ22" s="241">
        <f t="shared" si="25"/>
        <v>0</v>
      </c>
      <c r="AR22" s="241">
        <f t="shared" si="26"/>
        <v>0</v>
      </c>
      <c r="AS22" s="241">
        <f t="shared" si="27"/>
        <v>0</v>
      </c>
      <c r="AT22" s="241">
        <f t="shared" si="28"/>
        <v>0</v>
      </c>
      <c r="AU22" s="268">
        <f t="shared" si="29"/>
        <v>0</v>
      </c>
      <c r="AW22" s="763">
        <f>IF(B22&lt;=Pyre_Inputs!$G$21,1,0)</f>
        <v>0</v>
      </c>
      <c r="AX22" s="666">
        <f t="shared" si="30"/>
        <v>0</v>
      </c>
      <c r="AY22" s="662">
        <f>Pyre_Inputs!$G$20</f>
        <v>0.119657894736842</v>
      </c>
      <c r="AZ22" s="239">
        <f t="shared" si="31"/>
        <v>0</v>
      </c>
      <c r="BA22" s="241">
        <f t="shared" si="32"/>
        <v>-5.457229469470085E-12</v>
      </c>
      <c r="BB22" s="241">
        <f t="shared" si="33"/>
        <v>-5.457229469470085E-12</v>
      </c>
      <c r="BC22" s="241">
        <f t="shared" si="34"/>
        <v>4.5606932007887268E-11</v>
      </c>
      <c r="BD22" s="241">
        <f t="shared" si="35"/>
        <v>5.1064161477357357E-11</v>
      </c>
      <c r="BE22" s="268">
        <f t="shared" si="36"/>
        <v>0</v>
      </c>
      <c r="BG22" s="763">
        <f>IF(B22&lt;=Tea_Retrofit!$G$21,1,0)</f>
        <v>0</v>
      </c>
      <c r="BH22" s="666">
        <f t="shared" si="37"/>
        <v>0</v>
      </c>
      <c r="BI22" s="662">
        <f>Tea_Retrofit!$G$20</f>
        <v>0.16900000000000001</v>
      </c>
      <c r="BJ22" s="239">
        <f t="shared" si="38"/>
        <v>0</v>
      </c>
      <c r="BK22" s="241">
        <f t="shared" si="39"/>
        <v>0</v>
      </c>
      <c r="BL22" s="241">
        <f t="shared" si="40"/>
        <v>0</v>
      </c>
      <c r="BM22" s="241">
        <f t="shared" si="41"/>
        <v>0</v>
      </c>
      <c r="BN22" s="241">
        <f t="shared" si="42"/>
        <v>0</v>
      </c>
      <c r="BO22" s="268">
        <f t="shared" si="43"/>
        <v>0</v>
      </c>
      <c r="BQ22" s="763">
        <f>IF(B22&lt;=Tobacco_Retrofit!$G$21,1,0)</f>
        <v>0</v>
      </c>
      <c r="BR22" s="666">
        <f t="shared" si="44"/>
        <v>0</v>
      </c>
      <c r="BS22" s="662">
        <f>Tobacco_Retrofit!$G$20</f>
        <v>0.14499999999999999</v>
      </c>
      <c r="BT22" s="239">
        <f t="shared" si="45"/>
        <v>0</v>
      </c>
      <c r="BU22" s="241">
        <f t="shared" si="46"/>
        <v>0</v>
      </c>
      <c r="BV22" s="241">
        <f t="shared" si="47"/>
        <v>0</v>
      </c>
      <c r="BW22" s="241">
        <f t="shared" si="48"/>
        <v>0</v>
      </c>
      <c r="BX22" s="241">
        <f t="shared" si="49"/>
        <v>0</v>
      </c>
      <c r="BY22" s="268">
        <f t="shared" si="50"/>
        <v>0</v>
      </c>
      <c r="CA22" s="763">
        <f>IF(B22&lt;=Spas_Inputs!$G$21,1,0)</f>
        <v>0</v>
      </c>
      <c r="CB22" s="666">
        <f t="shared" si="51"/>
        <v>0</v>
      </c>
      <c r="CC22" s="662">
        <f>Spas_Inputs!$G$20</f>
        <v>0.113</v>
      </c>
      <c r="CD22" s="239">
        <f t="shared" si="52"/>
        <v>0</v>
      </c>
      <c r="CE22" s="241">
        <f t="shared" si="53"/>
        <v>0</v>
      </c>
      <c r="CF22" s="241">
        <f t="shared" si="54"/>
        <v>0</v>
      </c>
      <c r="CG22" s="241">
        <f t="shared" si="55"/>
        <v>0</v>
      </c>
      <c r="CH22" s="241">
        <f t="shared" si="56"/>
        <v>0</v>
      </c>
      <c r="CI22" s="268">
        <f t="shared" si="57"/>
        <v>0</v>
      </c>
      <c r="CK22" s="763">
        <f>IF(B22&lt;=Greenhouse_Retrofit!$G$21,1,0)</f>
        <v>0</v>
      </c>
      <c r="CL22" s="666">
        <f t="shared" si="58"/>
        <v>0</v>
      </c>
      <c r="CM22" s="662">
        <f>Greenhouse_Retrofit!$G$20</f>
        <v>0.16900000000000001</v>
      </c>
      <c r="CN22" s="239">
        <f t="shared" si="59"/>
        <v>0</v>
      </c>
      <c r="CO22" s="241">
        <f t="shared" si="60"/>
        <v>0</v>
      </c>
      <c r="CP22" s="241">
        <f t="shared" si="61"/>
        <v>0</v>
      </c>
      <c r="CQ22" s="241">
        <f t="shared" si="62"/>
        <v>0</v>
      </c>
      <c r="CR22" s="241">
        <f t="shared" si="63"/>
        <v>0</v>
      </c>
      <c r="CS22" s="268">
        <f t="shared" si="64"/>
        <v>0</v>
      </c>
      <c r="CU22" s="763">
        <f>IF(B22&lt;=Hatchery_Retrofit!$G$21,1,0)</f>
        <v>0</v>
      </c>
      <c r="CV22" s="661">
        <f t="shared" si="81"/>
        <v>0</v>
      </c>
      <c r="CW22" s="662">
        <f>Hatchery_Retrofit!$G$20</f>
        <v>0.119657894736842</v>
      </c>
      <c r="CX22" s="239">
        <f t="shared" si="66"/>
        <v>0</v>
      </c>
      <c r="CY22" s="241">
        <f t="shared" si="67"/>
        <v>0</v>
      </c>
      <c r="CZ22" s="241">
        <f t="shared" si="68"/>
        <v>0</v>
      </c>
      <c r="DA22" s="241">
        <f t="shared" si="69"/>
        <v>0</v>
      </c>
      <c r="DB22" s="241">
        <f t="shared" si="70"/>
        <v>0</v>
      </c>
      <c r="DC22" s="268">
        <f t="shared" si="71"/>
        <v>0</v>
      </c>
      <c r="DE22" s="763">
        <f>IF(B22&lt;=Milk_Retrofit!$G$21,1,0)</f>
        <v>0</v>
      </c>
      <c r="DF22" s="666">
        <f t="shared" si="72"/>
        <v>0</v>
      </c>
      <c r="DG22" s="662">
        <f>Milk_Retrofit!$G$20</f>
        <v>0.16700000000000001</v>
      </c>
      <c r="DH22" s="239">
        <f t="shared" si="73"/>
        <v>0</v>
      </c>
      <c r="DI22" s="241">
        <f t="shared" si="74"/>
        <v>0</v>
      </c>
      <c r="DJ22" s="241">
        <f t="shared" si="75"/>
        <v>0</v>
      </c>
      <c r="DK22" s="241">
        <f t="shared" si="76"/>
        <v>0</v>
      </c>
      <c r="DL22" s="241">
        <f t="shared" si="77"/>
        <v>0</v>
      </c>
      <c r="DM22" s="268">
        <f t="shared" si="78"/>
        <v>0</v>
      </c>
    </row>
    <row r="23" spans="2:117" s="107" customFormat="1" x14ac:dyDescent="0.3">
      <c r="B23" s="192">
        <f t="shared" si="79"/>
        <v>14</v>
      </c>
      <c r="C23" s="663">
        <f t="shared" si="1"/>
        <v>2034</v>
      </c>
      <c r="D23" s="664">
        <f t="shared" si="0"/>
        <v>0</v>
      </c>
      <c r="E23" s="228"/>
      <c r="F23" s="229"/>
      <c r="G23" s="351">
        <f t="shared" si="80"/>
        <v>48945</v>
      </c>
      <c r="H23" s="441">
        <f t="shared" si="80"/>
        <v>49309</v>
      </c>
      <c r="I23" s="665">
        <f>IF(B23&lt;=Fish_Inputs!$G$21,1,0)</f>
        <v>0</v>
      </c>
      <c r="J23" s="666">
        <f t="shared" si="2"/>
        <v>0</v>
      </c>
      <c r="K23" s="518">
        <f>Fish_Inputs!$G$20</f>
        <v>0.16700000000000001</v>
      </c>
      <c r="L23" s="239">
        <f t="shared" si="3"/>
        <v>0</v>
      </c>
      <c r="M23" s="241">
        <f t="shared" si="4"/>
        <v>0</v>
      </c>
      <c r="N23" s="241">
        <f t="shared" si="5"/>
        <v>0</v>
      </c>
      <c r="O23" s="241">
        <f t="shared" si="6"/>
        <v>0</v>
      </c>
      <c r="P23" s="241">
        <f t="shared" si="7"/>
        <v>0</v>
      </c>
      <c r="Q23" s="268">
        <f t="shared" si="8"/>
        <v>0</v>
      </c>
      <c r="S23" s="763">
        <f>IF(B23&lt;=Fruit_Inputs!$G$21,1,0)</f>
        <v>0</v>
      </c>
      <c r="T23" s="666">
        <f t="shared" si="9"/>
        <v>0</v>
      </c>
      <c r="U23" s="662">
        <f>Fruit_Inputs!$G$20</f>
        <v>0.23089999999999999</v>
      </c>
      <c r="V23" s="239">
        <f t="shared" si="10"/>
        <v>0</v>
      </c>
      <c r="W23" s="241">
        <f t="shared" si="11"/>
        <v>0</v>
      </c>
      <c r="X23" s="241">
        <f t="shared" si="12"/>
        <v>0</v>
      </c>
      <c r="Y23" s="241">
        <f t="shared" si="13"/>
        <v>0</v>
      </c>
      <c r="Z23" s="241">
        <f t="shared" si="14"/>
        <v>0</v>
      </c>
      <c r="AA23" s="268">
        <f t="shared" si="15"/>
        <v>0</v>
      </c>
      <c r="AC23" s="763">
        <f>IF(B23&lt;=Veg_Inputs!$G$21,1,0)</f>
        <v>0</v>
      </c>
      <c r="AD23" s="666">
        <f t="shared" si="16"/>
        <v>0</v>
      </c>
      <c r="AE23" s="662">
        <f>Veg_Inputs!$G$20</f>
        <v>0.14499999999999999</v>
      </c>
      <c r="AF23" s="239">
        <f t="shared" si="17"/>
        <v>0</v>
      </c>
      <c r="AG23" s="241">
        <f t="shared" si="18"/>
        <v>0</v>
      </c>
      <c r="AH23" s="241">
        <f t="shared" si="19"/>
        <v>0</v>
      </c>
      <c r="AI23" s="241">
        <f t="shared" si="20"/>
        <v>0</v>
      </c>
      <c r="AJ23" s="241">
        <f t="shared" si="21"/>
        <v>0</v>
      </c>
      <c r="AK23" s="268">
        <f t="shared" si="22"/>
        <v>0</v>
      </c>
      <c r="AM23" s="763">
        <f>IF(B23&lt;=Rice_Inputs!$G$21,1,0)</f>
        <v>0</v>
      </c>
      <c r="AN23" s="666">
        <f t="shared" si="23"/>
        <v>0</v>
      </c>
      <c r="AO23" s="662">
        <f>Rice_Inputs!$G$20</f>
        <v>0.23089999999999999</v>
      </c>
      <c r="AP23" s="239">
        <f t="shared" si="24"/>
        <v>0</v>
      </c>
      <c r="AQ23" s="241">
        <f t="shared" si="25"/>
        <v>0</v>
      </c>
      <c r="AR23" s="241">
        <f t="shared" si="26"/>
        <v>0</v>
      </c>
      <c r="AS23" s="241">
        <f t="shared" si="27"/>
        <v>0</v>
      </c>
      <c r="AT23" s="241">
        <f t="shared" si="28"/>
        <v>0</v>
      </c>
      <c r="AU23" s="268">
        <f t="shared" si="29"/>
        <v>0</v>
      </c>
      <c r="AW23" s="763">
        <f>IF(B23&lt;=Pyre_Inputs!$G$21,1,0)</f>
        <v>0</v>
      </c>
      <c r="AX23" s="666">
        <f t="shared" si="30"/>
        <v>0</v>
      </c>
      <c r="AY23" s="662">
        <f>Pyre_Inputs!$G$20</f>
        <v>0.119657894736842</v>
      </c>
      <c r="AZ23" s="239">
        <f t="shared" si="31"/>
        <v>0</v>
      </c>
      <c r="BA23" s="241">
        <f t="shared" si="32"/>
        <v>-6.110230058882729E-12</v>
      </c>
      <c r="BB23" s="241">
        <f t="shared" si="33"/>
        <v>-6.110230058882729E-12</v>
      </c>
      <c r="BC23" s="241">
        <f t="shared" si="34"/>
        <v>5.1064161477357357E-11</v>
      </c>
      <c r="BD23" s="241">
        <f t="shared" si="35"/>
        <v>5.7174391536240088E-11</v>
      </c>
      <c r="BE23" s="268">
        <f t="shared" si="36"/>
        <v>0</v>
      </c>
      <c r="BG23" s="763">
        <f>IF(B23&lt;=Tea_Retrofit!$G$21,1,0)</f>
        <v>0</v>
      </c>
      <c r="BH23" s="666">
        <f t="shared" si="37"/>
        <v>0</v>
      </c>
      <c r="BI23" s="662">
        <f>Tea_Retrofit!$G$20</f>
        <v>0.16900000000000001</v>
      </c>
      <c r="BJ23" s="239">
        <f t="shared" si="38"/>
        <v>0</v>
      </c>
      <c r="BK23" s="241">
        <f t="shared" si="39"/>
        <v>0</v>
      </c>
      <c r="BL23" s="241">
        <f t="shared" si="40"/>
        <v>0</v>
      </c>
      <c r="BM23" s="241">
        <f t="shared" si="41"/>
        <v>0</v>
      </c>
      <c r="BN23" s="241">
        <f t="shared" si="42"/>
        <v>0</v>
      </c>
      <c r="BO23" s="268">
        <f t="shared" si="43"/>
        <v>0</v>
      </c>
      <c r="BQ23" s="763">
        <f>IF(B23&lt;=Tobacco_Retrofit!$G$21,1,0)</f>
        <v>0</v>
      </c>
      <c r="BR23" s="666">
        <f t="shared" si="44"/>
        <v>0</v>
      </c>
      <c r="BS23" s="662">
        <f>Tobacco_Retrofit!$G$20</f>
        <v>0.14499999999999999</v>
      </c>
      <c r="BT23" s="239">
        <f t="shared" si="45"/>
        <v>0</v>
      </c>
      <c r="BU23" s="241">
        <f t="shared" si="46"/>
        <v>0</v>
      </c>
      <c r="BV23" s="241">
        <f t="shared" si="47"/>
        <v>0</v>
      </c>
      <c r="BW23" s="241">
        <f t="shared" si="48"/>
        <v>0</v>
      </c>
      <c r="BX23" s="241">
        <f t="shared" si="49"/>
        <v>0</v>
      </c>
      <c r="BY23" s="268">
        <f t="shared" si="50"/>
        <v>0</v>
      </c>
      <c r="CA23" s="763">
        <f>IF(B23&lt;=Spas_Inputs!$G$21,1,0)</f>
        <v>0</v>
      </c>
      <c r="CB23" s="666">
        <f t="shared" si="51"/>
        <v>0</v>
      </c>
      <c r="CC23" s="662">
        <f>Spas_Inputs!$G$20</f>
        <v>0.113</v>
      </c>
      <c r="CD23" s="239">
        <f t="shared" si="52"/>
        <v>0</v>
      </c>
      <c r="CE23" s="241">
        <f t="shared" si="53"/>
        <v>0</v>
      </c>
      <c r="CF23" s="241">
        <f t="shared" si="54"/>
        <v>0</v>
      </c>
      <c r="CG23" s="241">
        <f t="shared" si="55"/>
        <v>0</v>
      </c>
      <c r="CH23" s="241">
        <f t="shared" si="56"/>
        <v>0</v>
      </c>
      <c r="CI23" s="268">
        <f t="shared" si="57"/>
        <v>0</v>
      </c>
      <c r="CK23" s="763">
        <f>IF(B23&lt;=Greenhouse_Retrofit!$G$21,1,0)</f>
        <v>0</v>
      </c>
      <c r="CL23" s="666">
        <f t="shared" si="58"/>
        <v>0</v>
      </c>
      <c r="CM23" s="662">
        <f>Greenhouse_Retrofit!$G$20</f>
        <v>0.16900000000000001</v>
      </c>
      <c r="CN23" s="239">
        <f t="shared" si="59"/>
        <v>0</v>
      </c>
      <c r="CO23" s="241">
        <f t="shared" si="60"/>
        <v>0</v>
      </c>
      <c r="CP23" s="241">
        <f t="shared" si="61"/>
        <v>0</v>
      </c>
      <c r="CQ23" s="241">
        <f t="shared" si="62"/>
        <v>0</v>
      </c>
      <c r="CR23" s="241">
        <f t="shared" si="63"/>
        <v>0</v>
      </c>
      <c r="CS23" s="268">
        <f t="shared" si="64"/>
        <v>0</v>
      </c>
      <c r="CU23" s="763">
        <f>IF(B23&lt;=Hatchery_Retrofit!$G$21,1,0)</f>
        <v>0</v>
      </c>
      <c r="CV23" s="661">
        <f t="shared" si="81"/>
        <v>0</v>
      </c>
      <c r="CW23" s="662">
        <f>Hatchery_Retrofit!$G$20</f>
        <v>0.119657894736842</v>
      </c>
      <c r="CX23" s="239">
        <f t="shared" si="66"/>
        <v>0</v>
      </c>
      <c r="CY23" s="241">
        <f t="shared" si="67"/>
        <v>0</v>
      </c>
      <c r="CZ23" s="241">
        <f t="shared" si="68"/>
        <v>0</v>
      </c>
      <c r="DA23" s="241">
        <f t="shared" si="69"/>
        <v>0</v>
      </c>
      <c r="DB23" s="241">
        <f t="shared" si="70"/>
        <v>0</v>
      </c>
      <c r="DC23" s="268">
        <f t="shared" si="71"/>
        <v>0</v>
      </c>
      <c r="DE23" s="763">
        <f>IF(B23&lt;=Milk_Retrofit!$G$21,1,0)</f>
        <v>0</v>
      </c>
      <c r="DF23" s="666">
        <f t="shared" si="72"/>
        <v>0</v>
      </c>
      <c r="DG23" s="662">
        <f>Milk_Retrofit!$G$20</f>
        <v>0.16700000000000001</v>
      </c>
      <c r="DH23" s="239">
        <f t="shared" si="73"/>
        <v>0</v>
      </c>
      <c r="DI23" s="241">
        <f t="shared" si="74"/>
        <v>0</v>
      </c>
      <c r="DJ23" s="241">
        <f t="shared" si="75"/>
        <v>0</v>
      </c>
      <c r="DK23" s="241">
        <f t="shared" si="76"/>
        <v>0</v>
      </c>
      <c r="DL23" s="241">
        <f t="shared" si="77"/>
        <v>0</v>
      </c>
      <c r="DM23" s="268">
        <f t="shared" si="78"/>
        <v>0</v>
      </c>
    </row>
    <row r="24" spans="2:117" s="107" customFormat="1" x14ac:dyDescent="0.3">
      <c r="B24" s="192">
        <f t="shared" si="79"/>
        <v>15</v>
      </c>
      <c r="C24" s="663">
        <f t="shared" si="1"/>
        <v>2035</v>
      </c>
      <c r="D24" s="664">
        <f t="shared" si="0"/>
        <v>0</v>
      </c>
      <c r="E24" s="228"/>
      <c r="F24" s="229"/>
      <c r="G24" s="351">
        <f t="shared" si="80"/>
        <v>49310</v>
      </c>
      <c r="H24" s="441">
        <f t="shared" si="80"/>
        <v>49674</v>
      </c>
      <c r="I24" s="665">
        <f>IF(B24&lt;=Fish_Inputs!$G$21,1,0)</f>
        <v>0</v>
      </c>
      <c r="J24" s="666">
        <f t="shared" si="2"/>
        <v>0</v>
      </c>
      <c r="K24" s="518">
        <f>Fish_Inputs!$G$20</f>
        <v>0.16700000000000001</v>
      </c>
      <c r="L24" s="239">
        <f t="shared" si="3"/>
        <v>0</v>
      </c>
      <c r="M24" s="241">
        <f t="shared" si="4"/>
        <v>0</v>
      </c>
      <c r="N24" s="241">
        <f t="shared" si="5"/>
        <v>0</v>
      </c>
      <c r="O24" s="241">
        <f t="shared" si="6"/>
        <v>0</v>
      </c>
      <c r="P24" s="241">
        <f t="shared" si="7"/>
        <v>0</v>
      </c>
      <c r="Q24" s="268">
        <f t="shared" si="8"/>
        <v>0</v>
      </c>
      <c r="S24" s="763">
        <f>IF(B24&lt;=Fruit_Inputs!$G$21,1,0)</f>
        <v>0</v>
      </c>
      <c r="T24" s="666">
        <f t="shared" si="9"/>
        <v>0</v>
      </c>
      <c r="U24" s="662">
        <f>Fruit_Inputs!$G$20</f>
        <v>0.23089999999999999</v>
      </c>
      <c r="V24" s="239">
        <f t="shared" si="10"/>
        <v>0</v>
      </c>
      <c r="W24" s="241">
        <f t="shared" si="11"/>
        <v>0</v>
      </c>
      <c r="X24" s="241">
        <f t="shared" si="12"/>
        <v>0</v>
      </c>
      <c r="Y24" s="241">
        <f t="shared" si="13"/>
        <v>0</v>
      </c>
      <c r="Z24" s="241">
        <f t="shared" si="14"/>
        <v>0</v>
      </c>
      <c r="AA24" s="268">
        <f t="shared" si="15"/>
        <v>0</v>
      </c>
      <c r="AC24" s="763">
        <f>IF(B24&lt;=Veg_Inputs!$G$21,1,0)</f>
        <v>0</v>
      </c>
      <c r="AD24" s="666">
        <f t="shared" si="16"/>
        <v>0</v>
      </c>
      <c r="AE24" s="662">
        <f>Veg_Inputs!$G$20</f>
        <v>0.14499999999999999</v>
      </c>
      <c r="AF24" s="239">
        <f t="shared" si="17"/>
        <v>0</v>
      </c>
      <c r="AG24" s="241">
        <f t="shared" si="18"/>
        <v>0</v>
      </c>
      <c r="AH24" s="241">
        <f t="shared" si="19"/>
        <v>0</v>
      </c>
      <c r="AI24" s="241">
        <f t="shared" si="20"/>
        <v>0</v>
      </c>
      <c r="AJ24" s="241">
        <f t="shared" si="21"/>
        <v>0</v>
      </c>
      <c r="AK24" s="268">
        <f t="shared" si="22"/>
        <v>0</v>
      </c>
      <c r="AM24" s="763">
        <f>IF(B24&lt;=Rice_Inputs!$G$21,1,0)</f>
        <v>0</v>
      </c>
      <c r="AN24" s="666">
        <f t="shared" si="23"/>
        <v>0</v>
      </c>
      <c r="AO24" s="662">
        <f>Rice_Inputs!$G$20</f>
        <v>0.23089999999999999</v>
      </c>
      <c r="AP24" s="239">
        <f t="shared" si="24"/>
        <v>0</v>
      </c>
      <c r="AQ24" s="241">
        <f t="shared" si="25"/>
        <v>0</v>
      </c>
      <c r="AR24" s="241">
        <f t="shared" si="26"/>
        <v>0</v>
      </c>
      <c r="AS24" s="241">
        <f t="shared" si="27"/>
        <v>0</v>
      </c>
      <c r="AT24" s="241">
        <f t="shared" si="28"/>
        <v>0</v>
      </c>
      <c r="AU24" s="268">
        <f t="shared" si="29"/>
        <v>0</v>
      </c>
      <c r="AW24" s="763">
        <f>IF(B24&lt;=Pyre_Inputs!$G$21,1,0)</f>
        <v>0</v>
      </c>
      <c r="AX24" s="666">
        <f t="shared" si="30"/>
        <v>0</v>
      </c>
      <c r="AY24" s="662">
        <f>Pyre_Inputs!$G$20</f>
        <v>0.119657894736842</v>
      </c>
      <c r="AZ24" s="239">
        <f t="shared" si="31"/>
        <v>0</v>
      </c>
      <c r="BA24" s="241">
        <f t="shared" si="32"/>
        <v>-6.8413673240864065E-12</v>
      </c>
      <c r="BB24" s="241">
        <f t="shared" si="33"/>
        <v>-6.8413673240864065E-12</v>
      </c>
      <c r="BC24" s="241">
        <f t="shared" si="34"/>
        <v>5.7174391536240088E-11</v>
      </c>
      <c r="BD24" s="241">
        <f t="shared" si="35"/>
        <v>6.4015758860326499E-11</v>
      </c>
      <c r="BE24" s="268">
        <f t="shared" si="36"/>
        <v>0</v>
      </c>
      <c r="BG24" s="763">
        <f>IF(B24&lt;=Tea_Retrofit!$G$21,1,0)</f>
        <v>0</v>
      </c>
      <c r="BH24" s="666">
        <f t="shared" si="37"/>
        <v>0</v>
      </c>
      <c r="BI24" s="662">
        <f>Tea_Retrofit!$G$20</f>
        <v>0.16900000000000001</v>
      </c>
      <c r="BJ24" s="239">
        <f t="shared" si="38"/>
        <v>0</v>
      </c>
      <c r="BK24" s="241">
        <f t="shared" si="39"/>
        <v>0</v>
      </c>
      <c r="BL24" s="241">
        <f t="shared" si="40"/>
        <v>0</v>
      </c>
      <c r="BM24" s="241">
        <f t="shared" si="41"/>
        <v>0</v>
      </c>
      <c r="BN24" s="241">
        <f t="shared" si="42"/>
        <v>0</v>
      </c>
      <c r="BO24" s="268">
        <f t="shared" si="43"/>
        <v>0</v>
      </c>
      <c r="BQ24" s="763">
        <f>IF(B24&lt;=Tobacco_Retrofit!$G$21,1,0)</f>
        <v>0</v>
      </c>
      <c r="BR24" s="666">
        <f t="shared" si="44"/>
        <v>0</v>
      </c>
      <c r="BS24" s="662">
        <f>Tobacco_Retrofit!$G$20</f>
        <v>0.14499999999999999</v>
      </c>
      <c r="BT24" s="239">
        <f t="shared" si="45"/>
        <v>0</v>
      </c>
      <c r="BU24" s="241">
        <f t="shared" si="46"/>
        <v>0</v>
      </c>
      <c r="BV24" s="241">
        <f t="shared" si="47"/>
        <v>0</v>
      </c>
      <c r="BW24" s="241">
        <f t="shared" si="48"/>
        <v>0</v>
      </c>
      <c r="BX24" s="241">
        <f t="shared" si="49"/>
        <v>0</v>
      </c>
      <c r="BY24" s="268">
        <f t="shared" si="50"/>
        <v>0</v>
      </c>
      <c r="CA24" s="763">
        <f>IF(B24&lt;=Spas_Inputs!$G$21,1,0)</f>
        <v>0</v>
      </c>
      <c r="CB24" s="666">
        <f t="shared" si="51"/>
        <v>0</v>
      </c>
      <c r="CC24" s="662">
        <f>Spas_Inputs!$G$20</f>
        <v>0.113</v>
      </c>
      <c r="CD24" s="239">
        <f t="shared" si="52"/>
        <v>0</v>
      </c>
      <c r="CE24" s="241">
        <f t="shared" si="53"/>
        <v>0</v>
      </c>
      <c r="CF24" s="241">
        <f t="shared" si="54"/>
        <v>0</v>
      </c>
      <c r="CG24" s="241">
        <f t="shared" si="55"/>
        <v>0</v>
      </c>
      <c r="CH24" s="241">
        <f t="shared" si="56"/>
        <v>0</v>
      </c>
      <c r="CI24" s="268">
        <f t="shared" si="57"/>
        <v>0</v>
      </c>
      <c r="CK24" s="763">
        <f>IF(B24&lt;=Greenhouse_Retrofit!$G$21,1,0)</f>
        <v>0</v>
      </c>
      <c r="CL24" s="666">
        <f t="shared" si="58"/>
        <v>0</v>
      </c>
      <c r="CM24" s="662">
        <f>Greenhouse_Retrofit!$G$20</f>
        <v>0.16900000000000001</v>
      </c>
      <c r="CN24" s="239">
        <f t="shared" si="59"/>
        <v>0</v>
      </c>
      <c r="CO24" s="241">
        <f t="shared" si="60"/>
        <v>0</v>
      </c>
      <c r="CP24" s="241">
        <f t="shared" si="61"/>
        <v>0</v>
      </c>
      <c r="CQ24" s="241">
        <f t="shared" si="62"/>
        <v>0</v>
      </c>
      <c r="CR24" s="241">
        <f t="shared" si="63"/>
        <v>0</v>
      </c>
      <c r="CS24" s="268">
        <f t="shared" si="64"/>
        <v>0</v>
      </c>
      <c r="CU24" s="763">
        <f>IF(B24&lt;=Hatchery_Retrofit!$G$21,1,0)</f>
        <v>0</v>
      </c>
      <c r="CV24" s="661">
        <f t="shared" si="81"/>
        <v>0</v>
      </c>
      <c r="CW24" s="662">
        <f>Hatchery_Retrofit!$G$20</f>
        <v>0.119657894736842</v>
      </c>
      <c r="CX24" s="239">
        <f t="shared" si="66"/>
        <v>0</v>
      </c>
      <c r="CY24" s="241">
        <f t="shared" si="67"/>
        <v>0</v>
      </c>
      <c r="CZ24" s="241">
        <f t="shared" si="68"/>
        <v>0</v>
      </c>
      <c r="DA24" s="241">
        <f t="shared" si="69"/>
        <v>0</v>
      </c>
      <c r="DB24" s="241">
        <f t="shared" si="70"/>
        <v>0</v>
      </c>
      <c r="DC24" s="268">
        <f t="shared" si="71"/>
        <v>0</v>
      </c>
      <c r="DE24" s="763">
        <f>IF(B24&lt;=Milk_Retrofit!$G$21,1,0)</f>
        <v>0</v>
      </c>
      <c r="DF24" s="666">
        <f t="shared" si="72"/>
        <v>0</v>
      </c>
      <c r="DG24" s="662">
        <f>Milk_Retrofit!$G$20</f>
        <v>0.16700000000000001</v>
      </c>
      <c r="DH24" s="239">
        <f t="shared" si="73"/>
        <v>0</v>
      </c>
      <c r="DI24" s="241">
        <f t="shared" si="74"/>
        <v>0</v>
      </c>
      <c r="DJ24" s="241">
        <f t="shared" si="75"/>
        <v>0</v>
      </c>
      <c r="DK24" s="241">
        <f t="shared" si="76"/>
        <v>0</v>
      </c>
      <c r="DL24" s="241">
        <f t="shared" si="77"/>
        <v>0</v>
      </c>
      <c r="DM24" s="268">
        <f t="shared" si="78"/>
        <v>0</v>
      </c>
    </row>
    <row r="25" spans="2:117" s="107" customFormat="1" x14ac:dyDescent="0.3">
      <c r="B25" s="192">
        <f t="shared" si="79"/>
        <v>16</v>
      </c>
      <c r="C25" s="663">
        <f t="shared" si="1"/>
        <v>2036</v>
      </c>
      <c r="D25" s="664">
        <f t="shared" si="0"/>
        <v>0</v>
      </c>
      <c r="E25" s="86"/>
      <c r="F25" s="200"/>
      <c r="G25" s="351">
        <f t="shared" si="80"/>
        <v>49675</v>
      </c>
      <c r="H25" s="441">
        <f t="shared" si="80"/>
        <v>50040</v>
      </c>
      <c r="I25" s="665">
        <f>IF(B25&lt;=Fish_Inputs!$G$21,1,0)</f>
        <v>0</v>
      </c>
      <c r="J25" s="666">
        <f t="shared" si="2"/>
        <v>0</v>
      </c>
      <c r="K25" s="518">
        <f>Fish_Inputs!$G$20</f>
        <v>0.16700000000000001</v>
      </c>
      <c r="L25" s="239">
        <f t="shared" si="3"/>
        <v>0</v>
      </c>
      <c r="M25" s="241">
        <f t="shared" si="4"/>
        <v>0</v>
      </c>
      <c r="N25" s="241">
        <f t="shared" si="5"/>
        <v>0</v>
      </c>
      <c r="O25" s="241">
        <f t="shared" si="6"/>
        <v>0</v>
      </c>
      <c r="P25" s="241">
        <f t="shared" si="7"/>
        <v>0</v>
      </c>
      <c r="Q25" s="268">
        <f t="shared" si="8"/>
        <v>0</v>
      </c>
      <c r="S25" s="763">
        <f>IF(B25&lt;=Fruit_Inputs!$G$21,1,0)</f>
        <v>0</v>
      </c>
      <c r="T25" s="666">
        <f t="shared" si="9"/>
        <v>0</v>
      </c>
      <c r="U25" s="662">
        <f>Fruit_Inputs!$G$20</f>
        <v>0.23089999999999999</v>
      </c>
      <c r="V25" s="239">
        <f t="shared" si="10"/>
        <v>0</v>
      </c>
      <c r="W25" s="241">
        <f t="shared" si="11"/>
        <v>0</v>
      </c>
      <c r="X25" s="241">
        <f t="shared" si="12"/>
        <v>0</v>
      </c>
      <c r="Y25" s="241">
        <f t="shared" si="13"/>
        <v>0</v>
      </c>
      <c r="Z25" s="241">
        <f t="shared" si="14"/>
        <v>0</v>
      </c>
      <c r="AA25" s="268">
        <f t="shared" si="15"/>
        <v>0</v>
      </c>
      <c r="AC25" s="763">
        <f>IF(B25&lt;=Veg_Inputs!$G$21,1,0)</f>
        <v>0</v>
      </c>
      <c r="AD25" s="666">
        <f t="shared" si="16"/>
        <v>0</v>
      </c>
      <c r="AE25" s="662">
        <f>Veg_Inputs!$G$20</f>
        <v>0.14499999999999999</v>
      </c>
      <c r="AF25" s="239">
        <f t="shared" si="17"/>
        <v>0</v>
      </c>
      <c r="AG25" s="241">
        <f t="shared" si="18"/>
        <v>0</v>
      </c>
      <c r="AH25" s="241">
        <f t="shared" si="19"/>
        <v>0</v>
      </c>
      <c r="AI25" s="241">
        <f t="shared" si="20"/>
        <v>0</v>
      </c>
      <c r="AJ25" s="241">
        <f t="shared" si="21"/>
        <v>0</v>
      </c>
      <c r="AK25" s="268">
        <f t="shared" si="22"/>
        <v>0</v>
      </c>
      <c r="AM25" s="763">
        <f>IF(B25&lt;=Rice_Inputs!$G$21,1,0)</f>
        <v>0</v>
      </c>
      <c r="AN25" s="666">
        <f t="shared" si="23"/>
        <v>0</v>
      </c>
      <c r="AO25" s="662">
        <f>Rice_Inputs!$G$20</f>
        <v>0.23089999999999999</v>
      </c>
      <c r="AP25" s="239">
        <f t="shared" si="24"/>
        <v>0</v>
      </c>
      <c r="AQ25" s="241">
        <f t="shared" si="25"/>
        <v>0</v>
      </c>
      <c r="AR25" s="241">
        <f t="shared" si="26"/>
        <v>0</v>
      </c>
      <c r="AS25" s="241">
        <f t="shared" si="27"/>
        <v>0</v>
      </c>
      <c r="AT25" s="241">
        <f t="shared" si="28"/>
        <v>0</v>
      </c>
      <c r="AU25" s="268">
        <f t="shared" si="29"/>
        <v>0</v>
      </c>
      <c r="AW25" s="763">
        <f>IF(B25&lt;=Pyre_Inputs!$G$21,1,0)</f>
        <v>0</v>
      </c>
      <c r="AX25" s="666">
        <f t="shared" si="30"/>
        <v>0</v>
      </c>
      <c r="AY25" s="662">
        <f>Pyre_Inputs!$G$20</f>
        <v>0.119657894736842</v>
      </c>
      <c r="AZ25" s="239">
        <f t="shared" si="31"/>
        <v>0</v>
      </c>
      <c r="BA25" s="241">
        <f t="shared" si="32"/>
        <v>-7.6599909352080094E-12</v>
      </c>
      <c r="BB25" s="241">
        <f t="shared" si="33"/>
        <v>-7.6599909352080094E-12</v>
      </c>
      <c r="BC25" s="241">
        <f t="shared" si="34"/>
        <v>6.4015758860326499E-11</v>
      </c>
      <c r="BD25" s="241">
        <f t="shared" si="35"/>
        <v>7.1675749795534505E-11</v>
      </c>
      <c r="BE25" s="268">
        <f t="shared" si="36"/>
        <v>0</v>
      </c>
      <c r="BG25" s="763">
        <f>IF(B25&lt;=Tea_Retrofit!$G$21,1,0)</f>
        <v>0</v>
      </c>
      <c r="BH25" s="666">
        <f t="shared" si="37"/>
        <v>0</v>
      </c>
      <c r="BI25" s="662">
        <f>Tea_Retrofit!$G$20</f>
        <v>0.16900000000000001</v>
      </c>
      <c r="BJ25" s="239">
        <f t="shared" si="38"/>
        <v>0</v>
      </c>
      <c r="BK25" s="241">
        <f t="shared" si="39"/>
        <v>0</v>
      </c>
      <c r="BL25" s="241">
        <f t="shared" si="40"/>
        <v>0</v>
      </c>
      <c r="BM25" s="241">
        <f t="shared" si="41"/>
        <v>0</v>
      </c>
      <c r="BN25" s="241">
        <f t="shared" si="42"/>
        <v>0</v>
      </c>
      <c r="BO25" s="268">
        <f t="shared" si="43"/>
        <v>0</v>
      </c>
      <c r="BQ25" s="763">
        <f>IF(B25&lt;=Tobacco_Retrofit!$G$21,1,0)</f>
        <v>0</v>
      </c>
      <c r="BR25" s="666">
        <f t="shared" si="44"/>
        <v>0</v>
      </c>
      <c r="BS25" s="662">
        <f>Tobacco_Retrofit!$G$20</f>
        <v>0.14499999999999999</v>
      </c>
      <c r="BT25" s="239">
        <f t="shared" si="45"/>
        <v>0</v>
      </c>
      <c r="BU25" s="241">
        <f t="shared" si="46"/>
        <v>0</v>
      </c>
      <c r="BV25" s="241">
        <f t="shared" si="47"/>
        <v>0</v>
      </c>
      <c r="BW25" s="241">
        <f t="shared" si="48"/>
        <v>0</v>
      </c>
      <c r="BX25" s="241">
        <f t="shared" si="49"/>
        <v>0</v>
      </c>
      <c r="BY25" s="268">
        <f t="shared" si="50"/>
        <v>0</v>
      </c>
      <c r="CA25" s="763">
        <f>IF(B25&lt;=Spas_Inputs!$G$21,1,0)</f>
        <v>0</v>
      </c>
      <c r="CB25" s="666">
        <f t="shared" si="51"/>
        <v>0</v>
      </c>
      <c r="CC25" s="662">
        <f>Spas_Inputs!$G$20</f>
        <v>0.113</v>
      </c>
      <c r="CD25" s="239">
        <f t="shared" si="52"/>
        <v>0</v>
      </c>
      <c r="CE25" s="241">
        <f t="shared" si="53"/>
        <v>0</v>
      </c>
      <c r="CF25" s="241">
        <f t="shared" si="54"/>
        <v>0</v>
      </c>
      <c r="CG25" s="241">
        <f t="shared" si="55"/>
        <v>0</v>
      </c>
      <c r="CH25" s="241">
        <f t="shared" si="56"/>
        <v>0</v>
      </c>
      <c r="CI25" s="268">
        <f t="shared" si="57"/>
        <v>0</v>
      </c>
      <c r="CK25" s="763">
        <f>IF(B25&lt;=Greenhouse_Retrofit!$G$21,1,0)</f>
        <v>0</v>
      </c>
      <c r="CL25" s="666">
        <f t="shared" si="58"/>
        <v>0</v>
      </c>
      <c r="CM25" s="662">
        <f>Greenhouse_Retrofit!$G$20</f>
        <v>0.16900000000000001</v>
      </c>
      <c r="CN25" s="239">
        <f t="shared" si="59"/>
        <v>0</v>
      </c>
      <c r="CO25" s="241">
        <f t="shared" si="60"/>
        <v>0</v>
      </c>
      <c r="CP25" s="241">
        <f t="shared" si="61"/>
        <v>0</v>
      </c>
      <c r="CQ25" s="241">
        <f t="shared" si="62"/>
        <v>0</v>
      </c>
      <c r="CR25" s="241">
        <f t="shared" si="63"/>
        <v>0</v>
      </c>
      <c r="CS25" s="268">
        <f t="shared" si="64"/>
        <v>0</v>
      </c>
      <c r="CU25" s="763">
        <f>IF(B25&lt;=Hatchery_Retrofit!$G$21,1,0)</f>
        <v>0</v>
      </c>
      <c r="CV25" s="661">
        <f t="shared" si="81"/>
        <v>0</v>
      </c>
      <c r="CW25" s="662">
        <f>Hatchery_Retrofit!$G$20</f>
        <v>0.119657894736842</v>
      </c>
      <c r="CX25" s="239">
        <f t="shared" si="66"/>
        <v>0</v>
      </c>
      <c r="CY25" s="241">
        <f t="shared" si="67"/>
        <v>0</v>
      </c>
      <c r="CZ25" s="241">
        <f t="shared" si="68"/>
        <v>0</v>
      </c>
      <c r="DA25" s="241">
        <f t="shared" si="69"/>
        <v>0</v>
      </c>
      <c r="DB25" s="241">
        <f t="shared" si="70"/>
        <v>0</v>
      </c>
      <c r="DC25" s="268">
        <f t="shared" si="71"/>
        <v>0</v>
      </c>
      <c r="DE25" s="763">
        <f>IF(B25&lt;=Milk_Retrofit!$G$21,1,0)</f>
        <v>0</v>
      </c>
      <c r="DF25" s="666">
        <f t="shared" si="72"/>
        <v>0</v>
      </c>
      <c r="DG25" s="662">
        <f>Milk_Retrofit!$G$20</f>
        <v>0.16700000000000001</v>
      </c>
      <c r="DH25" s="239">
        <f t="shared" si="73"/>
        <v>0</v>
      </c>
      <c r="DI25" s="241">
        <f t="shared" si="74"/>
        <v>0</v>
      </c>
      <c r="DJ25" s="241">
        <f t="shared" si="75"/>
        <v>0</v>
      </c>
      <c r="DK25" s="241">
        <f t="shared" si="76"/>
        <v>0</v>
      </c>
      <c r="DL25" s="241">
        <f t="shared" si="77"/>
        <v>0</v>
      </c>
      <c r="DM25" s="268">
        <f t="shared" si="78"/>
        <v>0</v>
      </c>
    </row>
    <row r="26" spans="2:117" s="107" customFormat="1" x14ac:dyDescent="0.3">
      <c r="B26" s="192">
        <f t="shared" si="79"/>
        <v>17</v>
      </c>
      <c r="C26" s="663">
        <f t="shared" si="1"/>
        <v>2037</v>
      </c>
      <c r="D26" s="664">
        <f t="shared" si="0"/>
        <v>0</v>
      </c>
      <c r="E26" s="228"/>
      <c r="F26" s="229"/>
      <c r="G26" s="351">
        <f t="shared" si="80"/>
        <v>50041</v>
      </c>
      <c r="H26" s="441">
        <f t="shared" si="80"/>
        <v>50405</v>
      </c>
      <c r="I26" s="665">
        <f>IF(B26&lt;=Fish_Inputs!$G$21,1,0)</f>
        <v>0</v>
      </c>
      <c r="J26" s="666">
        <f t="shared" si="2"/>
        <v>0</v>
      </c>
      <c r="K26" s="518">
        <f>Fish_Inputs!$G$20</f>
        <v>0.16700000000000001</v>
      </c>
      <c r="L26" s="239">
        <f t="shared" si="3"/>
        <v>0</v>
      </c>
      <c r="M26" s="241">
        <f t="shared" si="4"/>
        <v>0</v>
      </c>
      <c r="N26" s="241">
        <f t="shared" si="5"/>
        <v>0</v>
      </c>
      <c r="O26" s="241">
        <f t="shared" si="6"/>
        <v>0</v>
      </c>
      <c r="P26" s="241">
        <f t="shared" si="7"/>
        <v>0</v>
      </c>
      <c r="Q26" s="268">
        <f t="shared" si="8"/>
        <v>0</v>
      </c>
      <c r="S26" s="763">
        <f>IF(B26&lt;=Fruit_Inputs!$G$21,1,0)</f>
        <v>0</v>
      </c>
      <c r="T26" s="666">
        <f t="shared" si="9"/>
        <v>0</v>
      </c>
      <c r="U26" s="662">
        <f>Fruit_Inputs!$G$20</f>
        <v>0.23089999999999999</v>
      </c>
      <c r="V26" s="239">
        <f t="shared" si="10"/>
        <v>0</v>
      </c>
      <c r="W26" s="241">
        <f t="shared" si="11"/>
        <v>0</v>
      </c>
      <c r="X26" s="241">
        <f t="shared" si="12"/>
        <v>0</v>
      </c>
      <c r="Y26" s="241">
        <f t="shared" si="13"/>
        <v>0</v>
      </c>
      <c r="Z26" s="241">
        <f t="shared" si="14"/>
        <v>0</v>
      </c>
      <c r="AA26" s="268">
        <f t="shared" si="15"/>
        <v>0</v>
      </c>
      <c r="AC26" s="763">
        <f>IF(B26&lt;=Veg_Inputs!$G$21,1,0)</f>
        <v>0</v>
      </c>
      <c r="AD26" s="666">
        <f t="shared" si="16"/>
        <v>0</v>
      </c>
      <c r="AE26" s="662">
        <f>Veg_Inputs!$G$20</f>
        <v>0.14499999999999999</v>
      </c>
      <c r="AF26" s="239">
        <f t="shared" si="17"/>
        <v>0</v>
      </c>
      <c r="AG26" s="241">
        <f t="shared" si="18"/>
        <v>0</v>
      </c>
      <c r="AH26" s="241">
        <f t="shared" si="19"/>
        <v>0</v>
      </c>
      <c r="AI26" s="241">
        <f t="shared" si="20"/>
        <v>0</v>
      </c>
      <c r="AJ26" s="241">
        <f t="shared" si="21"/>
        <v>0</v>
      </c>
      <c r="AK26" s="268">
        <f t="shared" si="22"/>
        <v>0</v>
      </c>
      <c r="AM26" s="763">
        <f>IF(B26&lt;=Rice_Inputs!$G$21,1,0)</f>
        <v>0</v>
      </c>
      <c r="AN26" s="666">
        <f t="shared" si="23"/>
        <v>0</v>
      </c>
      <c r="AO26" s="662">
        <f>Rice_Inputs!$G$20</f>
        <v>0.23089999999999999</v>
      </c>
      <c r="AP26" s="239">
        <f t="shared" si="24"/>
        <v>0</v>
      </c>
      <c r="AQ26" s="241">
        <f t="shared" si="25"/>
        <v>0</v>
      </c>
      <c r="AR26" s="241">
        <f t="shared" si="26"/>
        <v>0</v>
      </c>
      <c r="AS26" s="241">
        <f t="shared" si="27"/>
        <v>0</v>
      </c>
      <c r="AT26" s="241">
        <f t="shared" si="28"/>
        <v>0</v>
      </c>
      <c r="AU26" s="268">
        <f t="shared" si="29"/>
        <v>0</v>
      </c>
      <c r="AW26" s="763">
        <f>IF(B26&lt;=Pyre_Inputs!$G$21,1,0)</f>
        <v>0</v>
      </c>
      <c r="AX26" s="666">
        <f t="shared" si="30"/>
        <v>0</v>
      </c>
      <c r="AY26" s="662">
        <f>Pyre_Inputs!$G$20</f>
        <v>0.119657894736842</v>
      </c>
      <c r="AZ26" s="239">
        <f t="shared" si="31"/>
        <v>0</v>
      </c>
      <c r="BA26" s="241">
        <f t="shared" si="32"/>
        <v>-8.5765693242182922E-12</v>
      </c>
      <c r="BB26" s="241">
        <f t="shared" si="33"/>
        <v>-8.5765693242182922E-12</v>
      </c>
      <c r="BC26" s="241">
        <f t="shared" si="34"/>
        <v>7.1675749795534505E-11</v>
      </c>
      <c r="BD26" s="241">
        <f t="shared" si="35"/>
        <v>8.0252319119752794E-11</v>
      </c>
      <c r="BE26" s="268">
        <f t="shared" si="36"/>
        <v>0</v>
      </c>
      <c r="BG26" s="763">
        <f>IF(B26&lt;=Tea_Retrofit!$G$21,1,0)</f>
        <v>0</v>
      </c>
      <c r="BH26" s="666">
        <f t="shared" si="37"/>
        <v>0</v>
      </c>
      <c r="BI26" s="662">
        <f>Tea_Retrofit!$G$20</f>
        <v>0.16900000000000001</v>
      </c>
      <c r="BJ26" s="239">
        <f t="shared" si="38"/>
        <v>0</v>
      </c>
      <c r="BK26" s="241">
        <f t="shared" si="39"/>
        <v>0</v>
      </c>
      <c r="BL26" s="241">
        <f t="shared" si="40"/>
        <v>0</v>
      </c>
      <c r="BM26" s="241">
        <f t="shared" si="41"/>
        <v>0</v>
      </c>
      <c r="BN26" s="241">
        <f t="shared" si="42"/>
        <v>0</v>
      </c>
      <c r="BO26" s="268">
        <f t="shared" si="43"/>
        <v>0</v>
      </c>
      <c r="BQ26" s="763">
        <f>IF(B26&lt;=Tobacco_Retrofit!$G$21,1,0)</f>
        <v>0</v>
      </c>
      <c r="BR26" s="666">
        <f t="shared" si="44"/>
        <v>0</v>
      </c>
      <c r="BS26" s="662">
        <f>Tobacco_Retrofit!$G$20</f>
        <v>0.14499999999999999</v>
      </c>
      <c r="BT26" s="239">
        <f t="shared" si="45"/>
        <v>0</v>
      </c>
      <c r="BU26" s="241">
        <f t="shared" si="46"/>
        <v>0</v>
      </c>
      <c r="BV26" s="241">
        <f t="shared" si="47"/>
        <v>0</v>
      </c>
      <c r="BW26" s="241">
        <f t="shared" si="48"/>
        <v>0</v>
      </c>
      <c r="BX26" s="241">
        <f t="shared" si="49"/>
        <v>0</v>
      </c>
      <c r="BY26" s="268">
        <f t="shared" si="50"/>
        <v>0</v>
      </c>
      <c r="CA26" s="763">
        <f>IF(B26&lt;=Spas_Inputs!$G$21,1,0)</f>
        <v>0</v>
      </c>
      <c r="CB26" s="666">
        <f t="shared" si="51"/>
        <v>0</v>
      </c>
      <c r="CC26" s="662">
        <f>Spas_Inputs!$G$20</f>
        <v>0.113</v>
      </c>
      <c r="CD26" s="239">
        <f t="shared" si="52"/>
        <v>0</v>
      </c>
      <c r="CE26" s="241">
        <f t="shared" si="53"/>
        <v>0</v>
      </c>
      <c r="CF26" s="241">
        <f t="shared" si="54"/>
        <v>0</v>
      </c>
      <c r="CG26" s="241">
        <f t="shared" si="55"/>
        <v>0</v>
      </c>
      <c r="CH26" s="241">
        <f t="shared" si="56"/>
        <v>0</v>
      </c>
      <c r="CI26" s="268">
        <f t="shared" si="57"/>
        <v>0</v>
      </c>
      <c r="CK26" s="763">
        <f>IF(B26&lt;=Greenhouse_Retrofit!$G$21,1,0)</f>
        <v>0</v>
      </c>
      <c r="CL26" s="666">
        <f t="shared" si="58"/>
        <v>0</v>
      </c>
      <c r="CM26" s="662">
        <f>Greenhouse_Retrofit!$G$20</f>
        <v>0.16900000000000001</v>
      </c>
      <c r="CN26" s="239">
        <f t="shared" si="59"/>
        <v>0</v>
      </c>
      <c r="CO26" s="241">
        <f t="shared" si="60"/>
        <v>0</v>
      </c>
      <c r="CP26" s="241">
        <f t="shared" si="61"/>
        <v>0</v>
      </c>
      <c r="CQ26" s="241">
        <f t="shared" si="62"/>
        <v>0</v>
      </c>
      <c r="CR26" s="241">
        <f t="shared" si="63"/>
        <v>0</v>
      </c>
      <c r="CS26" s="268">
        <f t="shared" si="64"/>
        <v>0</v>
      </c>
      <c r="CU26" s="763">
        <f>IF(B26&lt;=Hatchery_Retrofit!$G$21,1,0)</f>
        <v>0</v>
      </c>
      <c r="CV26" s="661">
        <f t="shared" si="81"/>
        <v>0</v>
      </c>
      <c r="CW26" s="662">
        <f>Hatchery_Retrofit!$G$20</f>
        <v>0.119657894736842</v>
      </c>
      <c r="CX26" s="239">
        <f t="shared" si="66"/>
        <v>0</v>
      </c>
      <c r="CY26" s="241">
        <f t="shared" si="67"/>
        <v>0</v>
      </c>
      <c r="CZ26" s="241">
        <f t="shared" si="68"/>
        <v>0</v>
      </c>
      <c r="DA26" s="241">
        <f t="shared" si="69"/>
        <v>0</v>
      </c>
      <c r="DB26" s="241">
        <f t="shared" si="70"/>
        <v>0</v>
      </c>
      <c r="DC26" s="268">
        <f t="shared" si="71"/>
        <v>0</v>
      </c>
      <c r="DE26" s="763">
        <f>IF(B26&lt;=Milk_Retrofit!$G$21,1,0)</f>
        <v>0</v>
      </c>
      <c r="DF26" s="666">
        <f t="shared" si="72"/>
        <v>0</v>
      </c>
      <c r="DG26" s="662">
        <f>Milk_Retrofit!$G$20</f>
        <v>0.16700000000000001</v>
      </c>
      <c r="DH26" s="239">
        <f t="shared" si="73"/>
        <v>0</v>
      </c>
      <c r="DI26" s="241">
        <f t="shared" si="74"/>
        <v>0</v>
      </c>
      <c r="DJ26" s="241">
        <f t="shared" si="75"/>
        <v>0</v>
      </c>
      <c r="DK26" s="241">
        <f t="shared" si="76"/>
        <v>0</v>
      </c>
      <c r="DL26" s="241">
        <f t="shared" si="77"/>
        <v>0</v>
      </c>
      <c r="DM26" s="268">
        <f t="shared" si="78"/>
        <v>0</v>
      </c>
    </row>
    <row r="27" spans="2:117" s="107" customFormat="1" x14ac:dyDescent="0.3">
      <c r="B27" s="192">
        <f t="shared" si="79"/>
        <v>18</v>
      </c>
      <c r="C27" s="663">
        <f t="shared" si="1"/>
        <v>2038</v>
      </c>
      <c r="D27" s="664">
        <f t="shared" si="0"/>
        <v>0</v>
      </c>
      <c r="E27" s="228"/>
      <c r="F27" s="229"/>
      <c r="G27" s="351">
        <f t="shared" ref="G27:H42" si="82">EDATE(G26,12)</f>
        <v>50406</v>
      </c>
      <c r="H27" s="441">
        <f t="shared" si="82"/>
        <v>50770</v>
      </c>
      <c r="I27" s="665">
        <f>IF(B27&lt;=Fish_Inputs!$G$21,1,0)</f>
        <v>0</v>
      </c>
      <c r="J27" s="666">
        <f t="shared" si="2"/>
        <v>0</v>
      </c>
      <c r="K27" s="518">
        <f>Fish_Inputs!$G$20</f>
        <v>0.16700000000000001</v>
      </c>
      <c r="L27" s="239">
        <f t="shared" si="3"/>
        <v>0</v>
      </c>
      <c r="M27" s="241">
        <f t="shared" si="4"/>
        <v>0</v>
      </c>
      <c r="N27" s="241">
        <f t="shared" si="5"/>
        <v>0</v>
      </c>
      <c r="O27" s="241">
        <f t="shared" si="6"/>
        <v>0</v>
      </c>
      <c r="P27" s="241">
        <f t="shared" si="7"/>
        <v>0</v>
      </c>
      <c r="Q27" s="268">
        <f t="shared" si="8"/>
        <v>0</v>
      </c>
      <c r="S27" s="763">
        <f>IF(B27&lt;=Fruit_Inputs!$G$21,1,0)</f>
        <v>0</v>
      </c>
      <c r="T27" s="666">
        <f t="shared" si="9"/>
        <v>0</v>
      </c>
      <c r="U27" s="662">
        <f>Fruit_Inputs!$G$20</f>
        <v>0.23089999999999999</v>
      </c>
      <c r="V27" s="239">
        <f t="shared" si="10"/>
        <v>0</v>
      </c>
      <c r="W27" s="241">
        <f t="shared" si="11"/>
        <v>0</v>
      </c>
      <c r="X27" s="241">
        <f t="shared" si="12"/>
        <v>0</v>
      </c>
      <c r="Y27" s="241">
        <f t="shared" si="13"/>
        <v>0</v>
      </c>
      <c r="Z27" s="241">
        <f t="shared" si="14"/>
        <v>0</v>
      </c>
      <c r="AA27" s="268">
        <f t="shared" si="15"/>
        <v>0</v>
      </c>
      <c r="AC27" s="763">
        <f>IF(B27&lt;=Veg_Inputs!$G$21,1,0)</f>
        <v>0</v>
      </c>
      <c r="AD27" s="666">
        <f t="shared" si="16"/>
        <v>0</v>
      </c>
      <c r="AE27" s="662">
        <f>Veg_Inputs!$G$20</f>
        <v>0.14499999999999999</v>
      </c>
      <c r="AF27" s="239">
        <f t="shared" si="17"/>
        <v>0</v>
      </c>
      <c r="AG27" s="241">
        <f t="shared" si="18"/>
        <v>0</v>
      </c>
      <c r="AH27" s="241">
        <f t="shared" si="19"/>
        <v>0</v>
      </c>
      <c r="AI27" s="241">
        <f t="shared" si="20"/>
        <v>0</v>
      </c>
      <c r="AJ27" s="241">
        <f t="shared" si="21"/>
        <v>0</v>
      </c>
      <c r="AK27" s="268">
        <f t="shared" si="22"/>
        <v>0</v>
      </c>
      <c r="AM27" s="763">
        <f>IF(B27&lt;=Rice_Inputs!$G$21,1,0)</f>
        <v>0</v>
      </c>
      <c r="AN27" s="666">
        <f t="shared" si="23"/>
        <v>0</v>
      </c>
      <c r="AO27" s="662">
        <f>Rice_Inputs!$G$20</f>
        <v>0.23089999999999999</v>
      </c>
      <c r="AP27" s="239">
        <f t="shared" si="24"/>
        <v>0</v>
      </c>
      <c r="AQ27" s="241">
        <f t="shared" si="25"/>
        <v>0</v>
      </c>
      <c r="AR27" s="241">
        <f t="shared" si="26"/>
        <v>0</v>
      </c>
      <c r="AS27" s="241">
        <f t="shared" si="27"/>
        <v>0</v>
      </c>
      <c r="AT27" s="241">
        <f t="shared" si="28"/>
        <v>0</v>
      </c>
      <c r="AU27" s="268">
        <f t="shared" si="29"/>
        <v>0</v>
      </c>
      <c r="AW27" s="763">
        <f>IF(B27&lt;=Pyre_Inputs!$G$21,1,0)</f>
        <v>0</v>
      </c>
      <c r="AX27" s="666">
        <f t="shared" si="30"/>
        <v>0</v>
      </c>
      <c r="AY27" s="662">
        <f>Pyre_Inputs!$G$20</f>
        <v>0.119657894736842</v>
      </c>
      <c r="AZ27" s="239">
        <f t="shared" si="31"/>
        <v>0</v>
      </c>
      <c r="BA27" s="241">
        <f t="shared" si="32"/>
        <v>-9.6028235536188321E-12</v>
      </c>
      <c r="BB27" s="241">
        <f t="shared" si="33"/>
        <v>-9.6028235536188321E-12</v>
      </c>
      <c r="BC27" s="241">
        <f t="shared" si="34"/>
        <v>8.0252319119752794E-11</v>
      </c>
      <c r="BD27" s="241">
        <f t="shared" si="35"/>
        <v>8.9855142673371626E-11</v>
      </c>
      <c r="BE27" s="268">
        <f t="shared" si="36"/>
        <v>0</v>
      </c>
      <c r="BG27" s="763">
        <f>IF(B27&lt;=Tea_Retrofit!$G$21,1,0)</f>
        <v>0</v>
      </c>
      <c r="BH27" s="666">
        <f t="shared" si="37"/>
        <v>0</v>
      </c>
      <c r="BI27" s="662">
        <f>Tea_Retrofit!$G$20</f>
        <v>0.16900000000000001</v>
      </c>
      <c r="BJ27" s="239">
        <f t="shared" si="38"/>
        <v>0</v>
      </c>
      <c r="BK27" s="241">
        <f t="shared" si="39"/>
        <v>0</v>
      </c>
      <c r="BL27" s="241">
        <f t="shared" si="40"/>
        <v>0</v>
      </c>
      <c r="BM27" s="241">
        <f t="shared" si="41"/>
        <v>0</v>
      </c>
      <c r="BN27" s="241">
        <f t="shared" si="42"/>
        <v>0</v>
      </c>
      <c r="BO27" s="268">
        <f t="shared" si="43"/>
        <v>0</v>
      </c>
      <c r="BQ27" s="763">
        <f>IF(B27&lt;=Tobacco_Retrofit!$G$21,1,0)</f>
        <v>0</v>
      </c>
      <c r="BR27" s="666">
        <f t="shared" si="44"/>
        <v>0</v>
      </c>
      <c r="BS27" s="662">
        <f>Tobacco_Retrofit!$G$20</f>
        <v>0.14499999999999999</v>
      </c>
      <c r="BT27" s="239">
        <f t="shared" si="45"/>
        <v>0</v>
      </c>
      <c r="BU27" s="241">
        <f t="shared" si="46"/>
        <v>0</v>
      </c>
      <c r="BV27" s="241">
        <f t="shared" si="47"/>
        <v>0</v>
      </c>
      <c r="BW27" s="241">
        <f t="shared" si="48"/>
        <v>0</v>
      </c>
      <c r="BX27" s="241">
        <f t="shared" si="49"/>
        <v>0</v>
      </c>
      <c r="BY27" s="268">
        <f t="shared" si="50"/>
        <v>0</v>
      </c>
      <c r="CA27" s="763">
        <f>IF(B27&lt;=Spas_Inputs!$G$21,1,0)</f>
        <v>0</v>
      </c>
      <c r="CB27" s="666">
        <f t="shared" si="51"/>
        <v>0</v>
      </c>
      <c r="CC27" s="662">
        <f>Spas_Inputs!$G$20</f>
        <v>0.113</v>
      </c>
      <c r="CD27" s="239">
        <f t="shared" si="52"/>
        <v>0</v>
      </c>
      <c r="CE27" s="241">
        <f t="shared" si="53"/>
        <v>0</v>
      </c>
      <c r="CF27" s="241">
        <f t="shared" si="54"/>
        <v>0</v>
      </c>
      <c r="CG27" s="241">
        <f t="shared" si="55"/>
        <v>0</v>
      </c>
      <c r="CH27" s="241">
        <f t="shared" si="56"/>
        <v>0</v>
      </c>
      <c r="CI27" s="268">
        <f t="shared" si="57"/>
        <v>0</v>
      </c>
      <c r="CK27" s="763">
        <f>IF(B27&lt;=Greenhouse_Retrofit!$G$21,1,0)</f>
        <v>0</v>
      </c>
      <c r="CL27" s="666">
        <f t="shared" si="58"/>
        <v>0</v>
      </c>
      <c r="CM27" s="662">
        <f>Greenhouse_Retrofit!$G$20</f>
        <v>0.16900000000000001</v>
      </c>
      <c r="CN27" s="239">
        <f t="shared" si="59"/>
        <v>0</v>
      </c>
      <c r="CO27" s="241">
        <f t="shared" si="60"/>
        <v>0</v>
      </c>
      <c r="CP27" s="241">
        <f t="shared" si="61"/>
        <v>0</v>
      </c>
      <c r="CQ27" s="241">
        <f t="shared" si="62"/>
        <v>0</v>
      </c>
      <c r="CR27" s="241">
        <f t="shared" si="63"/>
        <v>0</v>
      </c>
      <c r="CS27" s="268">
        <f t="shared" si="64"/>
        <v>0</v>
      </c>
      <c r="CU27" s="763">
        <f>IF(B27&lt;=Hatchery_Retrofit!$G$21,1,0)</f>
        <v>0</v>
      </c>
      <c r="CV27" s="661">
        <f t="shared" si="81"/>
        <v>0</v>
      </c>
      <c r="CW27" s="662">
        <f>Hatchery_Retrofit!$G$20</f>
        <v>0.119657894736842</v>
      </c>
      <c r="CX27" s="239">
        <f t="shared" si="66"/>
        <v>0</v>
      </c>
      <c r="CY27" s="241">
        <f t="shared" si="67"/>
        <v>0</v>
      </c>
      <c r="CZ27" s="241">
        <f t="shared" si="68"/>
        <v>0</v>
      </c>
      <c r="DA27" s="241">
        <f t="shared" si="69"/>
        <v>0</v>
      </c>
      <c r="DB27" s="241">
        <f t="shared" si="70"/>
        <v>0</v>
      </c>
      <c r="DC27" s="268">
        <f t="shared" si="71"/>
        <v>0</v>
      </c>
      <c r="DE27" s="763">
        <f>IF(B27&lt;=Milk_Retrofit!$G$21,1,0)</f>
        <v>0</v>
      </c>
      <c r="DF27" s="666">
        <f t="shared" si="72"/>
        <v>0</v>
      </c>
      <c r="DG27" s="662">
        <f>Milk_Retrofit!$G$20</f>
        <v>0.16700000000000001</v>
      </c>
      <c r="DH27" s="239">
        <f t="shared" si="73"/>
        <v>0</v>
      </c>
      <c r="DI27" s="241">
        <f t="shared" si="74"/>
        <v>0</v>
      </c>
      <c r="DJ27" s="241">
        <f t="shared" si="75"/>
        <v>0</v>
      </c>
      <c r="DK27" s="241">
        <f t="shared" si="76"/>
        <v>0</v>
      </c>
      <c r="DL27" s="241">
        <f t="shared" si="77"/>
        <v>0</v>
      </c>
      <c r="DM27" s="268">
        <f t="shared" si="78"/>
        <v>0</v>
      </c>
    </row>
    <row r="28" spans="2:117" s="107" customFormat="1" x14ac:dyDescent="0.3">
      <c r="B28" s="192">
        <f t="shared" si="79"/>
        <v>19</v>
      </c>
      <c r="C28" s="663">
        <f t="shared" si="1"/>
        <v>2039</v>
      </c>
      <c r="D28" s="664">
        <f t="shared" si="0"/>
        <v>0</v>
      </c>
      <c r="E28" s="228"/>
      <c r="F28" s="229"/>
      <c r="G28" s="351">
        <f t="shared" si="82"/>
        <v>50771</v>
      </c>
      <c r="H28" s="441">
        <f t="shared" si="82"/>
        <v>51135</v>
      </c>
      <c r="I28" s="665">
        <f>IF(B28&lt;=Fish_Inputs!$G$21,1,0)</f>
        <v>0</v>
      </c>
      <c r="J28" s="666">
        <f t="shared" si="2"/>
        <v>0</v>
      </c>
      <c r="K28" s="518">
        <f>Fish_Inputs!$G$20</f>
        <v>0.16700000000000001</v>
      </c>
      <c r="L28" s="239">
        <f t="shared" si="3"/>
        <v>0</v>
      </c>
      <c r="M28" s="241">
        <f t="shared" si="4"/>
        <v>0</v>
      </c>
      <c r="N28" s="241">
        <f t="shared" si="5"/>
        <v>0</v>
      </c>
      <c r="O28" s="241">
        <f t="shared" si="6"/>
        <v>0</v>
      </c>
      <c r="P28" s="241">
        <f t="shared" si="7"/>
        <v>0</v>
      </c>
      <c r="Q28" s="268">
        <f t="shared" si="8"/>
        <v>0</v>
      </c>
      <c r="S28" s="763">
        <f>IF(B28&lt;=Fruit_Inputs!$G$21,1,0)</f>
        <v>0</v>
      </c>
      <c r="T28" s="666">
        <f t="shared" si="9"/>
        <v>0</v>
      </c>
      <c r="U28" s="662">
        <f>Fruit_Inputs!$G$20</f>
        <v>0.23089999999999999</v>
      </c>
      <c r="V28" s="239">
        <f t="shared" si="10"/>
        <v>0</v>
      </c>
      <c r="W28" s="241">
        <f t="shared" si="11"/>
        <v>0</v>
      </c>
      <c r="X28" s="241">
        <f t="shared" si="12"/>
        <v>0</v>
      </c>
      <c r="Y28" s="241">
        <f t="shared" si="13"/>
        <v>0</v>
      </c>
      <c r="Z28" s="241">
        <f t="shared" si="14"/>
        <v>0</v>
      </c>
      <c r="AA28" s="268">
        <f t="shared" si="15"/>
        <v>0</v>
      </c>
      <c r="AC28" s="763">
        <f>IF(B28&lt;=Veg_Inputs!$G$21,1,0)</f>
        <v>0</v>
      </c>
      <c r="AD28" s="666">
        <f t="shared" si="16"/>
        <v>0</v>
      </c>
      <c r="AE28" s="662">
        <f>Veg_Inputs!$G$20</f>
        <v>0.14499999999999999</v>
      </c>
      <c r="AF28" s="239">
        <f t="shared" si="17"/>
        <v>0</v>
      </c>
      <c r="AG28" s="241">
        <f t="shared" si="18"/>
        <v>0</v>
      </c>
      <c r="AH28" s="241">
        <f t="shared" si="19"/>
        <v>0</v>
      </c>
      <c r="AI28" s="241">
        <f t="shared" si="20"/>
        <v>0</v>
      </c>
      <c r="AJ28" s="241">
        <f t="shared" si="21"/>
        <v>0</v>
      </c>
      <c r="AK28" s="268">
        <f t="shared" si="22"/>
        <v>0</v>
      </c>
      <c r="AM28" s="763">
        <f>IF(B28&lt;=Rice_Inputs!$G$21,1,0)</f>
        <v>0</v>
      </c>
      <c r="AN28" s="666">
        <f t="shared" si="23"/>
        <v>0</v>
      </c>
      <c r="AO28" s="662">
        <f>Rice_Inputs!$G$20</f>
        <v>0.23089999999999999</v>
      </c>
      <c r="AP28" s="239">
        <f t="shared" si="24"/>
        <v>0</v>
      </c>
      <c r="AQ28" s="241">
        <f t="shared" si="25"/>
        <v>0</v>
      </c>
      <c r="AR28" s="241">
        <f t="shared" si="26"/>
        <v>0</v>
      </c>
      <c r="AS28" s="241">
        <f t="shared" si="27"/>
        <v>0</v>
      </c>
      <c r="AT28" s="241">
        <f t="shared" si="28"/>
        <v>0</v>
      </c>
      <c r="AU28" s="268">
        <f t="shared" si="29"/>
        <v>0</v>
      </c>
      <c r="AW28" s="763">
        <f>IF(B28&lt;=Pyre_Inputs!$G$21,1,0)</f>
        <v>0</v>
      </c>
      <c r="AX28" s="666">
        <f t="shared" si="30"/>
        <v>0</v>
      </c>
      <c r="AY28" s="662">
        <f>Pyre_Inputs!$G$20</f>
        <v>0.119657894736842</v>
      </c>
      <c r="AZ28" s="239">
        <f t="shared" si="31"/>
        <v>0</v>
      </c>
      <c r="BA28" s="241">
        <f t="shared" si="32"/>
        <v>-1.0751877203574223E-11</v>
      </c>
      <c r="BB28" s="241">
        <f t="shared" si="33"/>
        <v>-1.0751877203574223E-11</v>
      </c>
      <c r="BC28" s="241">
        <f t="shared" si="34"/>
        <v>8.9855142673371626E-11</v>
      </c>
      <c r="BD28" s="241">
        <f t="shared" si="35"/>
        <v>1.0060701987694585E-10</v>
      </c>
      <c r="BE28" s="268">
        <f t="shared" si="36"/>
        <v>0</v>
      </c>
      <c r="BG28" s="763">
        <f>IF(B28&lt;=Tea_Retrofit!$G$21,1,0)</f>
        <v>0</v>
      </c>
      <c r="BH28" s="666">
        <f t="shared" si="37"/>
        <v>0</v>
      </c>
      <c r="BI28" s="662">
        <f>Tea_Retrofit!$G$20</f>
        <v>0.16900000000000001</v>
      </c>
      <c r="BJ28" s="239">
        <f t="shared" si="38"/>
        <v>0</v>
      </c>
      <c r="BK28" s="241">
        <f t="shared" si="39"/>
        <v>0</v>
      </c>
      <c r="BL28" s="241">
        <f t="shared" si="40"/>
        <v>0</v>
      </c>
      <c r="BM28" s="241">
        <f t="shared" si="41"/>
        <v>0</v>
      </c>
      <c r="BN28" s="241">
        <f t="shared" si="42"/>
        <v>0</v>
      </c>
      <c r="BO28" s="268">
        <f t="shared" si="43"/>
        <v>0</v>
      </c>
      <c r="BQ28" s="763">
        <f>IF(B28&lt;=Tobacco_Retrofit!$G$21,1,0)</f>
        <v>0</v>
      </c>
      <c r="BR28" s="666">
        <f t="shared" si="44"/>
        <v>0</v>
      </c>
      <c r="BS28" s="662">
        <f>Tobacco_Retrofit!$G$20</f>
        <v>0.14499999999999999</v>
      </c>
      <c r="BT28" s="239">
        <f t="shared" si="45"/>
        <v>0</v>
      </c>
      <c r="BU28" s="241">
        <f t="shared" si="46"/>
        <v>0</v>
      </c>
      <c r="BV28" s="241">
        <f t="shared" si="47"/>
        <v>0</v>
      </c>
      <c r="BW28" s="241">
        <f t="shared" si="48"/>
        <v>0</v>
      </c>
      <c r="BX28" s="241">
        <f t="shared" si="49"/>
        <v>0</v>
      </c>
      <c r="BY28" s="268">
        <f t="shared" si="50"/>
        <v>0</v>
      </c>
      <c r="CA28" s="763">
        <f>IF(B28&lt;=Spas_Inputs!$G$21,1,0)</f>
        <v>0</v>
      </c>
      <c r="CB28" s="666">
        <f t="shared" si="51"/>
        <v>0</v>
      </c>
      <c r="CC28" s="662">
        <f>Spas_Inputs!$G$20</f>
        <v>0.113</v>
      </c>
      <c r="CD28" s="239">
        <f t="shared" si="52"/>
        <v>0</v>
      </c>
      <c r="CE28" s="241">
        <f t="shared" si="53"/>
        <v>0</v>
      </c>
      <c r="CF28" s="241">
        <f t="shared" si="54"/>
        <v>0</v>
      </c>
      <c r="CG28" s="241">
        <f t="shared" si="55"/>
        <v>0</v>
      </c>
      <c r="CH28" s="241">
        <f t="shared" si="56"/>
        <v>0</v>
      </c>
      <c r="CI28" s="268">
        <f t="shared" si="57"/>
        <v>0</v>
      </c>
      <c r="CK28" s="763">
        <f>IF(B28&lt;=Greenhouse_Retrofit!$G$21,1,0)</f>
        <v>0</v>
      </c>
      <c r="CL28" s="666">
        <f t="shared" si="58"/>
        <v>0</v>
      </c>
      <c r="CM28" s="662">
        <f>Greenhouse_Retrofit!$G$20</f>
        <v>0.16900000000000001</v>
      </c>
      <c r="CN28" s="239">
        <f t="shared" si="59"/>
        <v>0</v>
      </c>
      <c r="CO28" s="241">
        <f t="shared" si="60"/>
        <v>0</v>
      </c>
      <c r="CP28" s="241">
        <f t="shared" si="61"/>
        <v>0</v>
      </c>
      <c r="CQ28" s="241">
        <f t="shared" si="62"/>
        <v>0</v>
      </c>
      <c r="CR28" s="241">
        <f t="shared" si="63"/>
        <v>0</v>
      </c>
      <c r="CS28" s="268">
        <f t="shared" si="64"/>
        <v>0</v>
      </c>
      <c r="CU28" s="763">
        <f>IF(B28&lt;=Hatchery_Retrofit!$G$21,1,0)</f>
        <v>0</v>
      </c>
      <c r="CV28" s="661">
        <f t="shared" si="81"/>
        <v>0</v>
      </c>
      <c r="CW28" s="662">
        <f>Hatchery_Retrofit!$G$20</f>
        <v>0.119657894736842</v>
      </c>
      <c r="CX28" s="239">
        <f t="shared" si="66"/>
        <v>0</v>
      </c>
      <c r="CY28" s="241">
        <f t="shared" si="67"/>
        <v>0</v>
      </c>
      <c r="CZ28" s="241">
        <f t="shared" si="68"/>
        <v>0</v>
      </c>
      <c r="DA28" s="241">
        <f t="shared" si="69"/>
        <v>0</v>
      </c>
      <c r="DB28" s="241">
        <f t="shared" si="70"/>
        <v>0</v>
      </c>
      <c r="DC28" s="268">
        <f t="shared" si="71"/>
        <v>0</v>
      </c>
      <c r="DE28" s="763">
        <f>IF(B28&lt;=Milk_Retrofit!$G$21,1,0)</f>
        <v>0</v>
      </c>
      <c r="DF28" s="666">
        <f t="shared" si="72"/>
        <v>0</v>
      </c>
      <c r="DG28" s="662">
        <f>Milk_Retrofit!$G$20</f>
        <v>0.16700000000000001</v>
      </c>
      <c r="DH28" s="239">
        <f t="shared" si="73"/>
        <v>0</v>
      </c>
      <c r="DI28" s="241">
        <f t="shared" si="74"/>
        <v>0</v>
      </c>
      <c r="DJ28" s="241">
        <f t="shared" si="75"/>
        <v>0</v>
      </c>
      <c r="DK28" s="241">
        <f t="shared" si="76"/>
        <v>0</v>
      </c>
      <c r="DL28" s="241">
        <f t="shared" si="77"/>
        <v>0</v>
      </c>
      <c r="DM28" s="268">
        <f t="shared" si="78"/>
        <v>0</v>
      </c>
    </row>
    <row r="29" spans="2:117" s="107" customFormat="1" x14ac:dyDescent="0.3">
      <c r="B29" s="192">
        <f t="shared" si="79"/>
        <v>20</v>
      </c>
      <c r="C29" s="663">
        <f t="shared" si="1"/>
        <v>2040</v>
      </c>
      <c r="D29" s="664">
        <f t="shared" si="0"/>
        <v>0</v>
      </c>
      <c r="E29" s="228"/>
      <c r="F29" s="229"/>
      <c r="G29" s="351">
        <f t="shared" si="82"/>
        <v>51136</v>
      </c>
      <c r="H29" s="441">
        <f t="shared" si="82"/>
        <v>51501</v>
      </c>
      <c r="I29" s="665">
        <f>IF(B29&lt;=Fish_Inputs!$G$21,1,0)</f>
        <v>0</v>
      </c>
      <c r="J29" s="666">
        <f t="shared" si="2"/>
        <v>0</v>
      </c>
      <c r="K29" s="518">
        <f>Fish_Inputs!$G$20</f>
        <v>0.16700000000000001</v>
      </c>
      <c r="L29" s="239">
        <f t="shared" si="3"/>
        <v>0</v>
      </c>
      <c r="M29" s="241">
        <f t="shared" si="4"/>
        <v>0</v>
      </c>
      <c r="N29" s="241">
        <f t="shared" si="5"/>
        <v>0</v>
      </c>
      <c r="O29" s="241">
        <f t="shared" si="6"/>
        <v>0</v>
      </c>
      <c r="P29" s="241">
        <f t="shared" si="7"/>
        <v>0</v>
      </c>
      <c r="Q29" s="268">
        <f t="shared" si="8"/>
        <v>0</v>
      </c>
      <c r="S29" s="763">
        <f>IF(B29&lt;=Fruit_Inputs!$G$21,1,0)</f>
        <v>0</v>
      </c>
      <c r="T29" s="666">
        <f t="shared" si="9"/>
        <v>0</v>
      </c>
      <c r="U29" s="662">
        <f>Fruit_Inputs!$G$20</f>
        <v>0.23089999999999999</v>
      </c>
      <c r="V29" s="239">
        <f t="shared" si="10"/>
        <v>0</v>
      </c>
      <c r="W29" s="241">
        <f t="shared" si="11"/>
        <v>0</v>
      </c>
      <c r="X29" s="241">
        <f t="shared" si="12"/>
        <v>0</v>
      </c>
      <c r="Y29" s="241">
        <f t="shared" si="13"/>
        <v>0</v>
      </c>
      <c r="Z29" s="241">
        <f t="shared" si="14"/>
        <v>0</v>
      </c>
      <c r="AA29" s="268">
        <f t="shared" si="15"/>
        <v>0</v>
      </c>
      <c r="AC29" s="763">
        <f>IF(B29&lt;=Veg_Inputs!$G$21,1,0)</f>
        <v>0</v>
      </c>
      <c r="AD29" s="666">
        <f t="shared" si="16"/>
        <v>0</v>
      </c>
      <c r="AE29" s="662">
        <f>Veg_Inputs!$G$20</f>
        <v>0.14499999999999999</v>
      </c>
      <c r="AF29" s="239">
        <f t="shared" si="17"/>
        <v>0</v>
      </c>
      <c r="AG29" s="241">
        <f t="shared" si="18"/>
        <v>0</v>
      </c>
      <c r="AH29" s="241">
        <f t="shared" si="19"/>
        <v>0</v>
      </c>
      <c r="AI29" s="241">
        <f t="shared" si="20"/>
        <v>0</v>
      </c>
      <c r="AJ29" s="241">
        <f t="shared" si="21"/>
        <v>0</v>
      </c>
      <c r="AK29" s="268">
        <f t="shared" si="22"/>
        <v>0</v>
      </c>
      <c r="AM29" s="763">
        <f>IF(B29&lt;=Rice_Inputs!$G$21,1,0)</f>
        <v>0</v>
      </c>
      <c r="AN29" s="666">
        <f t="shared" si="23"/>
        <v>0</v>
      </c>
      <c r="AO29" s="662">
        <f>Rice_Inputs!$G$20</f>
        <v>0.23089999999999999</v>
      </c>
      <c r="AP29" s="239">
        <f t="shared" si="24"/>
        <v>0</v>
      </c>
      <c r="AQ29" s="241">
        <f t="shared" si="25"/>
        <v>0</v>
      </c>
      <c r="AR29" s="241">
        <f t="shared" si="26"/>
        <v>0</v>
      </c>
      <c r="AS29" s="241">
        <f t="shared" si="27"/>
        <v>0</v>
      </c>
      <c r="AT29" s="241">
        <f t="shared" si="28"/>
        <v>0</v>
      </c>
      <c r="AU29" s="268">
        <f t="shared" si="29"/>
        <v>0</v>
      </c>
      <c r="AW29" s="763">
        <f>IF(B29&lt;=Pyre_Inputs!$G$21,1,0)</f>
        <v>0</v>
      </c>
      <c r="AX29" s="666">
        <f t="shared" si="30"/>
        <v>0</v>
      </c>
      <c r="AY29" s="662">
        <f>Pyre_Inputs!$G$20</f>
        <v>0.119657894736842</v>
      </c>
      <c r="AZ29" s="239">
        <f t="shared" si="31"/>
        <v>0</v>
      </c>
      <c r="BA29" s="241">
        <f t="shared" si="32"/>
        <v>-1.2038424194222957E-11</v>
      </c>
      <c r="BB29" s="241">
        <f t="shared" si="33"/>
        <v>-1.2038424194222957E-11</v>
      </c>
      <c r="BC29" s="241">
        <f t="shared" si="34"/>
        <v>1.0060701987694585E-10</v>
      </c>
      <c r="BD29" s="241">
        <f t="shared" si="35"/>
        <v>1.1264544407116881E-10</v>
      </c>
      <c r="BE29" s="268">
        <f t="shared" si="36"/>
        <v>0</v>
      </c>
      <c r="BG29" s="763">
        <f>IF(B29&lt;=Tea_Retrofit!$G$21,1,0)</f>
        <v>0</v>
      </c>
      <c r="BH29" s="666">
        <f t="shared" si="37"/>
        <v>0</v>
      </c>
      <c r="BI29" s="662">
        <f>Tea_Retrofit!$G$20</f>
        <v>0.16900000000000001</v>
      </c>
      <c r="BJ29" s="239">
        <f t="shared" si="38"/>
        <v>0</v>
      </c>
      <c r="BK29" s="241">
        <f t="shared" si="39"/>
        <v>0</v>
      </c>
      <c r="BL29" s="241">
        <f t="shared" si="40"/>
        <v>0</v>
      </c>
      <c r="BM29" s="241">
        <f t="shared" si="41"/>
        <v>0</v>
      </c>
      <c r="BN29" s="241">
        <f t="shared" si="42"/>
        <v>0</v>
      </c>
      <c r="BO29" s="268">
        <f t="shared" si="43"/>
        <v>0</v>
      </c>
      <c r="BQ29" s="763">
        <f>IF(B29&lt;=Tobacco_Retrofit!$G$21,1,0)</f>
        <v>0</v>
      </c>
      <c r="BR29" s="666">
        <f t="shared" si="44"/>
        <v>0</v>
      </c>
      <c r="BS29" s="662">
        <f>Tobacco_Retrofit!$G$20</f>
        <v>0.14499999999999999</v>
      </c>
      <c r="BT29" s="239">
        <f t="shared" si="45"/>
        <v>0</v>
      </c>
      <c r="BU29" s="241">
        <f t="shared" si="46"/>
        <v>0</v>
      </c>
      <c r="BV29" s="241">
        <f t="shared" si="47"/>
        <v>0</v>
      </c>
      <c r="BW29" s="241">
        <f t="shared" si="48"/>
        <v>0</v>
      </c>
      <c r="BX29" s="241">
        <f t="shared" si="49"/>
        <v>0</v>
      </c>
      <c r="BY29" s="268">
        <f t="shared" si="50"/>
        <v>0</v>
      </c>
      <c r="CA29" s="763">
        <f>IF(B29&lt;=Spas_Inputs!$G$21,1,0)</f>
        <v>0</v>
      </c>
      <c r="CB29" s="666">
        <f t="shared" si="51"/>
        <v>0</v>
      </c>
      <c r="CC29" s="662">
        <f>Spas_Inputs!$G$20</f>
        <v>0.113</v>
      </c>
      <c r="CD29" s="239">
        <f t="shared" si="52"/>
        <v>0</v>
      </c>
      <c r="CE29" s="241">
        <f t="shared" si="53"/>
        <v>0</v>
      </c>
      <c r="CF29" s="241">
        <f t="shared" si="54"/>
        <v>0</v>
      </c>
      <c r="CG29" s="241">
        <f t="shared" si="55"/>
        <v>0</v>
      </c>
      <c r="CH29" s="241">
        <f t="shared" si="56"/>
        <v>0</v>
      </c>
      <c r="CI29" s="268">
        <f t="shared" si="57"/>
        <v>0</v>
      </c>
      <c r="CK29" s="763">
        <f>IF(B29&lt;=Greenhouse_Retrofit!$G$21,1,0)</f>
        <v>0</v>
      </c>
      <c r="CL29" s="666">
        <f t="shared" si="58"/>
        <v>0</v>
      </c>
      <c r="CM29" s="662">
        <f>Greenhouse_Retrofit!$G$20</f>
        <v>0.16900000000000001</v>
      </c>
      <c r="CN29" s="239">
        <f t="shared" si="59"/>
        <v>0</v>
      </c>
      <c r="CO29" s="241">
        <f t="shared" si="60"/>
        <v>0</v>
      </c>
      <c r="CP29" s="241">
        <f t="shared" si="61"/>
        <v>0</v>
      </c>
      <c r="CQ29" s="241">
        <f t="shared" si="62"/>
        <v>0</v>
      </c>
      <c r="CR29" s="241">
        <f t="shared" si="63"/>
        <v>0</v>
      </c>
      <c r="CS29" s="268">
        <f t="shared" si="64"/>
        <v>0</v>
      </c>
      <c r="CU29" s="763">
        <f>IF(B29&lt;=Hatchery_Retrofit!$G$21,1,0)</f>
        <v>0</v>
      </c>
      <c r="CV29" s="661">
        <f t="shared" si="81"/>
        <v>0</v>
      </c>
      <c r="CW29" s="662">
        <f>Hatchery_Retrofit!$G$20</f>
        <v>0.119657894736842</v>
      </c>
      <c r="CX29" s="239">
        <f t="shared" si="66"/>
        <v>0</v>
      </c>
      <c r="CY29" s="241">
        <f t="shared" si="67"/>
        <v>0</v>
      </c>
      <c r="CZ29" s="241">
        <f t="shared" si="68"/>
        <v>0</v>
      </c>
      <c r="DA29" s="241">
        <f t="shared" si="69"/>
        <v>0</v>
      </c>
      <c r="DB29" s="241">
        <f t="shared" si="70"/>
        <v>0</v>
      </c>
      <c r="DC29" s="268">
        <f t="shared" si="71"/>
        <v>0</v>
      </c>
      <c r="DE29" s="763">
        <f>IF(B29&lt;=Milk_Retrofit!$G$21,1,0)</f>
        <v>0</v>
      </c>
      <c r="DF29" s="666">
        <f t="shared" si="72"/>
        <v>0</v>
      </c>
      <c r="DG29" s="662">
        <f>Milk_Retrofit!$G$20</f>
        <v>0.16700000000000001</v>
      </c>
      <c r="DH29" s="239">
        <f t="shared" si="73"/>
        <v>0</v>
      </c>
      <c r="DI29" s="241">
        <f t="shared" si="74"/>
        <v>0</v>
      </c>
      <c r="DJ29" s="241">
        <f t="shared" si="75"/>
        <v>0</v>
      </c>
      <c r="DK29" s="241">
        <f t="shared" si="76"/>
        <v>0</v>
      </c>
      <c r="DL29" s="241">
        <f t="shared" si="77"/>
        <v>0</v>
      </c>
      <c r="DM29" s="268">
        <f t="shared" si="78"/>
        <v>0</v>
      </c>
    </row>
    <row r="30" spans="2:117" s="107" customFormat="1" x14ac:dyDescent="0.3">
      <c r="B30" s="192">
        <f t="shared" si="79"/>
        <v>21</v>
      </c>
      <c r="C30" s="663">
        <f t="shared" si="1"/>
        <v>2041</v>
      </c>
      <c r="D30" s="664">
        <f t="shared" si="0"/>
        <v>0</v>
      </c>
      <c r="E30" s="228"/>
      <c r="F30" s="229"/>
      <c r="G30" s="351">
        <f t="shared" si="82"/>
        <v>51502</v>
      </c>
      <c r="H30" s="441">
        <f t="shared" si="82"/>
        <v>51866</v>
      </c>
      <c r="I30" s="665">
        <f>IF(B30&lt;=Fish_Inputs!$G$21,1,0)</f>
        <v>0</v>
      </c>
      <c r="J30" s="666">
        <f t="shared" si="2"/>
        <v>0</v>
      </c>
      <c r="K30" s="518">
        <f>Fish_Inputs!$G$20</f>
        <v>0.16700000000000001</v>
      </c>
      <c r="L30" s="239">
        <f t="shared" si="3"/>
        <v>0</v>
      </c>
      <c r="M30" s="241">
        <f t="shared" si="4"/>
        <v>0</v>
      </c>
      <c r="N30" s="241">
        <f t="shared" si="5"/>
        <v>0</v>
      </c>
      <c r="O30" s="241">
        <f t="shared" si="6"/>
        <v>0</v>
      </c>
      <c r="P30" s="241">
        <f t="shared" si="7"/>
        <v>0</v>
      </c>
      <c r="Q30" s="268">
        <f t="shared" si="8"/>
        <v>0</v>
      </c>
      <c r="S30" s="763">
        <f>IF(B30&lt;=Fruit_Inputs!$G$21,1,0)</f>
        <v>0</v>
      </c>
      <c r="T30" s="666">
        <f t="shared" si="9"/>
        <v>0</v>
      </c>
      <c r="U30" s="662">
        <f>Fruit_Inputs!$G$20</f>
        <v>0.23089999999999999</v>
      </c>
      <c r="V30" s="239">
        <f t="shared" si="10"/>
        <v>0</v>
      </c>
      <c r="W30" s="241">
        <f t="shared" si="11"/>
        <v>0</v>
      </c>
      <c r="X30" s="241">
        <f t="shared" si="12"/>
        <v>0</v>
      </c>
      <c r="Y30" s="241">
        <f t="shared" si="13"/>
        <v>0</v>
      </c>
      <c r="Z30" s="241">
        <f t="shared" si="14"/>
        <v>0</v>
      </c>
      <c r="AA30" s="268">
        <f t="shared" si="15"/>
        <v>0</v>
      </c>
      <c r="AC30" s="763">
        <f>IF(B30&lt;=Veg_Inputs!$G$21,1,0)</f>
        <v>0</v>
      </c>
      <c r="AD30" s="666">
        <f t="shared" si="16"/>
        <v>0</v>
      </c>
      <c r="AE30" s="662">
        <f>Veg_Inputs!$G$20</f>
        <v>0.14499999999999999</v>
      </c>
      <c r="AF30" s="239">
        <f t="shared" si="17"/>
        <v>0</v>
      </c>
      <c r="AG30" s="241">
        <f t="shared" si="18"/>
        <v>0</v>
      </c>
      <c r="AH30" s="241">
        <f t="shared" si="19"/>
        <v>0</v>
      </c>
      <c r="AI30" s="241">
        <f t="shared" si="20"/>
        <v>0</v>
      </c>
      <c r="AJ30" s="241">
        <f t="shared" si="21"/>
        <v>0</v>
      </c>
      <c r="AK30" s="268">
        <f t="shared" si="22"/>
        <v>0</v>
      </c>
      <c r="AM30" s="763">
        <f>IF(B30&lt;=Rice_Inputs!$G$21,1,0)</f>
        <v>0</v>
      </c>
      <c r="AN30" s="666">
        <f t="shared" si="23"/>
        <v>0</v>
      </c>
      <c r="AO30" s="662">
        <f>Rice_Inputs!$G$20</f>
        <v>0.23089999999999999</v>
      </c>
      <c r="AP30" s="239">
        <f t="shared" si="24"/>
        <v>0</v>
      </c>
      <c r="AQ30" s="241">
        <f t="shared" si="25"/>
        <v>0</v>
      </c>
      <c r="AR30" s="241">
        <f t="shared" si="26"/>
        <v>0</v>
      </c>
      <c r="AS30" s="241">
        <f t="shared" si="27"/>
        <v>0</v>
      </c>
      <c r="AT30" s="241">
        <f t="shared" si="28"/>
        <v>0</v>
      </c>
      <c r="AU30" s="268">
        <f t="shared" si="29"/>
        <v>0</v>
      </c>
      <c r="AW30" s="763">
        <f>IF(B30&lt;=Pyre_Inputs!$G$21,1,0)</f>
        <v>0</v>
      </c>
      <c r="AX30" s="666">
        <f t="shared" si="30"/>
        <v>0</v>
      </c>
      <c r="AY30" s="662">
        <f>Pyre_Inputs!$G$20</f>
        <v>0.119657894736842</v>
      </c>
      <c r="AZ30" s="239">
        <f t="shared" si="31"/>
        <v>0</v>
      </c>
      <c r="BA30" s="241">
        <f t="shared" si="32"/>
        <v>-1.3478916689252741E-11</v>
      </c>
      <c r="BB30" s="241">
        <f t="shared" si="33"/>
        <v>-1.3478916689252741E-11</v>
      </c>
      <c r="BC30" s="241">
        <f t="shared" si="34"/>
        <v>1.1264544407116881E-10</v>
      </c>
      <c r="BD30" s="241">
        <f t="shared" si="35"/>
        <v>1.2612436076042156E-10</v>
      </c>
      <c r="BE30" s="268">
        <f t="shared" si="36"/>
        <v>0</v>
      </c>
      <c r="BG30" s="763">
        <f>IF(B30&lt;=Tea_Retrofit!$G$21,1,0)</f>
        <v>0</v>
      </c>
      <c r="BH30" s="666">
        <f t="shared" si="37"/>
        <v>0</v>
      </c>
      <c r="BI30" s="662">
        <f>Tea_Retrofit!$G$20</f>
        <v>0.16900000000000001</v>
      </c>
      <c r="BJ30" s="239">
        <f t="shared" si="38"/>
        <v>0</v>
      </c>
      <c r="BK30" s="241">
        <f t="shared" si="39"/>
        <v>0</v>
      </c>
      <c r="BL30" s="241">
        <f t="shared" si="40"/>
        <v>0</v>
      </c>
      <c r="BM30" s="241">
        <f t="shared" si="41"/>
        <v>0</v>
      </c>
      <c r="BN30" s="241">
        <f t="shared" si="42"/>
        <v>0</v>
      </c>
      <c r="BO30" s="268">
        <f t="shared" si="43"/>
        <v>0</v>
      </c>
      <c r="BQ30" s="763">
        <f>IF(B30&lt;=Tobacco_Retrofit!$G$21,1,0)</f>
        <v>0</v>
      </c>
      <c r="BR30" s="666">
        <f t="shared" si="44"/>
        <v>0</v>
      </c>
      <c r="BS30" s="662">
        <f>Tobacco_Retrofit!$G$20</f>
        <v>0.14499999999999999</v>
      </c>
      <c r="BT30" s="239">
        <f t="shared" si="45"/>
        <v>0</v>
      </c>
      <c r="BU30" s="241">
        <f t="shared" si="46"/>
        <v>0</v>
      </c>
      <c r="BV30" s="241">
        <f t="shared" si="47"/>
        <v>0</v>
      </c>
      <c r="BW30" s="241">
        <f t="shared" si="48"/>
        <v>0</v>
      </c>
      <c r="BX30" s="241">
        <f t="shared" si="49"/>
        <v>0</v>
      </c>
      <c r="BY30" s="268">
        <f t="shared" si="50"/>
        <v>0</v>
      </c>
      <c r="CA30" s="763">
        <f>IF(B30&lt;=Spas_Inputs!$G$21,1,0)</f>
        <v>0</v>
      </c>
      <c r="CB30" s="666">
        <f t="shared" si="51"/>
        <v>0</v>
      </c>
      <c r="CC30" s="662">
        <f>Spas_Inputs!$G$20</f>
        <v>0.113</v>
      </c>
      <c r="CD30" s="239">
        <f t="shared" si="52"/>
        <v>0</v>
      </c>
      <c r="CE30" s="241">
        <f t="shared" si="53"/>
        <v>0</v>
      </c>
      <c r="CF30" s="241">
        <f t="shared" si="54"/>
        <v>0</v>
      </c>
      <c r="CG30" s="241">
        <f t="shared" si="55"/>
        <v>0</v>
      </c>
      <c r="CH30" s="241">
        <f t="shared" si="56"/>
        <v>0</v>
      </c>
      <c r="CI30" s="268">
        <f t="shared" si="57"/>
        <v>0</v>
      </c>
      <c r="CK30" s="763">
        <f>IF(B30&lt;=Greenhouse_Retrofit!$G$21,1,0)</f>
        <v>0</v>
      </c>
      <c r="CL30" s="666">
        <f t="shared" si="58"/>
        <v>0</v>
      </c>
      <c r="CM30" s="662">
        <f>Greenhouse_Retrofit!$G$20</f>
        <v>0.16900000000000001</v>
      </c>
      <c r="CN30" s="239">
        <f t="shared" si="59"/>
        <v>0</v>
      </c>
      <c r="CO30" s="241">
        <f t="shared" si="60"/>
        <v>0</v>
      </c>
      <c r="CP30" s="241">
        <f t="shared" si="61"/>
        <v>0</v>
      </c>
      <c r="CQ30" s="241">
        <f t="shared" si="62"/>
        <v>0</v>
      </c>
      <c r="CR30" s="241">
        <f t="shared" si="63"/>
        <v>0</v>
      </c>
      <c r="CS30" s="268">
        <f t="shared" si="64"/>
        <v>0</v>
      </c>
      <c r="CU30" s="763">
        <f>IF(B30&lt;=Hatchery_Retrofit!$G$21,1,0)</f>
        <v>0</v>
      </c>
      <c r="CV30" s="661">
        <f t="shared" si="81"/>
        <v>0</v>
      </c>
      <c r="CW30" s="662">
        <f>Hatchery_Retrofit!$G$20</f>
        <v>0.119657894736842</v>
      </c>
      <c r="CX30" s="239">
        <f t="shared" si="66"/>
        <v>0</v>
      </c>
      <c r="CY30" s="241">
        <f t="shared" si="67"/>
        <v>0</v>
      </c>
      <c r="CZ30" s="241">
        <f t="shared" si="68"/>
        <v>0</v>
      </c>
      <c r="DA30" s="241">
        <f t="shared" si="69"/>
        <v>0</v>
      </c>
      <c r="DB30" s="241">
        <f t="shared" si="70"/>
        <v>0</v>
      </c>
      <c r="DC30" s="268">
        <f t="shared" si="71"/>
        <v>0</v>
      </c>
      <c r="DE30" s="763">
        <f>IF(B30&lt;=Milk_Retrofit!$G$21,1,0)</f>
        <v>0</v>
      </c>
      <c r="DF30" s="666">
        <f t="shared" si="72"/>
        <v>0</v>
      </c>
      <c r="DG30" s="662">
        <f>Milk_Retrofit!$G$20</f>
        <v>0.16700000000000001</v>
      </c>
      <c r="DH30" s="239">
        <f t="shared" si="73"/>
        <v>0</v>
      </c>
      <c r="DI30" s="241">
        <f t="shared" si="74"/>
        <v>0</v>
      </c>
      <c r="DJ30" s="241">
        <f t="shared" si="75"/>
        <v>0</v>
      </c>
      <c r="DK30" s="241">
        <f t="shared" si="76"/>
        <v>0</v>
      </c>
      <c r="DL30" s="241">
        <f t="shared" si="77"/>
        <v>0</v>
      </c>
      <c r="DM30" s="268">
        <f t="shared" si="78"/>
        <v>0</v>
      </c>
    </row>
    <row r="31" spans="2:117" s="107" customFormat="1" x14ac:dyDescent="0.3">
      <c r="B31" s="192">
        <f t="shared" si="79"/>
        <v>22</v>
      </c>
      <c r="C31" s="663">
        <f t="shared" si="1"/>
        <v>2042</v>
      </c>
      <c r="D31" s="664">
        <f t="shared" si="0"/>
        <v>0</v>
      </c>
      <c r="E31" s="86"/>
      <c r="F31" s="200"/>
      <c r="G31" s="351">
        <f t="shared" si="82"/>
        <v>51867</v>
      </c>
      <c r="H31" s="441">
        <f t="shared" si="82"/>
        <v>52231</v>
      </c>
      <c r="I31" s="665">
        <f>IF(B31&lt;=Fish_Inputs!$G$21,1,0)</f>
        <v>0</v>
      </c>
      <c r="J31" s="666">
        <f t="shared" si="2"/>
        <v>0</v>
      </c>
      <c r="K31" s="518">
        <f>Fish_Inputs!$G$20</f>
        <v>0.16700000000000001</v>
      </c>
      <c r="L31" s="239">
        <f t="shared" si="3"/>
        <v>0</v>
      </c>
      <c r="M31" s="241">
        <f t="shared" si="4"/>
        <v>0</v>
      </c>
      <c r="N31" s="241">
        <f t="shared" si="5"/>
        <v>0</v>
      </c>
      <c r="O31" s="241">
        <f t="shared" si="6"/>
        <v>0</v>
      </c>
      <c r="P31" s="241">
        <f t="shared" si="7"/>
        <v>0</v>
      </c>
      <c r="Q31" s="268">
        <f t="shared" si="8"/>
        <v>0</v>
      </c>
      <c r="S31" s="763">
        <f>IF(B31&lt;=Fruit_Inputs!$G$21,1,0)</f>
        <v>0</v>
      </c>
      <c r="T31" s="666">
        <f t="shared" si="9"/>
        <v>0</v>
      </c>
      <c r="U31" s="662">
        <f>Fruit_Inputs!$G$20</f>
        <v>0.23089999999999999</v>
      </c>
      <c r="V31" s="239">
        <f t="shared" si="10"/>
        <v>0</v>
      </c>
      <c r="W31" s="241">
        <f t="shared" si="11"/>
        <v>0</v>
      </c>
      <c r="X31" s="241">
        <f t="shared" si="12"/>
        <v>0</v>
      </c>
      <c r="Y31" s="241">
        <f t="shared" si="13"/>
        <v>0</v>
      </c>
      <c r="Z31" s="241">
        <f t="shared" si="14"/>
        <v>0</v>
      </c>
      <c r="AA31" s="268">
        <f t="shared" si="15"/>
        <v>0</v>
      </c>
      <c r="AC31" s="763">
        <f>IF(B31&lt;=Veg_Inputs!$G$21,1,0)</f>
        <v>0</v>
      </c>
      <c r="AD31" s="666">
        <f t="shared" si="16"/>
        <v>0</v>
      </c>
      <c r="AE31" s="662">
        <f>Veg_Inputs!$G$20</f>
        <v>0.14499999999999999</v>
      </c>
      <c r="AF31" s="239">
        <f t="shared" si="17"/>
        <v>0</v>
      </c>
      <c r="AG31" s="241">
        <f t="shared" si="18"/>
        <v>0</v>
      </c>
      <c r="AH31" s="241">
        <f t="shared" si="19"/>
        <v>0</v>
      </c>
      <c r="AI31" s="241">
        <f t="shared" si="20"/>
        <v>0</v>
      </c>
      <c r="AJ31" s="241">
        <f t="shared" si="21"/>
        <v>0</v>
      </c>
      <c r="AK31" s="268">
        <f t="shared" si="22"/>
        <v>0</v>
      </c>
      <c r="AM31" s="763">
        <f>IF(B31&lt;=Rice_Inputs!$G$21,1,0)</f>
        <v>0</v>
      </c>
      <c r="AN31" s="666">
        <f t="shared" si="23"/>
        <v>0</v>
      </c>
      <c r="AO31" s="662">
        <f>Rice_Inputs!$G$20</f>
        <v>0.23089999999999999</v>
      </c>
      <c r="AP31" s="239">
        <f t="shared" si="24"/>
        <v>0</v>
      </c>
      <c r="AQ31" s="241">
        <f t="shared" si="25"/>
        <v>0</v>
      </c>
      <c r="AR31" s="241">
        <f t="shared" si="26"/>
        <v>0</v>
      </c>
      <c r="AS31" s="241">
        <f t="shared" si="27"/>
        <v>0</v>
      </c>
      <c r="AT31" s="241">
        <f t="shared" si="28"/>
        <v>0</v>
      </c>
      <c r="AU31" s="268">
        <f t="shared" si="29"/>
        <v>0</v>
      </c>
      <c r="AW31" s="763">
        <f>IF(B31&lt;=Pyre_Inputs!$G$21,1,0)</f>
        <v>0</v>
      </c>
      <c r="AX31" s="666">
        <f t="shared" si="30"/>
        <v>0</v>
      </c>
      <c r="AY31" s="662">
        <f>Pyre_Inputs!$G$20</f>
        <v>0.119657894736842</v>
      </c>
      <c r="AZ31" s="239">
        <f t="shared" si="31"/>
        <v>0</v>
      </c>
      <c r="BA31" s="241">
        <f t="shared" si="32"/>
        <v>-1.5091775483622008E-11</v>
      </c>
      <c r="BB31" s="241">
        <f t="shared" si="33"/>
        <v>-1.5091775483622008E-11</v>
      </c>
      <c r="BC31" s="241">
        <f t="shared" si="34"/>
        <v>1.2612436076042156E-10</v>
      </c>
      <c r="BD31" s="241">
        <f t="shared" si="35"/>
        <v>1.4121613624404356E-10</v>
      </c>
      <c r="BE31" s="268">
        <f t="shared" si="36"/>
        <v>0</v>
      </c>
      <c r="BG31" s="763">
        <f>IF(B31&lt;=Tea_Retrofit!$G$21,1,0)</f>
        <v>0</v>
      </c>
      <c r="BH31" s="666">
        <f t="shared" si="37"/>
        <v>0</v>
      </c>
      <c r="BI31" s="662">
        <f>Tea_Retrofit!$G$20</f>
        <v>0.16900000000000001</v>
      </c>
      <c r="BJ31" s="239">
        <f t="shared" si="38"/>
        <v>0</v>
      </c>
      <c r="BK31" s="241">
        <f t="shared" si="39"/>
        <v>0</v>
      </c>
      <c r="BL31" s="241">
        <f t="shared" si="40"/>
        <v>0</v>
      </c>
      <c r="BM31" s="241">
        <f t="shared" si="41"/>
        <v>0</v>
      </c>
      <c r="BN31" s="241">
        <f t="shared" si="42"/>
        <v>0</v>
      </c>
      <c r="BO31" s="268">
        <f t="shared" si="43"/>
        <v>0</v>
      </c>
      <c r="BQ31" s="763">
        <f>IF(B31&lt;=Tobacco_Retrofit!$G$21,1,0)</f>
        <v>0</v>
      </c>
      <c r="BR31" s="666">
        <f t="shared" si="44"/>
        <v>0</v>
      </c>
      <c r="BS31" s="662">
        <f>Tobacco_Retrofit!$G$20</f>
        <v>0.14499999999999999</v>
      </c>
      <c r="BT31" s="239">
        <f t="shared" si="45"/>
        <v>0</v>
      </c>
      <c r="BU31" s="241">
        <f t="shared" si="46"/>
        <v>0</v>
      </c>
      <c r="BV31" s="241">
        <f t="shared" si="47"/>
        <v>0</v>
      </c>
      <c r="BW31" s="241">
        <f t="shared" si="48"/>
        <v>0</v>
      </c>
      <c r="BX31" s="241">
        <f t="shared" si="49"/>
        <v>0</v>
      </c>
      <c r="BY31" s="268">
        <f t="shared" si="50"/>
        <v>0</v>
      </c>
      <c r="CA31" s="763">
        <f>IF(B31&lt;=Spas_Inputs!$G$21,1,0)</f>
        <v>0</v>
      </c>
      <c r="CB31" s="666">
        <f t="shared" si="51"/>
        <v>0</v>
      </c>
      <c r="CC31" s="662">
        <f>Spas_Inputs!$G$20</f>
        <v>0.113</v>
      </c>
      <c r="CD31" s="239">
        <f t="shared" si="52"/>
        <v>0</v>
      </c>
      <c r="CE31" s="241">
        <f t="shared" si="53"/>
        <v>0</v>
      </c>
      <c r="CF31" s="241">
        <f t="shared" si="54"/>
        <v>0</v>
      </c>
      <c r="CG31" s="241">
        <f t="shared" si="55"/>
        <v>0</v>
      </c>
      <c r="CH31" s="241">
        <f t="shared" si="56"/>
        <v>0</v>
      </c>
      <c r="CI31" s="268">
        <f t="shared" si="57"/>
        <v>0</v>
      </c>
      <c r="CK31" s="763">
        <f>IF(B31&lt;=Greenhouse_Retrofit!$G$21,1,0)</f>
        <v>0</v>
      </c>
      <c r="CL31" s="666">
        <f t="shared" si="58"/>
        <v>0</v>
      </c>
      <c r="CM31" s="662">
        <f>Greenhouse_Retrofit!$G$20</f>
        <v>0.16900000000000001</v>
      </c>
      <c r="CN31" s="239">
        <f t="shared" si="59"/>
        <v>0</v>
      </c>
      <c r="CO31" s="241">
        <f t="shared" si="60"/>
        <v>0</v>
      </c>
      <c r="CP31" s="241">
        <f t="shared" si="61"/>
        <v>0</v>
      </c>
      <c r="CQ31" s="241">
        <f t="shared" si="62"/>
        <v>0</v>
      </c>
      <c r="CR31" s="241">
        <f t="shared" si="63"/>
        <v>0</v>
      </c>
      <c r="CS31" s="268">
        <f t="shared" si="64"/>
        <v>0</v>
      </c>
      <c r="CU31" s="763">
        <f>IF(B31&lt;=Hatchery_Retrofit!$G$21,1,0)</f>
        <v>0</v>
      </c>
      <c r="CV31" s="661">
        <f t="shared" si="81"/>
        <v>0</v>
      </c>
      <c r="CW31" s="662">
        <f>Hatchery_Retrofit!$G$20</f>
        <v>0.119657894736842</v>
      </c>
      <c r="CX31" s="239">
        <f t="shared" si="66"/>
        <v>0</v>
      </c>
      <c r="CY31" s="241">
        <f t="shared" si="67"/>
        <v>0</v>
      </c>
      <c r="CZ31" s="241">
        <f t="shared" si="68"/>
        <v>0</v>
      </c>
      <c r="DA31" s="241">
        <f t="shared" si="69"/>
        <v>0</v>
      </c>
      <c r="DB31" s="241">
        <f t="shared" si="70"/>
        <v>0</v>
      </c>
      <c r="DC31" s="268">
        <f t="shared" si="71"/>
        <v>0</v>
      </c>
      <c r="DE31" s="763">
        <f>IF(B31&lt;=Milk_Retrofit!$G$21,1,0)</f>
        <v>0</v>
      </c>
      <c r="DF31" s="666">
        <f t="shared" si="72"/>
        <v>0</v>
      </c>
      <c r="DG31" s="662">
        <f>Milk_Retrofit!$G$20</f>
        <v>0.16700000000000001</v>
      </c>
      <c r="DH31" s="239">
        <f t="shared" si="73"/>
        <v>0</v>
      </c>
      <c r="DI31" s="241">
        <f t="shared" si="74"/>
        <v>0</v>
      </c>
      <c r="DJ31" s="241">
        <f t="shared" si="75"/>
        <v>0</v>
      </c>
      <c r="DK31" s="241">
        <f t="shared" si="76"/>
        <v>0</v>
      </c>
      <c r="DL31" s="241">
        <f t="shared" si="77"/>
        <v>0</v>
      </c>
      <c r="DM31" s="268">
        <f t="shared" si="78"/>
        <v>0</v>
      </c>
    </row>
    <row r="32" spans="2:117" s="107" customFormat="1" x14ac:dyDescent="0.3">
      <c r="B32" s="192">
        <f t="shared" si="79"/>
        <v>23</v>
      </c>
      <c r="C32" s="663">
        <f t="shared" si="1"/>
        <v>2043</v>
      </c>
      <c r="D32" s="664">
        <f t="shared" si="0"/>
        <v>0</v>
      </c>
      <c r="E32" s="228"/>
      <c r="F32" s="229"/>
      <c r="G32" s="351">
        <f t="shared" si="82"/>
        <v>52232</v>
      </c>
      <c r="H32" s="441">
        <f t="shared" si="82"/>
        <v>52596</v>
      </c>
      <c r="I32" s="665">
        <f>IF(B32&lt;=Fish_Inputs!$G$21,1,0)</f>
        <v>0</v>
      </c>
      <c r="J32" s="666">
        <f t="shared" si="2"/>
        <v>0</v>
      </c>
      <c r="K32" s="518">
        <f>Fish_Inputs!$G$20</f>
        <v>0.16700000000000001</v>
      </c>
      <c r="L32" s="239">
        <f t="shared" si="3"/>
        <v>0</v>
      </c>
      <c r="M32" s="241">
        <f t="shared" si="4"/>
        <v>0</v>
      </c>
      <c r="N32" s="241">
        <f t="shared" si="5"/>
        <v>0</v>
      </c>
      <c r="O32" s="241">
        <f t="shared" si="6"/>
        <v>0</v>
      </c>
      <c r="P32" s="241">
        <f t="shared" si="7"/>
        <v>0</v>
      </c>
      <c r="Q32" s="268">
        <f t="shared" si="8"/>
        <v>0</v>
      </c>
      <c r="S32" s="763">
        <f>IF(B32&lt;=Fruit_Inputs!$G$21,1,0)</f>
        <v>0</v>
      </c>
      <c r="T32" s="666">
        <f t="shared" si="9"/>
        <v>0</v>
      </c>
      <c r="U32" s="662">
        <f>Fruit_Inputs!$G$20</f>
        <v>0.23089999999999999</v>
      </c>
      <c r="V32" s="239">
        <f t="shared" si="10"/>
        <v>0</v>
      </c>
      <c r="W32" s="241">
        <f t="shared" si="11"/>
        <v>0</v>
      </c>
      <c r="X32" s="241">
        <f t="shared" si="12"/>
        <v>0</v>
      </c>
      <c r="Y32" s="241">
        <f t="shared" si="13"/>
        <v>0</v>
      </c>
      <c r="Z32" s="241">
        <f t="shared" si="14"/>
        <v>0</v>
      </c>
      <c r="AA32" s="268">
        <f t="shared" si="15"/>
        <v>0</v>
      </c>
      <c r="AC32" s="763">
        <f>IF(B32&lt;=Veg_Inputs!$G$21,1,0)</f>
        <v>0</v>
      </c>
      <c r="AD32" s="666">
        <f t="shared" si="16"/>
        <v>0</v>
      </c>
      <c r="AE32" s="662">
        <f>Veg_Inputs!$G$20</f>
        <v>0.14499999999999999</v>
      </c>
      <c r="AF32" s="239">
        <f t="shared" si="17"/>
        <v>0</v>
      </c>
      <c r="AG32" s="241">
        <f t="shared" si="18"/>
        <v>0</v>
      </c>
      <c r="AH32" s="241">
        <f t="shared" si="19"/>
        <v>0</v>
      </c>
      <c r="AI32" s="241">
        <f t="shared" si="20"/>
        <v>0</v>
      </c>
      <c r="AJ32" s="241">
        <f t="shared" si="21"/>
        <v>0</v>
      </c>
      <c r="AK32" s="268">
        <f t="shared" si="22"/>
        <v>0</v>
      </c>
      <c r="AM32" s="763">
        <f>IF(B32&lt;=Rice_Inputs!$G$21,1,0)</f>
        <v>0</v>
      </c>
      <c r="AN32" s="666">
        <f t="shared" si="23"/>
        <v>0</v>
      </c>
      <c r="AO32" s="662">
        <f>Rice_Inputs!$G$20</f>
        <v>0.23089999999999999</v>
      </c>
      <c r="AP32" s="239">
        <f t="shared" si="24"/>
        <v>0</v>
      </c>
      <c r="AQ32" s="241">
        <f t="shared" si="25"/>
        <v>0</v>
      </c>
      <c r="AR32" s="241">
        <f t="shared" si="26"/>
        <v>0</v>
      </c>
      <c r="AS32" s="241">
        <f t="shared" si="27"/>
        <v>0</v>
      </c>
      <c r="AT32" s="241">
        <f t="shared" si="28"/>
        <v>0</v>
      </c>
      <c r="AU32" s="268">
        <f t="shared" si="29"/>
        <v>0</v>
      </c>
      <c r="AW32" s="763">
        <f>IF(B32&lt;=Pyre_Inputs!$G$21,1,0)</f>
        <v>0</v>
      </c>
      <c r="AX32" s="666">
        <f t="shared" si="30"/>
        <v>0</v>
      </c>
      <c r="AY32" s="662">
        <f>Pyre_Inputs!$G$20</f>
        <v>0.119657894736842</v>
      </c>
      <c r="AZ32" s="239">
        <f t="shared" si="31"/>
        <v>0</v>
      </c>
      <c r="BA32" s="241">
        <f t="shared" si="32"/>
        <v>-1.6897625565833302E-11</v>
      </c>
      <c r="BB32" s="241">
        <f t="shared" si="33"/>
        <v>-1.6897625565833302E-11</v>
      </c>
      <c r="BC32" s="241">
        <f t="shared" si="34"/>
        <v>1.4121613624404356E-10</v>
      </c>
      <c r="BD32" s="241">
        <f t="shared" si="35"/>
        <v>1.5811376180987685E-10</v>
      </c>
      <c r="BE32" s="268">
        <f t="shared" si="36"/>
        <v>0</v>
      </c>
      <c r="BG32" s="763">
        <f>IF(B32&lt;=Tea_Retrofit!$G$21,1,0)</f>
        <v>0</v>
      </c>
      <c r="BH32" s="666">
        <f t="shared" si="37"/>
        <v>0</v>
      </c>
      <c r="BI32" s="662">
        <f>Tea_Retrofit!$G$20</f>
        <v>0.16900000000000001</v>
      </c>
      <c r="BJ32" s="239">
        <f t="shared" si="38"/>
        <v>0</v>
      </c>
      <c r="BK32" s="241">
        <f t="shared" si="39"/>
        <v>0</v>
      </c>
      <c r="BL32" s="241">
        <f t="shared" si="40"/>
        <v>0</v>
      </c>
      <c r="BM32" s="241">
        <f t="shared" si="41"/>
        <v>0</v>
      </c>
      <c r="BN32" s="241">
        <f t="shared" si="42"/>
        <v>0</v>
      </c>
      <c r="BO32" s="268">
        <f t="shared" si="43"/>
        <v>0</v>
      </c>
      <c r="BQ32" s="763">
        <f>IF(B32&lt;=Tobacco_Retrofit!$G$21,1,0)</f>
        <v>0</v>
      </c>
      <c r="BR32" s="666">
        <f t="shared" si="44"/>
        <v>0</v>
      </c>
      <c r="BS32" s="662">
        <f>Tobacco_Retrofit!$G$20</f>
        <v>0.14499999999999999</v>
      </c>
      <c r="BT32" s="239">
        <f t="shared" si="45"/>
        <v>0</v>
      </c>
      <c r="BU32" s="241">
        <f t="shared" si="46"/>
        <v>0</v>
      </c>
      <c r="BV32" s="241">
        <f t="shared" si="47"/>
        <v>0</v>
      </c>
      <c r="BW32" s="241">
        <f t="shared" si="48"/>
        <v>0</v>
      </c>
      <c r="BX32" s="241">
        <f t="shared" si="49"/>
        <v>0</v>
      </c>
      <c r="BY32" s="268">
        <f t="shared" si="50"/>
        <v>0</v>
      </c>
      <c r="CA32" s="763">
        <f>IF(B32&lt;=Spas_Inputs!$G$21,1,0)</f>
        <v>0</v>
      </c>
      <c r="CB32" s="666">
        <f t="shared" si="51"/>
        <v>0</v>
      </c>
      <c r="CC32" s="662">
        <f>Spas_Inputs!$G$20</f>
        <v>0.113</v>
      </c>
      <c r="CD32" s="239">
        <f t="shared" si="52"/>
        <v>0</v>
      </c>
      <c r="CE32" s="241">
        <f t="shared" si="53"/>
        <v>0</v>
      </c>
      <c r="CF32" s="241">
        <f t="shared" si="54"/>
        <v>0</v>
      </c>
      <c r="CG32" s="241">
        <f t="shared" si="55"/>
        <v>0</v>
      </c>
      <c r="CH32" s="241">
        <f t="shared" si="56"/>
        <v>0</v>
      </c>
      <c r="CI32" s="268">
        <f t="shared" si="57"/>
        <v>0</v>
      </c>
      <c r="CK32" s="763">
        <f>IF(B32&lt;=Greenhouse_Retrofit!$G$21,1,0)</f>
        <v>0</v>
      </c>
      <c r="CL32" s="666">
        <f t="shared" si="58"/>
        <v>0</v>
      </c>
      <c r="CM32" s="662">
        <f>Greenhouse_Retrofit!$G$20</f>
        <v>0.16900000000000001</v>
      </c>
      <c r="CN32" s="239">
        <f t="shared" si="59"/>
        <v>0</v>
      </c>
      <c r="CO32" s="241">
        <f t="shared" si="60"/>
        <v>0</v>
      </c>
      <c r="CP32" s="241">
        <f t="shared" si="61"/>
        <v>0</v>
      </c>
      <c r="CQ32" s="241">
        <f t="shared" si="62"/>
        <v>0</v>
      </c>
      <c r="CR32" s="241">
        <f t="shared" si="63"/>
        <v>0</v>
      </c>
      <c r="CS32" s="268">
        <f t="shared" si="64"/>
        <v>0</v>
      </c>
      <c r="CU32" s="763">
        <f>IF(B32&lt;=Hatchery_Retrofit!$G$21,1,0)</f>
        <v>0</v>
      </c>
      <c r="CV32" s="661">
        <f t="shared" si="81"/>
        <v>0</v>
      </c>
      <c r="CW32" s="662">
        <f>Hatchery_Retrofit!$G$20</f>
        <v>0.119657894736842</v>
      </c>
      <c r="CX32" s="239">
        <f t="shared" si="66"/>
        <v>0</v>
      </c>
      <c r="CY32" s="241">
        <f t="shared" si="67"/>
        <v>0</v>
      </c>
      <c r="CZ32" s="241">
        <f t="shared" si="68"/>
        <v>0</v>
      </c>
      <c r="DA32" s="241">
        <f t="shared" si="69"/>
        <v>0</v>
      </c>
      <c r="DB32" s="241">
        <f t="shared" si="70"/>
        <v>0</v>
      </c>
      <c r="DC32" s="268">
        <f t="shared" si="71"/>
        <v>0</v>
      </c>
      <c r="DE32" s="763">
        <f>IF(B32&lt;=Milk_Retrofit!$G$21,1,0)</f>
        <v>0</v>
      </c>
      <c r="DF32" s="666">
        <f t="shared" si="72"/>
        <v>0</v>
      </c>
      <c r="DG32" s="662">
        <f>Milk_Retrofit!$G$20</f>
        <v>0.16700000000000001</v>
      </c>
      <c r="DH32" s="239">
        <f t="shared" si="73"/>
        <v>0</v>
      </c>
      <c r="DI32" s="241">
        <f t="shared" si="74"/>
        <v>0</v>
      </c>
      <c r="DJ32" s="241">
        <f t="shared" si="75"/>
        <v>0</v>
      </c>
      <c r="DK32" s="241">
        <f t="shared" si="76"/>
        <v>0</v>
      </c>
      <c r="DL32" s="241">
        <f t="shared" si="77"/>
        <v>0</v>
      </c>
      <c r="DM32" s="268">
        <f t="shared" si="78"/>
        <v>0</v>
      </c>
    </row>
    <row r="33" spans="2:117" s="107" customFormat="1" x14ac:dyDescent="0.3">
      <c r="B33" s="192">
        <f t="shared" si="79"/>
        <v>24</v>
      </c>
      <c r="C33" s="663">
        <f t="shared" si="1"/>
        <v>2044</v>
      </c>
      <c r="D33" s="664">
        <f t="shared" si="0"/>
        <v>0</v>
      </c>
      <c r="E33" s="228"/>
      <c r="F33" s="229"/>
      <c r="G33" s="351">
        <f t="shared" si="82"/>
        <v>52597</v>
      </c>
      <c r="H33" s="441">
        <f t="shared" si="82"/>
        <v>52962</v>
      </c>
      <c r="I33" s="665">
        <f>IF(B33&lt;=Fish_Inputs!$G$21,1,0)</f>
        <v>0</v>
      </c>
      <c r="J33" s="666">
        <f t="shared" si="2"/>
        <v>0</v>
      </c>
      <c r="K33" s="518">
        <f>Fish_Inputs!$G$20</f>
        <v>0.16700000000000001</v>
      </c>
      <c r="L33" s="239">
        <f t="shared" si="3"/>
        <v>0</v>
      </c>
      <c r="M33" s="241">
        <f t="shared" si="4"/>
        <v>0</v>
      </c>
      <c r="N33" s="241">
        <f t="shared" si="5"/>
        <v>0</v>
      </c>
      <c r="O33" s="241">
        <f t="shared" si="6"/>
        <v>0</v>
      </c>
      <c r="P33" s="241">
        <f t="shared" si="7"/>
        <v>0</v>
      </c>
      <c r="Q33" s="268">
        <f t="shared" si="8"/>
        <v>0</v>
      </c>
      <c r="S33" s="763">
        <f>IF(B33&lt;=Fruit_Inputs!$G$21,1,0)</f>
        <v>0</v>
      </c>
      <c r="T33" s="666">
        <f t="shared" si="9"/>
        <v>0</v>
      </c>
      <c r="U33" s="662">
        <f>Fruit_Inputs!$G$20</f>
        <v>0.23089999999999999</v>
      </c>
      <c r="V33" s="239">
        <f t="shared" si="10"/>
        <v>0</v>
      </c>
      <c r="W33" s="241">
        <f t="shared" si="11"/>
        <v>0</v>
      </c>
      <c r="X33" s="241">
        <f t="shared" si="12"/>
        <v>0</v>
      </c>
      <c r="Y33" s="241">
        <f t="shared" si="13"/>
        <v>0</v>
      </c>
      <c r="Z33" s="241">
        <f t="shared" si="14"/>
        <v>0</v>
      </c>
      <c r="AA33" s="268">
        <f t="shared" si="15"/>
        <v>0</v>
      </c>
      <c r="AC33" s="763">
        <f>IF(B33&lt;=Veg_Inputs!$G$21,1,0)</f>
        <v>0</v>
      </c>
      <c r="AD33" s="666">
        <f t="shared" si="16"/>
        <v>0</v>
      </c>
      <c r="AE33" s="662">
        <f>Veg_Inputs!$G$20</f>
        <v>0.14499999999999999</v>
      </c>
      <c r="AF33" s="239">
        <f t="shared" si="17"/>
        <v>0</v>
      </c>
      <c r="AG33" s="241">
        <f t="shared" si="18"/>
        <v>0</v>
      </c>
      <c r="AH33" s="241">
        <f t="shared" si="19"/>
        <v>0</v>
      </c>
      <c r="AI33" s="241">
        <f t="shared" si="20"/>
        <v>0</v>
      </c>
      <c r="AJ33" s="241">
        <f t="shared" si="21"/>
        <v>0</v>
      </c>
      <c r="AK33" s="268">
        <f t="shared" si="22"/>
        <v>0</v>
      </c>
      <c r="AM33" s="763">
        <f>IF(B33&lt;=Rice_Inputs!$G$21,1,0)</f>
        <v>0</v>
      </c>
      <c r="AN33" s="666">
        <f t="shared" si="23"/>
        <v>0</v>
      </c>
      <c r="AO33" s="662">
        <f>Rice_Inputs!$G$20</f>
        <v>0.23089999999999999</v>
      </c>
      <c r="AP33" s="239">
        <f t="shared" si="24"/>
        <v>0</v>
      </c>
      <c r="AQ33" s="241">
        <f t="shared" si="25"/>
        <v>0</v>
      </c>
      <c r="AR33" s="241">
        <f t="shared" si="26"/>
        <v>0</v>
      </c>
      <c r="AS33" s="241">
        <f t="shared" si="27"/>
        <v>0</v>
      </c>
      <c r="AT33" s="241">
        <f t="shared" si="28"/>
        <v>0</v>
      </c>
      <c r="AU33" s="268">
        <f t="shared" si="29"/>
        <v>0</v>
      </c>
      <c r="AW33" s="763">
        <f>IF(B33&lt;=Pyre_Inputs!$G$21,1,0)</f>
        <v>0</v>
      </c>
      <c r="AX33" s="666">
        <f t="shared" si="30"/>
        <v>0</v>
      </c>
      <c r="AY33" s="662">
        <f>Pyre_Inputs!$G$20</f>
        <v>0.119657894736842</v>
      </c>
      <c r="AZ33" s="239">
        <f t="shared" si="31"/>
        <v>0</v>
      </c>
      <c r="BA33" s="241">
        <f t="shared" si="32"/>
        <v>-1.8919559867092353E-11</v>
      </c>
      <c r="BB33" s="241">
        <f t="shared" si="33"/>
        <v>-1.8919559867092353E-11</v>
      </c>
      <c r="BC33" s="241">
        <f t="shared" si="34"/>
        <v>1.5811376180987685E-10</v>
      </c>
      <c r="BD33" s="241">
        <f t="shared" si="35"/>
        <v>1.7703332167696919E-10</v>
      </c>
      <c r="BE33" s="268">
        <f t="shared" si="36"/>
        <v>0</v>
      </c>
      <c r="BG33" s="763">
        <f>IF(B33&lt;=Tea_Retrofit!$G$21,1,0)</f>
        <v>0</v>
      </c>
      <c r="BH33" s="666">
        <f t="shared" si="37"/>
        <v>0</v>
      </c>
      <c r="BI33" s="662">
        <f>Tea_Retrofit!$G$20</f>
        <v>0.16900000000000001</v>
      </c>
      <c r="BJ33" s="239">
        <f t="shared" si="38"/>
        <v>0</v>
      </c>
      <c r="BK33" s="241">
        <f t="shared" si="39"/>
        <v>0</v>
      </c>
      <c r="BL33" s="241">
        <f t="shared" si="40"/>
        <v>0</v>
      </c>
      <c r="BM33" s="241">
        <f t="shared" si="41"/>
        <v>0</v>
      </c>
      <c r="BN33" s="241">
        <f t="shared" si="42"/>
        <v>0</v>
      </c>
      <c r="BO33" s="268">
        <f t="shared" si="43"/>
        <v>0</v>
      </c>
      <c r="BQ33" s="763">
        <f>IF(B33&lt;=Tobacco_Retrofit!$G$21,1,0)</f>
        <v>0</v>
      </c>
      <c r="BR33" s="666">
        <f t="shared" si="44"/>
        <v>0</v>
      </c>
      <c r="BS33" s="662">
        <f>Tobacco_Retrofit!$G$20</f>
        <v>0.14499999999999999</v>
      </c>
      <c r="BT33" s="239">
        <f t="shared" si="45"/>
        <v>0</v>
      </c>
      <c r="BU33" s="241">
        <f t="shared" si="46"/>
        <v>0</v>
      </c>
      <c r="BV33" s="241">
        <f t="shared" si="47"/>
        <v>0</v>
      </c>
      <c r="BW33" s="241">
        <f t="shared" si="48"/>
        <v>0</v>
      </c>
      <c r="BX33" s="241">
        <f t="shared" si="49"/>
        <v>0</v>
      </c>
      <c r="BY33" s="268">
        <f t="shared" si="50"/>
        <v>0</v>
      </c>
      <c r="CA33" s="763">
        <f>IF(B33&lt;=Spas_Inputs!$G$21,1,0)</f>
        <v>0</v>
      </c>
      <c r="CB33" s="666">
        <f t="shared" si="51"/>
        <v>0</v>
      </c>
      <c r="CC33" s="662">
        <f>Spas_Inputs!$G$20</f>
        <v>0.113</v>
      </c>
      <c r="CD33" s="239">
        <f t="shared" si="52"/>
        <v>0</v>
      </c>
      <c r="CE33" s="241">
        <f t="shared" si="53"/>
        <v>0</v>
      </c>
      <c r="CF33" s="241">
        <f t="shared" si="54"/>
        <v>0</v>
      </c>
      <c r="CG33" s="241">
        <f t="shared" si="55"/>
        <v>0</v>
      </c>
      <c r="CH33" s="241">
        <f t="shared" si="56"/>
        <v>0</v>
      </c>
      <c r="CI33" s="268">
        <f t="shared" si="57"/>
        <v>0</v>
      </c>
      <c r="CK33" s="763">
        <f>IF(B33&lt;=Greenhouse_Retrofit!$G$21,1,0)</f>
        <v>0</v>
      </c>
      <c r="CL33" s="666">
        <f t="shared" si="58"/>
        <v>0</v>
      </c>
      <c r="CM33" s="662">
        <f>Greenhouse_Retrofit!$G$20</f>
        <v>0.16900000000000001</v>
      </c>
      <c r="CN33" s="239">
        <f t="shared" si="59"/>
        <v>0</v>
      </c>
      <c r="CO33" s="241">
        <f t="shared" si="60"/>
        <v>0</v>
      </c>
      <c r="CP33" s="241">
        <f t="shared" si="61"/>
        <v>0</v>
      </c>
      <c r="CQ33" s="241">
        <f t="shared" si="62"/>
        <v>0</v>
      </c>
      <c r="CR33" s="241">
        <f t="shared" si="63"/>
        <v>0</v>
      </c>
      <c r="CS33" s="268">
        <f t="shared" si="64"/>
        <v>0</v>
      </c>
      <c r="CU33" s="763">
        <f>IF(B33&lt;=Hatchery_Retrofit!$G$21,1,0)</f>
        <v>0</v>
      </c>
      <c r="CV33" s="661">
        <f t="shared" si="81"/>
        <v>0</v>
      </c>
      <c r="CW33" s="662">
        <f>Hatchery_Retrofit!$G$20</f>
        <v>0.119657894736842</v>
      </c>
      <c r="CX33" s="239">
        <f t="shared" si="66"/>
        <v>0</v>
      </c>
      <c r="CY33" s="241">
        <f t="shared" si="67"/>
        <v>0</v>
      </c>
      <c r="CZ33" s="241">
        <f t="shared" si="68"/>
        <v>0</v>
      </c>
      <c r="DA33" s="241">
        <f t="shared" si="69"/>
        <v>0</v>
      </c>
      <c r="DB33" s="241">
        <f t="shared" si="70"/>
        <v>0</v>
      </c>
      <c r="DC33" s="268">
        <f t="shared" si="71"/>
        <v>0</v>
      </c>
      <c r="DE33" s="763">
        <f>IF(B33&lt;=Milk_Retrofit!$G$21,1,0)</f>
        <v>0</v>
      </c>
      <c r="DF33" s="666">
        <f t="shared" si="72"/>
        <v>0</v>
      </c>
      <c r="DG33" s="662">
        <f>Milk_Retrofit!$G$20</f>
        <v>0.16700000000000001</v>
      </c>
      <c r="DH33" s="239">
        <f t="shared" si="73"/>
        <v>0</v>
      </c>
      <c r="DI33" s="241">
        <f t="shared" si="74"/>
        <v>0</v>
      </c>
      <c r="DJ33" s="241">
        <f t="shared" si="75"/>
        <v>0</v>
      </c>
      <c r="DK33" s="241">
        <f t="shared" si="76"/>
        <v>0</v>
      </c>
      <c r="DL33" s="241">
        <f t="shared" si="77"/>
        <v>0</v>
      </c>
      <c r="DM33" s="268">
        <f t="shared" si="78"/>
        <v>0</v>
      </c>
    </row>
    <row r="34" spans="2:117" s="107" customFormat="1" x14ac:dyDescent="0.3">
      <c r="B34" s="192">
        <f t="shared" si="79"/>
        <v>25</v>
      </c>
      <c r="C34" s="663">
        <f t="shared" si="1"/>
        <v>2045</v>
      </c>
      <c r="D34" s="664">
        <f t="shared" si="0"/>
        <v>0</v>
      </c>
      <c r="E34" s="228"/>
      <c r="F34" s="229"/>
      <c r="G34" s="351">
        <f t="shared" si="82"/>
        <v>52963</v>
      </c>
      <c r="H34" s="441">
        <f t="shared" si="82"/>
        <v>53327</v>
      </c>
      <c r="I34" s="665">
        <f>IF(B34&lt;=Fish_Inputs!$G$21,1,0)</f>
        <v>0</v>
      </c>
      <c r="J34" s="666">
        <f t="shared" si="2"/>
        <v>0</v>
      </c>
      <c r="K34" s="518">
        <f>Fish_Inputs!$G$20</f>
        <v>0.16700000000000001</v>
      </c>
      <c r="L34" s="239">
        <f t="shared" si="3"/>
        <v>0</v>
      </c>
      <c r="M34" s="241">
        <f t="shared" si="4"/>
        <v>0</v>
      </c>
      <c r="N34" s="241">
        <f t="shared" si="5"/>
        <v>0</v>
      </c>
      <c r="O34" s="241">
        <f t="shared" si="6"/>
        <v>0</v>
      </c>
      <c r="P34" s="241">
        <f t="shared" si="7"/>
        <v>0</v>
      </c>
      <c r="Q34" s="268">
        <f t="shared" si="8"/>
        <v>0</v>
      </c>
      <c r="S34" s="763">
        <f>IF(B34&lt;=Fruit_Inputs!$G$21,1,0)</f>
        <v>0</v>
      </c>
      <c r="T34" s="666">
        <f t="shared" si="9"/>
        <v>0</v>
      </c>
      <c r="U34" s="662">
        <f>Fruit_Inputs!$G$20</f>
        <v>0.23089999999999999</v>
      </c>
      <c r="V34" s="239">
        <f t="shared" si="10"/>
        <v>0</v>
      </c>
      <c r="W34" s="241">
        <f t="shared" si="11"/>
        <v>0</v>
      </c>
      <c r="X34" s="241">
        <f t="shared" si="12"/>
        <v>0</v>
      </c>
      <c r="Y34" s="241">
        <f t="shared" si="13"/>
        <v>0</v>
      </c>
      <c r="Z34" s="241">
        <f t="shared" si="14"/>
        <v>0</v>
      </c>
      <c r="AA34" s="268">
        <f t="shared" si="15"/>
        <v>0</v>
      </c>
      <c r="AC34" s="763">
        <f>IF(B34&lt;=Veg_Inputs!$G$21,1,0)</f>
        <v>0</v>
      </c>
      <c r="AD34" s="666">
        <f t="shared" si="16"/>
        <v>0</v>
      </c>
      <c r="AE34" s="662">
        <f>Veg_Inputs!$G$20</f>
        <v>0.14499999999999999</v>
      </c>
      <c r="AF34" s="239">
        <f t="shared" si="17"/>
        <v>0</v>
      </c>
      <c r="AG34" s="241">
        <f t="shared" si="18"/>
        <v>0</v>
      </c>
      <c r="AH34" s="241">
        <f t="shared" si="19"/>
        <v>0</v>
      </c>
      <c r="AI34" s="241">
        <f t="shared" si="20"/>
        <v>0</v>
      </c>
      <c r="AJ34" s="241">
        <f t="shared" si="21"/>
        <v>0</v>
      </c>
      <c r="AK34" s="268">
        <f t="shared" si="22"/>
        <v>0</v>
      </c>
      <c r="AM34" s="763">
        <f>IF(B34&lt;=Rice_Inputs!$G$21,1,0)</f>
        <v>0</v>
      </c>
      <c r="AN34" s="666">
        <f t="shared" si="23"/>
        <v>0</v>
      </c>
      <c r="AO34" s="662">
        <f>Rice_Inputs!$G$20</f>
        <v>0.23089999999999999</v>
      </c>
      <c r="AP34" s="239">
        <f t="shared" si="24"/>
        <v>0</v>
      </c>
      <c r="AQ34" s="241">
        <f t="shared" si="25"/>
        <v>0</v>
      </c>
      <c r="AR34" s="241">
        <f t="shared" si="26"/>
        <v>0</v>
      </c>
      <c r="AS34" s="241">
        <f t="shared" si="27"/>
        <v>0</v>
      </c>
      <c r="AT34" s="241">
        <f t="shared" si="28"/>
        <v>0</v>
      </c>
      <c r="AU34" s="268">
        <f t="shared" si="29"/>
        <v>0</v>
      </c>
      <c r="AW34" s="763">
        <f>IF(B34&lt;=Pyre_Inputs!$G$21,1,0)</f>
        <v>0</v>
      </c>
      <c r="AX34" s="666">
        <f t="shared" si="30"/>
        <v>0</v>
      </c>
      <c r="AY34" s="662">
        <f>Pyre_Inputs!$G$20</f>
        <v>0.119657894736842</v>
      </c>
      <c r="AZ34" s="239">
        <f t="shared" si="31"/>
        <v>0</v>
      </c>
      <c r="BA34" s="241">
        <f t="shared" si="32"/>
        <v>-2.1183434570136269E-11</v>
      </c>
      <c r="BB34" s="241">
        <f t="shared" si="33"/>
        <v>-2.1183434570136269E-11</v>
      </c>
      <c r="BC34" s="241">
        <f t="shared" si="34"/>
        <v>1.7703332167696919E-10</v>
      </c>
      <c r="BD34" s="241">
        <f t="shared" si="35"/>
        <v>1.9821675624710545E-10</v>
      </c>
      <c r="BE34" s="268">
        <f t="shared" si="36"/>
        <v>0</v>
      </c>
      <c r="BG34" s="763">
        <f>IF(B34&lt;=Tea_Retrofit!$G$21,1,0)</f>
        <v>0</v>
      </c>
      <c r="BH34" s="666">
        <f t="shared" si="37"/>
        <v>0</v>
      </c>
      <c r="BI34" s="662">
        <f>Tea_Retrofit!$G$20</f>
        <v>0.16900000000000001</v>
      </c>
      <c r="BJ34" s="239">
        <f t="shared" si="38"/>
        <v>0</v>
      </c>
      <c r="BK34" s="241">
        <f t="shared" si="39"/>
        <v>0</v>
      </c>
      <c r="BL34" s="241">
        <f t="shared" si="40"/>
        <v>0</v>
      </c>
      <c r="BM34" s="241">
        <f t="shared" si="41"/>
        <v>0</v>
      </c>
      <c r="BN34" s="241">
        <f t="shared" si="42"/>
        <v>0</v>
      </c>
      <c r="BO34" s="268">
        <f t="shared" si="43"/>
        <v>0</v>
      </c>
      <c r="BQ34" s="763">
        <f>IF(B34&lt;=Tobacco_Retrofit!$G$21,1,0)</f>
        <v>0</v>
      </c>
      <c r="BR34" s="666">
        <f t="shared" si="44"/>
        <v>0</v>
      </c>
      <c r="BS34" s="662">
        <f>Tobacco_Retrofit!$G$20</f>
        <v>0.14499999999999999</v>
      </c>
      <c r="BT34" s="239">
        <f t="shared" si="45"/>
        <v>0</v>
      </c>
      <c r="BU34" s="241">
        <f t="shared" si="46"/>
        <v>0</v>
      </c>
      <c r="BV34" s="241">
        <f t="shared" si="47"/>
        <v>0</v>
      </c>
      <c r="BW34" s="241">
        <f t="shared" si="48"/>
        <v>0</v>
      </c>
      <c r="BX34" s="241">
        <f t="shared" si="49"/>
        <v>0</v>
      </c>
      <c r="BY34" s="268">
        <f t="shared" si="50"/>
        <v>0</v>
      </c>
      <c r="CA34" s="763">
        <f>IF(B34&lt;=Spas_Inputs!$G$21,1,0)</f>
        <v>0</v>
      </c>
      <c r="CB34" s="666">
        <f t="shared" si="51"/>
        <v>0</v>
      </c>
      <c r="CC34" s="662">
        <f>Spas_Inputs!$G$20</f>
        <v>0.113</v>
      </c>
      <c r="CD34" s="239">
        <f t="shared" si="52"/>
        <v>0</v>
      </c>
      <c r="CE34" s="241">
        <f t="shared" si="53"/>
        <v>0</v>
      </c>
      <c r="CF34" s="241">
        <f t="shared" si="54"/>
        <v>0</v>
      </c>
      <c r="CG34" s="241">
        <f t="shared" si="55"/>
        <v>0</v>
      </c>
      <c r="CH34" s="241">
        <f t="shared" si="56"/>
        <v>0</v>
      </c>
      <c r="CI34" s="268">
        <f t="shared" si="57"/>
        <v>0</v>
      </c>
      <c r="CK34" s="763">
        <f>IF(B34&lt;=Greenhouse_Retrofit!$G$21,1,0)</f>
        <v>0</v>
      </c>
      <c r="CL34" s="666">
        <f t="shared" si="58"/>
        <v>0</v>
      </c>
      <c r="CM34" s="662">
        <f>Greenhouse_Retrofit!$G$20</f>
        <v>0.16900000000000001</v>
      </c>
      <c r="CN34" s="239">
        <f t="shared" si="59"/>
        <v>0</v>
      </c>
      <c r="CO34" s="241">
        <f t="shared" si="60"/>
        <v>0</v>
      </c>
      <c r="CP34" s="241">
        <f t="shared" si="61"/>
        <v>0</v>
      </c>
      <c r="CQ34" s="241">
        <f t="shared" si="62"/>
        <v>0</v>
      </c>
      <c r="CR34" s="241">
        <f t="shared" si="63"/>
        <v>0</v>
      </c>
      <c r="CS34" s="268">
        <f t="shared" si="64"/>
        <v>0</v>
      </c>
      <c r="CU34" s="763">
        <f>IF(B34&lt;=Hatchery_Retrofit!$G$21,1,0)</f>
        <v>0</v>
      </c>
      <c r="CV34" s="661">
        <f t="shared" si="81"/>
        <v>0</v>
      </c>
      <c r="CW34" s="662">
        <f>Hatchery_Retrofit!$G$20</f>
        <v>0.119657894736842</v>
      </c>
      <c r="CX34" s="239">
        <f t="shared" si="66"/>
        <v>0</v>
      </c>
      <c r="CY34" s="241">
        <f t="shared" si="67"/>
        <v>0</v>
      </c>
      <c r="CZ34" s="241">
        <f t="shared" si="68"/>
        <v>0</v>
      </c>
      <c r="DA34" s="241">
        <f t="shared" si="69"/>
        <v>0</v>
      </c>
      <c r="DB34" s="241">
        <f t="shared" si="70"/>
        <v>0</v>
      </c>
      <c r="DC34" s="268">
        <f t="shared" si="71"/>
        <v>0</v>
      </c>
      <c r="DE34" s="763">
        <f>IF(B34&lt;=Milk_Retrofit!$G$21,1,0)</f>
        <v>0</v>
      </c>
      <c r="DF34" s="666">
        <f t="shared" si="72"/>
        <v>0</v>
      </c>
      <c r="DG34" s="662">
        <f>Milk_Retrofit!$G$20</f>
        <v>0.16700000000000001</v>
      </c>
      <c r="DH34" s="239">
        <f t="shared" si="73"/>
        <v>0</v>
      </c>
      <c r="DI34" s="241">
        <f t="shared" si="74"/>
        <v>0</v>
      </c>
      <c r="DJ34" s="241">
        <f t="shared" si="75"/>
        <v>0</v>
      </c>
      <c r="DK34" s="241">
        <f t="shared" si="76"/>
        <v>0</v>
      </c>
      <c r="DL34" s="241">
        <f t="shared" si="77"/>
        <v>0</v>
      </c>
      <c r="DM34" s="268">
        <f t="shared" si="78"/>
        <v>0</v>
      </c>
    </row>
    <row r="35" spans="2:117" s="107" customFormat="1" x14ac:dyDescent="0.3">
      <c r="B35" s="192">
        <f t="shared" si="79"/>
        <v>26</v>
      </c>
      <c r="C35" s="663">
        <f t="shared" si="1"/>
        <v>2046</v>
      </c>
      <c r="D35" s="664">
        <f t="shared" si="0"/>
        <v>0</v>
      </c>
      <c r="E35" s="228"/>
      <c r="F35" s="229"/>
      <c r="G35" s="351">
        <f t="shared" si="82"/>
        <v>53328</v>
      </c>
      <c r="H35" s="441">
        <f t="shared" si="82"/>
        <v>53692</v>
      </c>
      <c r="I35" s="665">
        <f>IF(B35&lt;=Fish_Inputs!$G$21,1,0)</f>
        <v>0</v>
      </c>
      <c r="J35" s="666">
        <f t="shared" si="2"/>
        <v>0</v>
      </c>
      <c r="K35" s="518">
        <f>Fish_Inputs!$G$20</f>
        <v>0.16700000000000001</v>
      </c>
      <c r="L35" s="239">
        <f t="shared" si="3"/>
        <v>0</v>
      </c>
      <c r="M35" s="241">
        <f t="shared" si="4"/>
        <v>0</v>
      </c>
      <c r="N35" s="241">
        <f t="shared" si="5"/>
        <v>0</v>
      </c>
      <c r="O35" s="241">
        <f t="shared" si="6"/>
        <v>0</v>
      </c>
      <c r="P35" s="241">
        <f t="shared" si="7"/>
        <v>0</v>
      </c>
      <c r="Q35" s="268">
        <f t="shared" si="8"/>
        <v>0</v>
      </c>
      <c r="S35" s="763">
        <f>IF(B35&lt;=Fruit_Inputs!$G$21,1,0)</f>
        <v>0</v>
      </c>
      <c r="T35" s="666">
        <f t="shared" si="9"/>
        <v>0</v>
      </c>
      <c r="U35" s="662">
        <f>Fruit_Inputs!$G$20</f>
        <v>0.23089999999999999</v>
      </c>
      <c r="V35" s="239">
        <f t="shared" si="10"/>
        <v>0</v>
      </c>
      <c r="W35" s="241">
        <f t="shared" si="11"/>
        <v>0</v>
      </c>
      <c r="X35" s="241">
        <f t="shared" si="12"/>
        <v>0</v>
      </c>
      <c r="Y35" s="241">
        <f t="shared" si="13"/>
        <v>0</v>
      </c>
      <c r="Z35" s="241">
        <f t="shared" si="14"/>
        <v>0</v>
      </c>
      <c r="AA35" s="268">
        <f t="shared" si="15"/>
        <v>0</v>
      </c>
      <c r="AC35" s="763">
        <f>IF(B35&lt;=Veg_Inputs!$G$21,1,0)</f>
        <v>0</v>
      </c>
      <c r="AD35" s="666">
        <f t="shared" si="16"/>
        <v>0</v>
      </c>
      <c r="AE35" s="662">
        <f>Veg_Inputs!$G$20</f>
        <v>0.14499999999999999</v>
      </c>
      <c r="AF35" s="239">
        <f t="shared" si="17"/>
        <v>0</v>
      </c>
      <c r="AG35" s="241">
        <f t="shared" si="18"/>
        <v>0</v>
      </c>
      <c r="AH35" s="241">
        <f t="shared" si="19"/>
        <v>0</v>
      </c>
      <c r="AI35" s="241">
        <f t="shared" si="20"/>
        <v>0</v>
      </c>
      <c r="AJ35" s="241">
        <f t="shared" si="21"/>
        <v>0</v>
      </c>
      <c r="AK35" s="268">
        <f t="shared" si="22"/>
        <v>0</v>
      </c>
      <c r="AM35" s="763">
        <f>IF(B35&lt;=Rice_Inputs!$G$21,1,0)</f>
        <v>0</v>
      </c>
      <c r="AN35" s="666">
        <f t="shared" si="23"/>
        <v>0</v>
      </c>
      <c r="AO35" s="662">
        <f>Rice_Inputs!$G$20</f>
        <v>0.23089999999999999</v>
      </c>
      <c r="AP35" s="239">
        <f t="shared" si="24"/>
        <v>0</v>
      </c>
      <c r="AQ35" s="241">
        <f t="shared" si="25"/>
        <v>0</v>
      </c>
      <c r="AR35" s="241">
        <f t="shared" si="26"/>
        <v>0</v>
      </c>
      <c r="AS35" s="241">
        <f t="shared" si="27"/>
        <v>0</v>
      </c>
      <c r="AT35" s="241">
        <f t="shared" si="28"/>
        <v>0</v>
      </c>
      <c r="AU35" s="268">
        <f t="shared" si="29"/>
        <v>0</v>
      </c>
      <c r="AW35" s="763">
        <f>IF(B35&lt;=Pyre_Inputs!$G$21,1,0)</f>
        <v>0</v>
      </c>
      <c r="AX35" s="666">
        <f t="shared" si="30"/>
        <v>0</v>
      </c>
      <c r="AY35" s="662">
        <f>Pyre_Inputs!$G$20</f>
        <v>0.119657894736842</v>
      </c>
      <c r="AZ35" s="239">
        <f t="shared" si="31"/>
        <v>0</v>
      </c>
      <c r="BA35" s="241">
        <f t="shared" si="32"/>
        <v>-2.3718199754094414E-11</v>
      </c>
      <c r="BB35" s="241">
        <f t="shared" si="33"/>
        <v>-2.3718199754094414E-11</v>
      </c>
      <c r="BC35" s="241">
        <f t="shared" si="34"/>
        <v>1.9821675624710545E-10</v>
      </c>
      <c r="BD35" s="241">
        <f t="shared" si="35"/>
        <v>2.2193495600119987E-10</v>
      </c>
      <c r="BE35" s="268">
        <f t="shared" si="36"/>
        <v>0</v>
      </c>
      <c r="BG35" s="763">
        <f>IF(B35&lt;=Tea_Retrofit!$G$21,1,0)</f>
        <v>0</v>
      </c>
      <c r="BH35" s="666">
        <f t="shared" si="37"/>
        <v>0</v>
      </c>
      <c r="BI35" s="662">
        <f>Tea_Retrofit!$G$20</f>
        <v>0.16900000000000001</v>
      </c>
      <c r="BJ35" s="239">
        <f t="shared" si="38"/>
        <v>0</v>
      </c>
      <c r="BK35" s="241">
        <f t="shared" si="39"/>
        <v>0</v>
      </c>
      <c r="BL35" s="241">
        <f t="shared" si="40"/>
        <v>0</v>
      </c>
      <c r="BM35" s="241">
        <f t="shared" si="41"/>
        <v>0</v>
      </c>
      <c r="BN35" s="241">
        <f t="shared" si="42"/>
        <v>0</v>
      </c>
      <c r="BO35" s="268">
        <f t="shared" si="43"/>
        <v>0</v>
      </c>
      <c r="BQ35" s="763">
        <f>IF(B35&lt;=Tobacco_Retrofit!$G$21,1,0)</f>
        <v>0</v>
      </c>
      <c r="BR35" s="666">
        <f t="shared" si="44"/>
        <v>0</v>
      </c>
      <c r="BS35" s="662">
        <f>Tobacco_Retrofit!$G$20</f>
        <v>0.14499999999999999</v>
      </c>
      <c r="BT35" s="239">
        <f t="shared" si="45"/>
        <v>0</v>
      </c>
      <c r="BU35" s="241">
        <f t="shared" si="46"/>
        <v>0</v>
      </c>
      <c r="BV35" s="241">
        <f t="shared" si="47"/>
        <v>0</v>
      </c>
      <c r="BW35" s="241">
        <f t="shared" si="48"/>
        <v>0</v>
      </c>
      <c r="BX35" s="241">
        <f t="shared" si="49"/>
        <v>0</v>
      </c>
      <c r="BY35" s="268">
        <f t="shared" si="50"/>
        <v>0</v>
      </c>
      <c r="CA35" s="763">
        <f>IF(B35&lt;=Spas_Inputs!$G$21,1,0)</f>
        <v>0</v>
      </c>
      <c r="CB35" s="666">
        <f t="shared" si="51"/>
        <v>0</v>
      </c>
      <c r="CC35" s="662">
        <f>Spas_Inputs!$G$20</f>
        <v>0.113</v>
      </c>
      <c r="CD35" s="239">
        <f t="shared" si="52"/>
        <v>0</v>
      </c>
      <c r="CE35" s="241">
        <f t="shared" si="53"/>
        <v>0</v>
      </c>
      <c r="CF35" s="241">
        <f t="shared" si="54"/>
        <v>0</v>
      </c>
      <c r="CG35" s="241">
        <f t="shared" si="55"/>
        <v>0</v>
      </c>
      <c r="CH35" s="241">
        <f t="shared" si="56"/>
        <v>0</v>
      </c>
      <c r="CI35" s="268">
        <f t="shared" si="57"/>
        <v>0</v>
      </c>
      <c r="CK35" s="763">
        <f>IF(B35&lt;=Greenhouse_Retrofit!$G$21,1,0)</f>
        <v>0</v>
      </c>
      <c r="CL35" s="666">
        <f t="shared" si="58"/>
        <v>0</v>
      </c>
      <c r="CM35" s="662">
        <f>Greenhouse_Retrofit!$G$20</f>
        <v>0.16900000000000001</v>
      </c>
      <c r="CN35" s="239">
        <f t="shared" si="59"/>
        <v>0</v>
      </c>
      <c r="CO35" s="241">
        <f t="shared" si="60"/>
        <v>0</v>
      </c>
      <c r="CP35" s="241">
        <f t="shared" si="61"/>
        <v>0</v>
      </c>
      <c r="CQ35" s="241">
        <f t="shared" si="62"/>
        <v>0</v>
      </c>
      <c r="CR35" s="241">
        <f t="shared" si="63"/>
        <v>0</v>
      </c>
      <c r="CS35" s="268">
        <f t="shared" si="64"/>
        <v>0</v>
      </c>
      <c r="CU35" s="763">
        <f>IF(B35&lt;=Hatchery_Retrofit!$G$21,1,0)</f>
        <v>0</v>
      </c>
      <c r="CV35" s="661">
        <f t="shared" si="81"/>
        <v>0</v>
      </c>
      <c r="CW35" s="662">
        <f>Hatchery_Retrofit!$G$20</f>
        <v>0.119657894736842</v>
      </c>
      <c r="CX35" s="239">
        <f t="shared" si="66"/>
        <v>0</v>
      </c>
      <c r="CY35" s="241">
        <f t="shared" si="67"/>
        <v>0</v>
      </c>
      <c r="CZ35" s="241">
        <f t="shared" si="68"/>
        <v>0</v>
      </c>
      <c r="DA35" s="241">
        <f t="shared" si="69"/>
        <v>0</v>
      </c>
      <c r="DB35" s="241">
        <f t="shared" si="70"/>
        <v>0</v>
      </c>
      <c r="DC35" s="268">
        <f t="shared" si="71"/>
        <v>0</v>
      </c>
      <c r="DE35" s="763">
        <f>IF(B35&lt;=Milk_Retrofit!$G$21,1,0)</f>
        <v>0</v>
      </c>
      <c r="DF35" s="666">
        <f t="shared" si="72"/>
        <v>0</v>
      </c>
      <c r="DG35" s="662">
        <f>Milk_Retrofit!$G$20</f>
        <v>0.16700000000000001</v>
      </c>
      <c r="DH35" s="239">
        <f t="shared" si="73"/>
        <v>0</v>
      </c>
      <c r="DI35" s="241">
        <f t="shared" si="74"/>
        <v>0</v>
      </c>
      <c r="DJ35" s="241">
        <f t="shared" si="75"/>
        <v>0</v>
      </c>
      <c r="DK35" s="241">
        <f t="shared" si="76"/>
        <v>0</v>
      </c>
      <c r="DL35" s="241">
        <f t="shared" si="77"/>
        <v>0</v>
      </c>
      <c r="DM35" s="268">
        <f t="shared" si="78"/>
        <v>0</v>
      </c>
    </row>
    <row r="36" spans="2:117" s="107" customFormat="1" x14ac:dyDescent="0.3">
      <c r="B36" s="192">
        <f t="shared" si="79"/>
        <v>27</v>
      </c>
      <c r="C36" s="663">
        <f t="shared" si="1"/>
        <v>2047</v>
      </c>
      <c r="D36" s="664">
        <f t="shared" si="0"/>
        <v>0</v>
      </c>
      <c r="E36" s="228"/>
      <c r="F36" s="229"/>
      <c r="G36" s="351">
        <f t="shared" si="82"/>
        <v>53693</v>
      </c>
      <c r="H36" s="441">
        <f t="shared" si="82"/>
        <v>54057</v>
      </c>
      <c r="I36" s="665">
        <f>IF(B36&lt;=Fish_Inputs!$G$21,1,0)</f>
        <v>0</v>
      </c>
      <c r="J36" s="666">
        <f t="shared" si="2"/>
        <v>0</v>
      </c>
      <c r="K36" s="518">
        <f>Fish_Inputs!$G$20</f>
        <v>0.16700000000000001</v>
      </c>
      <c r="L36" s="239">
        <f t="shared" si="3"/>
        <v>0</v>
      </c>
      <c r="M36" s="241">
        <f t="shared" si="4"/>
        <v>0</v>
      </c>
      <c r="N36" s="241">
        <f t="shared" si="5"/>
        <v>0</v>
      </c>
      <c r="O36" s="241">
        <f t="shared" si="6"/>
        <v>0</v>
      </c>
      <c r="P36" s="241">
        <f t="shared" si="7"/>
        <v>0</v>
      </c>
      <c r="Q36" s="268">
        <f t="shared" si="8"/>
        <v>0</v>
      </c>
      <c r="S36" s="763">
        <f>IF(B36&lt;=Fruit_Inputs!$G$21,1,0)</f>
        <v>0</v>
      </c>
      <c r="T36" s="666">
        <f t="shared" si="9"/>
        <v>0</v>
      </c>
      <c r="U36" s="662">
        <f>Fruit_Inputs!$G$20</f>
        <v>0.23089999999999999</v>
      </c>
      <c r="V36" s="239">
        <f t="shared" si="10"/>
        <v>0</v>
      </c>
      <c r="W36" s="241">
        <f t="shared" si="11"/>
        <v>0</v>
      </c>
      <c r="X36" s="241">
        <f t="shared" si="12"/>
        <v>0</v>
      </c>
      <c r="Y36" s="241">
        <f t="shared" si="13"/>
        <v>0</v>
      </c>
      <c r="Z36" s="241">
        <f t="shared" si="14"/>
        <v>0</v>
      </c>
      <c r="AA36" s="268">
        <f t="shared" si="15"/>
        <v>0</v>
      </c>
      <c r="AC36" s="763">
        <f>IF(B36&lt;=Veg_Inputs!$G$21,1,0)</f>
        <v>0</v>
      </c>
      <c r="AD36" s="666">
        <f t="shared" si="16"/>
        <v>0</v>
      </c>
      <c r="AE36" s="662">
        <f>Veg_Inputs!$G$20</f>
        <v>0.14499999999999999</v>
      </c>
      <c r="AF36" s="239">
        <f t="shared" si="17"/>
        <v>0</v>
      </c>
      <c r="AG36" s="241">
        <f t="shared" si="18"/>
        <v>0</v>
      </c>
      <c r="AH36" s="241">
        <f t="shared" si="19"/>
        <v>0</v>
      </c>
      <c r="AI36" s="241">
        <f t="shared" si="20"/>
        <v>0</v>
      </c>
      <c r="AJ36" s="241">
        <f t="shared" si="21"/>
        <v>0</v>
      </c>
      <c r="AK36" s="268">
        <f t="shared" si="22"/>
        <v>0</v>
      </c>
      <c r="AM36" s="763">
        <f>IF(B36&lt;=Rice_Inputs!$G$21,1,0)</f>
        <v>0</v>
      </c>
      <c r="AN36" s="666">
        <f t="shared" si="23"/>
        <v>0</v>
      </c>
      <c r="AO36" s="662">
        <f>Rice_Inputs!$G$20</f>
        <v>0.23089999999999999</v>
      </c>
      <c r="AP36" s="239">
        <f t="shared" si="24"/>
        <v>0</v>
      </c>
      <c r="AQ36" s="241">
        <f t="shared" si="25"/>
        <v>0</v>
      </c>
      <c r="AR36" s="241">
        <f t="shared" si="26"/>
        <v>0</v>
      </c>
      <c r="AS36" s="241">
        <f t="shared" si="27"/>
        <v>0</v>
      </c>
      <c r="AT36" s="241">
        <f t="shared" si="28"/>
        <v>0</v>
      </c>
      <c r="AU36" s="268">
        <f t="shared" si="29"/>
        <v>0</v>
      </c>
      <c r="AW36" s="763">
        <f>IF(B36&lt;=Pyre_Inputs!$G$21,1,0)</f>
        <v>0</v>
      </c>
      <c r="AX36" s="666">
        <f t="shared" si="30"/>
        <v>0</v>
      </c>
      <c r="AY36" s="662">
        <f>Pyre_Inputs!$G$20</f>
        <v>0.119657894736842</v>
      </c>
      <c r="AZ36" s="239">
        <f t="shared" si="31"/>
        <v>0</v>
      </c>
      <c r="BA36" s="241">
        <f t="shared" si="32"/>
        <v>-2.6556269603617237E-11</v>
      </c>
      <c r="BB36" s="241">
        <f t="shared" si="33"/>
        <v>-2.6556269603617237E-11</v>
      </c>
      <c r="BC36" s="241">
        <f t="shared" si="34"/>
        <v>2.2193495600119987E-10</v>
      </c>
      <c r="BD36" s="241">
        <f t="shared" si="35"/>
        <v>2.4849122560481711E-10</v>
      </c>
      <c r="BE36" s="268">
        <f t="shared" si="36"/>
        <v>0</v>
      </c>
      <c r="BG36" s="763">
        <f>IF(B36&lt;=Tea_Retrofit!$G$21,1,0)</f>
        <v>0</v>
      </c>
      <c r="BH36" s="666">
        <f t="shared" si="37"/>
        <v>0</v>
      </c>
      <c r="BI36" s="662">
        <f>Tea_Retrofit!$G$20</f>
        <v>0.16900000000000001</v>
      </c>
      <c r="BJ36" s="239">
        <f t="shared" si="38"/>
        <v>0</v>
      </c>
      <c r="BK36" s="241">
        <f t="shared" si="39"/>
        <v>0</v>
      </c>
      <c r="BL36" s="241">
        <f t="shared" si="40"/>
        <v>0</v>
      </c>
      <c r="BM36" s="241">
        <f t="shared" si="41"/>
        <v>0</v>
      </c>
      <c r="BN36" s="241">
        <f t="shared" si="42"/>
        <v>0</v>
      </c>
      <c r="BO36" s="268">
        <f t="shared" si="43"/>
        <v>0</v>
      </c>
      <c r="BQ36" s="763">
        <f>IF(B36&lt;=Tobacco_Retrofit!$G$21,1,0)</f>
        <v>0</v>
      </c>
      <c r="BR36" s="666">
        <f t="shared" si="44"/>
        <v>0</v>
      </c>
      <c r="BS36" s="662">
        <f>Tobacco_Retrofit!$G$20</f>
        <v>0.14499999999999999</v>
      </c>
      <c r="BT36" s="239">
        <f t="shared" si="45"/>
        <v>0</v>
      </c>
      <c r="BU36" s="241">
        <f t="shared" si="46"/>
        <v>0</v>
      </c>
      <c r="BV36" s="241">
        <f t="shared" si="47"/>
        <v>0</v>
      </c>
      <c r="BW36" s="241">
        <f t="shared" si="48"/>
        <v>0</v>
      </c>
      <c r="BX36" s="241">
        <f t="shared" si="49"/>
        <v>0</v>
      </c>
      <c r="BY36" s="268">
        <f t="shared" si="50"/>
        <v>0</v>
      </c>
      <c r="CA36" s="763">
        <f>IF(B36&lt;=Spas_Inputs!$G$21,1,0)</f>
        <v>0</v>
      </c>
      <c r="CB36" s="666">
        <f t="shared" si="51"/>
        <v>0</v>
      </c>
      <c r="CC36" s="662">
        <f>Spas_Inputs!$G$20</f>
        <v>0.113</v>
      </c>
      <c r="CD36" s="239">
        <f t="shared" si="52"/>
        <v>0</v>
      </c>
      <c r="CE36" s="241">
        <f t="shared" si="53"/>
        <v>0</v>
      </c>
      <c r="CF36" s="241">
        <f t="shared" si="54"/>
        <v>0</v>
      </c>
      <c r="CG36" s="241">
        <f t="shared" si="55"/>
        <v>0</v>
      </c>
      <c r="CH36" s="241">
        <f t="shared" si="56"/>
        <v>0</v>
      </c>
      <c r="CI36" s="268">
        <f t="shared" si="57"/>
        <v>0</v>
      </c>
      <c r="CK36" s="763">
        <f>IF(B36&lt;=Greenhouse_Retrofit!$G$21,1,0)</f>
        <v>0</v>
      </c>
      <c r="CL36" s="666">
        <f t="shared" si="58"/>
        <v>0</v>
      </c>
      <c r="CM36" s="662">
        <f>Greenhouse_Retrofit!$G$20</f>
        <v>0.16900000000000001</v>
      </c>
      <c r="CN36" s="239">
        <f t="shared" si="59"/>
        <v>0</v>
      </c>
      <c r="CO36" s="241">
        <f t="shared" si="60"/>
        <v>0</v>
      </c>
      <c r="CP36" s="241">
        <f t="shared" si="61"/>
        <v>0</v>
      </c>
      <c r="CQ36" s="241">
        <f t="shared" si="62"/>
        <v>0</v>
      </c>
      <c r="CR36" s="241">
        <f t="shared" si="63"/>
        <v>0</v>
      </c>
      <c r="CS36" s="268">
        <f t="shared" si="64"/>
        <v>0</v>
      </c>
      <c r="CU36" s="763">
        <f>IF(B36&lt;=Hatchery_Retrofit!$G$21,1,0)</f>
        <v>0</v>
      </c>
      <c r="CV36" s="661">
        <f t="shared" si="81"/>
        <v>0</v>
      </c>
      <c r="CW36" s="662">
        <f>Hatchery_Retrofit!$G$20</f>
        <v>0.119657894736842</v>
      </c>
      <c r="CX36" s="239">
        <f t="shared" si="66"/>
        <v>0</v>
      </c>
      <c r="CY36" s="241">
        <f t="shared" si="67"/>
        <v>0</v>
      </c>
      <c r="CZ36" s="241">
        <f t="shared" si="68"/>
        <v>0</v>
      </c>
      <c r="DA36" s="241">
        <f t="shared" si="69"/>
        <v>0</v>
      </c>
      <c r="DB36" s="241">
        <f t="shared" si="70"/>
        <v>0</v>
      </c>
      <c r="DC36" s="268">
        <f t="shared" si="71"/>
        <v>0</v>
      </c>
      <c r="DE36" s="763">
        <f>IF(B36&lt;=Milk_Retrofit!$G$21,1,0)</f>
        <v>0</v>
      </c>
      <c r="DF36" s="666">
        <f t="shared" si="72"/>
        <v>0</v>
      </c>
      <c r="DG36" s="662">
        <f>Milk_Retrofit!$G$20</f>
        <v>0.16700000000000001</v>
      </c>
      <c r="DH36" s="239">
        <f t="shared" si="73"/>
        <v>0</v>
      </c>
      <c r="DI36" s="241">
        <f t="shared" si="74"/>
        <v>0</v>
      </c>
      <c r="DJ36" s="241">
        <f t="shared" si="75"/>
        <v>0</v>
      </c>
      <c r="DK36" s="241">
        <f t="shared" si="76"/>
        <v>0</v>
      </c>
      <c r="DL36" s="241">
        <f t="shared" si="77"/>
        <v>0</v>
      </c>
      <c r="DM36" s="268">
        <f t="shared" si="78"/>
        <v>0</v>
      </c>
    </row>
    <row r="37" spans="2:117" s="107" customFormat="1" x14ac:dyDescent="0.3">
      <c r="B37" s="192">
        <f t="shared" si="79"/>
        <v>28</v>
      </c>
      <c r="C37" s="663">
        <f t="shared" si="1"/>
        <v>2048</v>
      </c>
      <c r="D37" s="664">
        <f t="shared" si="0"/>
        <v>0</v>
      </c>
      <c r="E37" s="86"/>
      <c r="F37" s="200"/>
      <c r="G37" s="351">
        <f t="shared" si="82"/>
        <v>54058</v>
      </c>
      <c r="H37" s="441">
        <f t="shared" si="82"/>
        <v>54423</v>
      </c>
      <c r="I37" s="665">
        <f>IF(B37&lt;=Fish_Inputs!$G$21,1,0)</f>
        <v>0</v>
      </c>
      <c r="J37" s="666">
        <f t="shared" si="2"/>
        <v>0</v>
      </c>
      <c r="K37" s="518">
        <f>Fish_Inputs!$G$20</f>
        <v>0.16700000000000001</v>
      </c>
      <c r="L37" s="239">
        <f t="shared" si="3"/>
        <v>0</v>
      </c>
      <c r="M37" s="241">
        <f t="shared" si="4"/>
        <v>0</v>
      </c>
      <c r="N37" s="241">
        <f t="shared" si="5"/>
        <v>0</v>
      </c>
      <c r="O37" s="241">
        <f t="shared" si="6"/>
        <v>0</v>
      </c>
      <c r="P37" s="241">
        <f t="shared" si="7"/>
        <v>0</v>
      </c>
      <c r="Q37" s="268">
        <f t="shared" si="8"/>
        <v>0</v>
      </c>
      <c r="S37" s="763">
        <f>IF(B37&lt;=Fruit_Inputs!$G$21,1,0)</f>
        <v>0</v>
      </c>
      <c r="T37" s="666">
        <f t="shared" si="9"/>
        <v>0</v>
      </c>
      <c r="U37" s="662">
        <f>Fruit_Inputs!$G$20</f>
        <v>0.23089999999999999</v>
      </c>
      <c r="V37" s="239">
        <f t="shared" si="10"/>
        <v>0</v>
      </c>
      <c r="W37" s="241">
        <f t="shared" si="11"/>
        <v>0</v>
      </c>
      <c r="X37" s="241">
        <f t="shared" si="12"/>
        <v>0</v>
      </c>
      <c r="Y37" s="241">
        <f t="shared" si="13"/>
        <v>0</v>
      </c>
      <c r="Z37" s="241">
        <f t="shared" si="14"/>
        <v>0</v>
      </c>
      <c r="AA37" s="268">
        <f t="shared" si="15"/>
        <v>0</v>
      </c>
      <c r="AC37" s="763">
        <f>IF(B37&lt;=Veg_Inputs!$G$21,1,0)</f>
        <v>0</v>
      </c>
      <c r="AD37" s="666">
        <f t="shared" si="16"/>
        <v>0</v>
      </c>
      <c r="AE37" s="662">
        <f>Veg_Inputs!$G$20</f>
        <v>0.14499999999999999</v>
      </c>
      <c r="AF37" s="239">
        <f t="shared" si="17"/>
        <v>0</v>
      </c>
      <c r="AG37" s="241">
        <f t="shared" si="18"/>
        <v>0</v>
      </c>
      <c r="AH37" s="241">
        <f t="shared" si="19"/>
        <v>0</v>
      </c>
      <c r="AI37" s="241">
        <f t="shared" si="20"/>
        <v>0</v>
      </c>
      <c r="AJ37" s="241">
        <f t="shared" si="21"/>
        <v>0</v>
      </c>
      <c r="AK37" s="268">
        <f t="shared" si="22"/>
        <v>0</v>
      </c>
      <c r="AM37" s="763">
        <f>IF(B37&lt;=Rice_Inputs!$G$21,1,0)</f>
        <v>0</v>
      </c>
      <c r="AN37" s="666">
        <f t="shared" si="23"/>
        <v>0</v>
      </c>
      <c r="AO37" s="662">
        <f>Rice_Inputs!$G$20</f>
        <v>0.23089999999999999</v>
      </c>
      <c r="AP37" s="239">
        <f t="shared" si="24"/>
        <v>0</v>
      </c>
      <c r="AQ37" s="241">
        <f t="shared" si="25"/>
        <v>0</v>
      </c>
      <c r="AR37" s="241">
        <f t="shared" si="26"/>
        <v>0</v>
      </c>
      <c r="AS37" s="241">
        <f t="shared" si="27"/>
        <v>0</v>
      </c>
      <c r="AT37" s="241">
        <f t="shared" si="28"/>
        <v>0</v>
      </c>
      <c r="AU37" s="268">
        <f t="shared" si="29"/>
        <v>0</v>
      </c>
      <c r="AW37" s="763">
        <f>IF(B37&lt;=Pyre_Inputs!$G$21,1,0)</f>
        <v>0</v>
      </c>
      <c r="AX37" s="666">
        <f t="shared" si="30"/>
        <v>0</v>
      </c>
      <c r="AY37" s="662">
        <f>Pyre_Inputs!$G$20</f>
        <v>0.119657894736842</v>
      </c>
      <c r="AZ37" s="239">
        <f t="shared" si="31"/>
        <v>0</v>
      </c>
      <c r="BA37" s="241">
        <f t="shared" si="32"/>
        <v>-2.9733936916450062E-11</v>
      </c>
      <c r="BB37" s="241">
        <f t="shared" si="33"/>
        <v>-2.9733936916450062E-11</v>
      </c>
      <c r="BC37" s="241">
        <f t="shared" si="34"/>
        <v>2.4849122560481711E-10</v>
      </c>
      <c r="BD37" s="241">
        <f t="shared" si="35"/>
        <v>2.7822516252126716E-10</v>
      </c>
      <c r="BE37" s="268">
        <f t="shared" si="36"/>
        <v>0</v>
      </c>
      <c r="BG37" s="763">
        <f>IF(B37&lt;=Tea_Retrofit!$G$21,1,0)</f>
        <v>0</v>
      </c>
      <c r="BH37" s="666">
        <f t="shared" si="37"/>
        <v>0</v>
      </c>
      <c r="BI37" s="662">
        <f>Tea_Retrofit!$G$20</f>
        <v>0.16900000000000001</v>
      </c>
      <c r="BJ37" s="239">
        <f t="shared" si="38"/>
        <v>0</v>
      </c>
      <c r="BK37" s="241">
        <f t="shared" si="39"/>
        <v>0</v>
      </c>
      <c r="BL37" s="241">
        <f t="shared" si="40"/>
        <v>0</v>
      </c>
      <c r="BM37" s="241">
        <f t="shared" si="41"/>
        <v>0</v>
      </c>
      <c r="BN37" s="241">
        <f t="shared" si="42"/>
        <v>0</v>
      </c>
      <c r="BO37" s="268">
        <f t="shared" si="43"/>
        <v>0</v>
      </c>
      <c r="BQ37" s="763">
        <f>IF(B37&lt;=Tobacco_Retrofit!$G$21,1,0)</f>
        <v>0</v>
      </c>
      <c r="BR37" s="666">
        <f t="shared" si="44"/>
        <v>0</v>
      </c>
      <c r="BS37" s="662">
        <f>Tobacco_Retrofit!$G$20</f>
        <v>0.14499999999999999</v>
      </c>
      <c r="BT37" s="239">
        <f t="shared" si="45"/>
        <v>0</v>
      </c>
      <c r="BU37" s="241">
        <f t="shared" si="46"/>
        <v>0</v>
      </c>
      <c r="BV37" s="241">
        <f t="shared" si="47"/>
        <v>0</v>
      </c>
      <c r="BW37" s="241">
        <f t="shared" si="48"/>
        <v>0</v>
      </c>
      <c r="BX37" s="241">
        <f t="shared" si="49"/>
        <v>0</v>
      </c>
      <c r="BY37" s="268">
        <f t="shared" si="50"/>
        <v>0</v>
      </c>
      <c r="CA37" s="763">
        <f>IF(B37&lt;=Spas_Inputs!$G$21,1,0)</f>
        <v>0</v>
      </c>
      <c r="CB37" s="666">
        <f t="shared" si="51"/>
        <v>0</v>
      </c>
      <c r="CC37" s="662">
        <f>Spas_Inputs!$G$20</f>
        <v>0.113</v>
      </c>
      <c r="CD37" s="239">
        <f t="shared" si="52"/>
        <v>0</v>
      </c>
      <c r="CE37" s="241">
        <f t="shared" si="53"/>
        <v>0</v>
      </c>
      <c r="CF37" s="241">
        <f t="shared" si="54"/>
        <v>0</v>
      </c>
      <c r="CG37" s="241">
        <f t="shared" si="55"/>
        <v>0</v>
      </c>
      <c r="CH37" s="241">
        <f t="shared" si="56"/>
        <v>0</v>
      </c>
      <c r="CI37" s="268">
        <f t="shared" si="57"/>
        <v>0</v>
      </c>
      <c r="CK37" s="763">
        <f>IF(B37&lt;=Greenhouse_Retrofit!$G$21,1,0)</f>
        <v>0</v>
      </c>
      <c r="CL37" s="666">
        <f t="shared" si="58"/>
        <v>0</v>
      </c>
      <c r="CM37" s="662">
        <f>Greenhouse_Retrofit!$G$20</f>
        <v>0.16900000000000001</v>
      </c>
      <c r="CN37" s="239">
        <f t="shared" si="59"/>
        <v>0</v>
      </c>
      <c r="CO37" s="241">
        <f t="shared" si="60"/>
        <v>0</v>
      </c>
      <c r="CP37" s="241">
        <f t="shared" si="61"/>
        <v>0</v>
      </c>
      <c r="CQ37" s="241">
        <f t="shared" si="62"/>
        <v>0</v>
      </c>
      <c r="CR37" s="241">
        <f t="shared" si="63"/>
        <v>0</v>
      </c>
      <c r="CS37" s="268">
        <f t="shared" si="64"/>
        <v>0</v>
      </c>
      <c r="CU37" s="763">
        <f>IF(B37&lt;=Hatchery_Retrofit!$G$21,1,0)</f>
        <v>0</v>
      </c>
      <c r="CV37" s="661">
        <f t="shared" si="81"/>
        <v>0</v>
      </c>
      <c r="CW37" s="662">
        <f>Hatchery_Retrofit!$G$20</f>
        <v>0.119657894736842</v>
      </c>
      <c r="CX37" s="239">
        <f t="shared" si="66"/>
        <v>0</v>
      </c>
      <c r="CY37" s="241">
        <f t="shared" si="67"/>
        <v>0</v>
      </c>
      <c r="CZ37" s="241">
        <f t="shared" si="68"/>
        <v>0</v>
      </c>
      <c r="DA37" s="241">
        <f t="shared" si="69"/>
        <v>0</v>
      </c>
      <c r="DB37" s="241">
        <f t="shared" si="70"/>
        <v>0</v>
      </c>
      <c r="DC37" s="268">
        <f t="shared" si="71"/>
        <v>0</v>
      </c>
      <c r="DE37" s="763">
        <f>IF(B37&lt;=Milk_Retrofit!$G$21,1,0)</f>
        <v>0</v>
      </c>
      <c r="DF37" s="666">
        <f t="shared" si="72"/>
        <v>0</v>
      </c>
      <c r="DG37" s="662">
        <f>Milk_Retrofit!$G$20</f>
        <v>0.16700000000000001</v>
      </c>
      <c r="DH37" s="239">
        <f t="shared" si="73"/>
        <v>0</v>
      </c>
      <c r="DI37" s="241">
        <f t="shared" si="74"/>
        <v>0</v>
      </c>
      <c r="DJ37" s="241">
        <f t="shared" si="75"/>
        <v>0</v>
      </c>
      <c r="DK37" s="241">
        <f t="shared" si="76"/>
        <v>0</v>
      </c>
      <c r="DL37" s="241">
        <f t="shared" si="77"/>
        <v>0</v>
      </c>
      <c r="DM37" s="268">
        <f t="shared" si="78"/>
        <v>0</v>
      </c>
    </row>
    <row r="38" spans="2:117" s="107" customFormat="1" x14ac:dyDescent="0.3">
      <c r="B38" s="192">
        <f t="shared" si="79"/>
        <v>29</v>
      </c>
      <c r="C38" s="663">
        <f t="shared" si="1"/>
        <v>2049</v>
      </c>
      <c r="D38" s="664">
        <f t="shared" si="0"/>
        <v>0</v>
      </c>
      <c r="E38" s="228"/>
      <c r="F38" s="229"/>
      <c r="G38" s="351">
        <f t="shared" si="82"/>
        <v>54424</v>
      </c>
      <c r="H38" s="441">
        <f t="shared" si="82"/>
        <v>54788</v>
      </c>
      <c r="I38" s="665">
        <f>IF(B38&lt;=Fish_Inputs!$G$21,1,0)</f>
        <v>0</v>
      </c>
      <c r="J38" s="666">
        <f t="shared" si="2"/>
        <v>0</v>
      </c>
      <c r="K38" s="518">
        <f>Fish_Inputs!$G$20</f>
        <v>0.16700000000000001</v>
      </c>
      <c r="L38" s="239">
        <f t="shared" si="3"/>
        <v>0</v>
      </c>
      <c r="M38" s="241">
        <f t="shared" si="4"/>
        <v>0</v>
      </c>
      <c r="N38" s="241">
        <f t="shared" si="5"/>
        <v>0</v>
      </c>
      <c r="O38" s="241">
        <f t="shared" si="6"/>
        <v>0</v>
      </c>
      <c r="P38" s="241">
        <f t="shared" si="7"/>
        <v>0</v>
      </c>
      <c r="Q38" s="268">
        <f t="shared" si="8"/>
        <v>0</v>
      </c>
      <c r="S38" s="763">
        <f>IF(B38&lt;=Fruit_Inputs!$G$21,1,0)</f>
        <v>0</v>
      </c>
      <c r="T38" s="666">
        <f t="shared" si="9"/>
        <v>0</v>
      </c>
      <c r="U38" s="662">
        <f>Fruit_Inputs!$G$20</f>
        <v>0.23089999999999999</v>
      </c>
      <c r="V38" s="239">
        <f t="shared" si="10"/>
        <v>0</v>
      </c>
      <c r="W38" s="241">
        <f t="shared" si="11"/>
        <v>0</v>
      </c>
      <c r="X38" s="241">
        <f t="shared" si="12"/>
        <v>0</v>
      </c>
      <c r="Y38" s="241">
        <f t="shared" si="13"/>
        <v>0</v>
      </c>
      <c r="Z38" s="241">
        <f t="shared" si="14"/>
        <v>0</v>
      </c>
      <c r="AA38" s="268">
        <f t="shared" si="15"/>
        <v>0</v>
      </c>
      <c r="AC38" s="763">
        <f>IF(B38&lt;=Veg_Inputs!$G$21,1,0)</f>
        <v>0</v>
      </c>
      <c r="AD38" s="666">
        <f t="shared" si="16"/>
        <v>0</v>
      </c>
      <c r="AE38" s="662">
        <f>Veg_Inputs!$G$20</f>
        <v>0.14499999999999999</v>
      </c>
      <c r="AF38" s="239">
        <f t="shared" si="17"/>
        <v>0</v>
      </c>
      <c r="AG38" s="241">
        <f t="shared" si="18"/>
        <v>0</v>
      </c>
      <c r="AH38" s="241">
        <f t="shared" si="19"/>
        <v>0</v>
      </c>
      <c r="AI38" s="241">
        <f t="shared" si="20"/>
        <v>0</v>
      </c>
      <c r="AJ38" s="241">
        <f t="shared" si="21"/>
        <v>0</v>
      </c>
      <c r="AK38" s="268">
        <f t="shared" si="22"/>
        <v>0</v>
      </c>
      <c r="AM38" s="763">
        <f>IF(B38&lt;=Rice_Inputs!$G$21,1,0)</f>
        <v>0</v>
      </c>
      <c r="AN38" s="666">
        <f t="shared" si="23"/>
        <v>0</v>
      </c>
      <c r="AO38" s="662">
        <f>Rice_Inputs!$G$20</f>
        <v>0.23089999999999999</v>
      </c>
      <c r="AP38" s="239">
        <f t="shared" si="24"/>
        <v>0</v>
      </c>
      <c r="AQ38" s="241">
        <f t="shared" si="25"/>
        <v>0</v>
      </c>
      <c r="AR38" s="241">
        <f t="shared" si="26"/>
        <v>0</v>
      </c>
      <c r="AS38" s="241">
        <f t="shared" si="27"/>
        <v>0</v>
      </c>
      <c r="AT38" s="241">
        <f t="shared" si="28"/>
        <v>0</v>
      </c>
      <c r="AU38" s="268">
        <f t="shared" si="29"/>
        <v>0</v>
      </c>
      <c r="AW38" s="763">
        <f>IF(B38&lt;=Pyre_Inputs!$G$21,1,0)</f>
        <v>0</v>
      </c>
      <c r="AX38" s="666">
        <f t="shared" si="30"/>
        <v>0</v>
      </c>
      <c r="AY38" s="662">
        <f>Pyre_Inputs!$G$20</f>
        <v>0.119657894736842</v>
      </c>
      <c r="AZ38" s="239">
        <f t="shared" si="31"/>
        <v>0</v>
      </c>
      <c r="BA38" s="241">
        <f t="shared" si="32"/>
        <v>-3.3291837210110547E-11</v>
      </c>
      <c r="BB38" s="241">
        <f t="shared" si="33"/>
        <v>-3.3291837210110547E-11</v>
      </c>
      <c r="BC38" s="241">
        <f t="shared" si="34"/>
        <v>2.7822516252126716E-10</v>
      </c>
      <c r="BD38" s="241">
        <f t="shared" si="35"/>
        <v>3.115169997313777E-10</v>
      </c>
      <c r="BE38" s="268">
        <f t="shared" si="36"/>
        <v>0</v>
      </c>
      <c r="BG38" s="763">
        <f>IF(B38&lt;=Tea_Retrofit!$G$21,1,0)</f>
        <v>0</v>
      </c>
      <c r="BH38" s="666">
        <f t="shared" si="37"/>
        <v>0</v>
      </c>
      <c r="BI38" s="662">
        <f>Tea_Retrofit!$G$20</f>
        <v>0.16900000000000001</v>
      </c>
      <c r="BJ38" s="239">
        <f t="shared" si="38"/>
        <v>0</v>
      </c>
      <c r="BK38" s="241">
        <f t="shared" si="39"/>
        <v>0</v>
      </c>
      <c r="BL38" s="241">
        <f t="shared" si="40"/>
        <v>0</v>
      </c>
      <c r="BM38" s="241">
        <f t="shared" si="41"/>
        <v>0</v>
      </c>
      <c r="BN38" s="241">
        <f t="shared" si="42"/>
        <v>0</v>
      </c>
      <c r="BO38" s="268">
        <f t="shared" si="43"/>
        <v>0</v>
      </c>
      <c r="BQ38" s="763">
        <f>IF(B38&lt;=Tobacco_Retrofit!$G$21,1,0)</f>
        <v>0</v>
      </c>
      <c r="BR38" s="666">
        <f t="shared" si="44"/>
        <v>0</v>
      </c>
      <c r="BS38" s="662">
        <f>Tobacco_Retrofit!$G$20</f>
        <v>0.14499999999999999</v>
      </c>
      <c r="BT38" s="239">
        <f t="shared" si="45"/>
        <v>0</v>
      </c>
      <c r="BU38" s="241">
        <f t="shared" si="46"/>
        <v>0</v>
      </c>
      <c r="BV38" s="241">
        <f t="shared" si="47"/>
        <v>0</v>
      </c>
      <c r="BW38" s="241">
        <f t="shared" si="48"/>
        <v>0</v>
      </c>
      <c r="BX38" s="241">
        <f t="shared" si="49"/>
        <v>0</v>
      </c>
      <c r="BY38" s="268">
        <f t="shared" si="50"/>
        <v>0</v>
      </c>
      <c r="CA38" s="763">
        <f>IF(B38&lt;=Spas_Inputs!$G$21,1,0)</f>
        <v>0</v>
      </c>
      <c r="CB38" s="666">
        <f t="shared" si="51"/>
        <v>0</v>
      </c>
      <c r="CC38" s="662">
        <f>Spas_Inputs!$G$20</f>
        <v>0.113</v>
      </c>
      <c r="CD38" s="239">
        <f t="shared" si="52"/>
        <v>0</v>
      </c>
      <c r="CE38" s="241">
        <f t="shared" si="53"/>
        <v>0</v>
      </c>
      <c r="CF38" s="241">
        <f t="shared" si="54"/>
        <v>0</v>
      </c>
      <c r="CG38" s="241">
        <f t="shared" si="55"/>
        <v>0</v>
      </c>
      <c r="CH38" s="241">
        <f t="shared" si="56"/>
        <v>0</v>
      </c>
      <c r="CI38" s="268">
        <f t="shared" si="57"/>
        <v>0</v>
      </c>
      <c r="CK38" s="763">
        <f>IF(B38&lt;=Greenhouse_Retrofit!$G$21,1,0)</f>
        <v>0</v>
      </c>
      <c r="CL38" s="666">
        <f t="shared" si="58"/>
        <v>0</v>
      </c>
      <c r="CM38" s="662">
        <f>Greenhouse_Retrofit!$G$20</f>
        <v>0.16900000000000001</v>
      </c>
      <c r="CN38" s="239">
        <f t="shared" si="59"/>
        <v>0</v>
      </c>
      <c r="CO38" s="241">
        <f t="shared" si="60"/>
        <v>0</v>
      </c>
      <c r="CP38" s="241">
        <f t="shared" si="61"/>
        <v>0</v>
      </c>
      <c r="CQ38" s="241">
        <f t="shared" si="62"/>
        <v>0</v>
      </c>
      <c r="CR38" s="241">
        <f t="shared" si="63"/>
        <v>0</v>
      </c>
      <c r="CS38" s="268">
        <f t="shared" si="64"/>
        <v>0</v>
      </c>
      <c r="CU38" s="763">
        <f>IF(B38&lt;=Hatchery_Retrofit!$G$21,1,0)</f>
        <v>0</v>
      </c>
      <c r="CV38" s="661">
        <f t="shared" si="81"/>
        <v>0</v>
      </c>
      <c r="CW38" s="662">
        <f>Hatchery_Retrofit!$G$20</f>
        <v>0.119657894736842</v>
      </c>
      <c r="CX38" s="239">
        <f t="shared" si="66"/>
        <v>0</v>
      </c>
      <c r="CY38" s="241">
        <f t="shared" si="67"/>
        <v>0</v>
      </c>
      <c r="CZ38" s="241">
        <f t="shared" si="68"/>
        <v>0</v>
      </c>
      <c r="DA38" s="241">
        <f t="shared" si="69"/>
        <v>0</v>
      </c>
      <c r="DB38" s="241">
        <f t="shared" si="70"/>
        <v>0</v>
      </c>
      <c r="DC38" s="268">
        <f t="shared" si="71"/>
        <v>0</v>
      </c>
      <c r="DE38" s="763">
        <f>IF(B38&lt;=Milk_Retrofit!$G$21,1,0)</f>
        <v>0</v>
      </c>
      <c r="DF38" s="666">
        <f t="shared" si="72"/>
        <v>0</v>
      </c>
      <c r="DG38" s="662">
        <f>Milk_Retrofit!$G$20</f>
        <v>0.16700000000000001</v>
      </c>
      <c r="DH38" s="239">
        <f t="shared" si="73"/>
        <v>0</v>
      </c>
      <c r="DI38" s="241">
        <f t="shared" si="74"/>
        <v>0</v>
      </c>
      <c r="DJ38" s="241">
        <f t="shared" si="75"/>
        <v>0</v>
      </c>
      <c r="DK38" s="241">
        <f t="shared" si="76"/>
        <v>0</v>
      </c>
      <c r="DL38" s="241">
        <f t="shared" si="77"/>
        <v>0</v>
      </c>
      <c r="DM38" s="268">
        <f t="shared" si="78"/>
        <v>0</v>
      </c>
    </row>
    <row r="39" spans="2:117" s="107" customFormat="1" x14ac:dyDescent="0.3">
      <c r="B39" s="192">
        <f t="shared" si="79"/>
        <v>30</v>
      </c>
      <c r="C39" s="663">
        <f t="shared" si="1"/>
        <v>2050</v>
      </c>
      <c r="D39" s="664">
        <f t="shared" si="0"/>
        <v>0</v>
      </c>
      <c r="E39" s="228"/>
      <c r="F39" s="229"/>
      <c r="G39" s="351">
        <f t="shared" si="82"/>
        <v>54789</v>
      </c>
      <c r="H39" s="441">
        <f t="shared" si="82"/>
        <v>55153</v>
      </c>
      <c r="I39" s="665">
        <f>IF(B39&lt;=Fish_Inputs!$G$21,1,0)</f>
        <v>0</v>
      </c>
      <c r="J39" s="666">
        <f t="shared" si="2"/>
        <v>0</v>
      </c>
      <c r="K39" s="518">
        <f>Fish_Inputs!$G$20</f>
        <v>0.16700000000000001</v>
      </c>
      <c r="L39" s="239">
        <f t="shared" si="3"/>
        <v>0</v>
      </c>
      <c r="M39" s="241">
        <f t="shared" si="4"/>
        <v>0</v>
      </c>
      <c r="N39" s="241">
        <f t="shared" si="5"/>
        <v>0</v>
      </c>
      <c r="O39" s="241">
        <f t="shared" si="6"/>
        <v>0</v>
      </c>
      <c r="P39" s="241">
        <f t="shared" si="7"/>
        <v>0</v>
      </c>
      <c r="Q39" s="268">
        <f t="shared" si="8"/>
        <v>0</v>
      </c>
      <c r="S39" s="763">
        <f>IF(B39&lt;=Fruit_Inputs!$G$21,1,0)</f>
        <v>0</v>
      </c>
      <c r="T39" s="666">
        <f t="shared" si="9"/>
        <v>0</v>
      </c>
      <c r="U39" s="662">
        <f>Fruit_Inputs!$G$20</f>
        <v>0.23089999999999999</v>
      </c>
      <c r="V39" s="239">
        <f t="shared" si="10"/>
        <v>0</v>
      </c>
      <c r="W39" s="241">
        <f t="shared" si="11"/>
        <v>0</v>
      </c>
      <c r="X39" s="241">
        <f t="shared" si="12"/>
        <v>0</v>
      </c>
      <c r="Y39" s="241">
        <f t="shared" si="13"/>
        <v>0</v>
      </c>
      <c r="Z39" s="241">
        <f t="shared" si="14"/>
        <v>0</v>
      </c>
      <c r="AA39" s="268">
        <f t="shared" si="15"/>
        <v>0</v>
      </c>
      <c r="AC39" s="763">
        <f>IF(B39&lt;=Veg_Inputs!$G$21,1,0)</f>
        <v>0</v>
      </c>
      <c r="AD39" s="666">
        <f t="shared" si="16"/>
        <v>0</v>
      </c>
      <c r="AE39" s="662">
        <f>Veg_Inputs!$G$20</f>
        <v>0.14499999999999999</v>
      </c>
      <c r="AF39" s="239">
        <f t="shared" si="17"/>
        <v>0</v>
      </c>
      <c r="AG39" s="241">
        <f t="shared" si="18"/>
        <v>0</v>
      </c>
      <c r="AH39" s="241">
        <f t="shared" si="19"/>
        <v>0</v>
      </c>
      <c r="AI39" s="241">
        <f t="shared" si="20"/>
        <v>0</v>
      </c>
      <c r="AJ39" s="241">
        <f t="shared" si="21"/>
        <v>0</v>
      </c>
      <c r="AK39" s="268">
        <f t="shared" si="22"/>
        <v>0</v>
      </c>
      <c r="AM39" s="763">
        <f>IF(B39&lt;=Rice_Inputs!$G$21,1,0)</f>
        <v>0</v>
      </c>
      <c r="AN39" s="666">
        <f t="shared" si="23"/>
        <v>0</v>
      </c>
      <c r="AO39" s="662">
        <f>Rice_Inputs!$G$20</f>
        <v>0.23089999999999999</v>
      </c>
      <c r="AP39" s="239">
        <f t="shared" si="24"/>
        <v>0</v>
      </c>
      <c r="AQ39" s="241">
        <f t="shared" si="25"/>
        <v>0</v>
      </c>
      <c r="AR39" s="241">
        <f t="shared" si="26"/>
        <v>0</v>
      </c>
      <c r="AS39" s="241">
        <f t="shared" si="27"/>
        <v>0</v>
      </c>
      <c r="AT39" s="241">
        <f t="shared" si="28"/>
        <v>0</v>
      </c>
      <c r="AU39" s="268">
        <f t="shared" si="29"/>
        <v>0</v>
      </c>
      <c r="AW39" s="763">
        <f>IF(B39&lt;=Pyre_Inputs!$G$21,1,0)</f>
        <v>0</v>
      </c>
      <c r="AX39" s="666">
        <f t="shared" si="30"/>
        <v>0</v>
      </c>
      <c r="AY39" s="662">
        <f>Pyre_Inputs!$G$20</f>
        <v>0.119657894736842</v>
      </c>
      <c r="AZ39" s="239">
        <f t="shared" si="31"/>
        <v>0</v>
      </c>
      <c r="BA39" s="241">
        <f t="shared" si="32"/>
        <v>-3.7275468362594034E-11</v>
      </c>
      <c r="BB39" s="241">
        <f t="shared" si="33"/>
        <v>-3.7275468362594034E-11</v>
      </c>
      <c r="BC39" s="241">
        <f t="shared" si="34"/>
        <v>3.115169997313777E-10</v>
      </c>
      <c r="BD39" s="241">
        <f t="shared" si="35"/>
        <v>3.4879246809397174E-10</v>
      </c>
      <c r="BE39" s="268">
        <f t="shared" si="36"/>
        <v>0</v>
      </c>
      <c r="BG39" s="763">
        <f>IF(B39&lt;=Tea_Retrofit!$G$21,1,0)</f>
        <v>0</v>
      </c>
      <c r="BH39" s="666">
        <f t="shared" si="37"/>
        <v>0</v>
      </c>
      <c r="BI39" s="662">
        <f>Tea_Retrofit!$G$20</f>
        <v>0.16900000000000001</v>
      </c>
      <c r="BJ39" s="239">
        <f t="shared" si="38"/>
        <v>0</v>
      </c>
      <c r="BK39" s="241">
        <f t="shared" si="39"/>
        <v>0</v>
      </c>
      <c r="BL39" s="241">
        <f t="shared" si="40"/>
        <v>0</v>
      </c>
      <c r="BM39" s="241">
        <f t="shared" si="41"/>
        <v>0</v>
      </c>
      <c r="BN39" s="241">
        <f t="shared" si="42"/>
        <v>0</v>
      </c>
      <c r="BO39" s="268">
        <f t="shared" si="43"/>
        <v>0</v>
      </c>
      <c r="BQ39" s="763">
        <f>IF(B39&lt;=Tobacco_Retrofit!$G$21,1,0)</f>
        <v>0</v>
      </c>
      <c r="BR39" s="666">
        <f t="shared" si="44"/>
        <v>0</v>
      </c>
      <c r="BS39" s="662">
        <f>Tobacco_Retrofit!$G$20</f>
        <v>0.14499999999999999</v>
      </c>
      <c r="BT39" s="239">
        <f t="shared" si="45"/>
        <v>0</v>
      </c>
      <c r="BU39" s="241">
        <f t="shared" si="46"/>
        <v>0</v>
      </c>
      <c r="BV39" s="241">
        <f t="shared" si="47"/>
        <v>0</v>
      </c>
      <c r="BW39" s="241">
        <f t="shared" si="48"/>
        <v>0</v>
      </c>
      <c r="BX39" s="241">
        <f t="shared" si="49"/>
        <v>0</v>
      </c>
      <c r="BY39" s="268">
        <f t="shared" si="50"/>
        <v>0</v>
      </c>
      <c r="CA39" s="763">
        <f>IF(B39&lt;=Spas_Inputs!$G$21,1,0)</f>
        <v>0</v>
      </c>
      <c r="CB39" s="666">
        <f t="shared" si="51"/>
        <v>0</v>
      </c>
      <c r="CC39" s="662">
        <f>Spas_Inputs!$G$20</f>
        <v>0.113</v>
      </c>
      <c r="CD39" s="239">
        <f t="shared" si="52"/>
        <v>0</v>
      </c>
      <c r="CE39" s="241">
        <f t="shared" si="53"/>
        <v>0</v>
      </c>
      <c r="CF39" s="241">
        <f t="shared" si="54"/>
        <v>0</v>
      </c>
      <c r="CG39" s="241">
        <f t="shared" si="55"/>
        <v>0</v>
      </c>
      <c r="CH39" s="241">
        <f t="shared" si="56"/>
        <v>0</v>
      </c>
      <c r="CI39" s="268">
        <f t="shared" si="57"/>
        <v>0</v>
      </c>
      <c r="CK39" s="763">
        <f>IF(B39&lt;=Greenhouse_Retrofit!$G$21,1,0)</f>
        <v>0</v>
      </c>
      <c r="CL39" s="666">
        <f t="shared" si="58"/>
        <v>0</v>
      </c>
      <c r="CM39" s="662">
        <f>Greenhouse_Retrofit!$G$20</f>
        <v>0.16900000000000001</v>
      </c>
      <c r="CN39" s="239">
        <f t="shared" si="59"/>
        <v>0</v>
      </c>
      <c r="CO39" s="241">
        <f t="shared" si="60"/>
        <v>0</v>
      </c>
      <c r="CP39" s="241">
        <f t="shared" si="61"/>
        <v>0</v>
      </c>
      <c r="CQ39" s="241">
        <f t="shared" si="62"/>
        <v>0</v>
      </c>
      <c r="CR39" s="241">
        <f t="shared" si="63"/>
        <v>0</v>
      </c>
      <c r="CS39" s="268">
        <f t="shared" si="64"/>
        <v>0</v>
      </c>
      <c r="CU39" s="763">
        <f>IF(B39&lt;=Hatchery_Retrofit!$G$21,1,0)</f>
        <v>0</v>
      </c>
      <c r="CV39" s="661">
        <f t="shared" si="81"/>
        <v>0</v>
      </c>
      <c r="CW39" s="662">
        <f>Hatchery_Retrofit!$G$20</f>
        <v>0.119657894736842</v>
      </c>
      <c r="CX39" s="239">
        <f t="shared" si="66"/>
        <v>0</v>
      </c>
      <c r="CY39" s="241">
        <f t="shared" si="67"/>
        <v>0</v>
      </c>
      <c r="CZ39" s="241">
        <f t="shared" si="68"/>
        <v>0</v>
      </c>
      <c r="DA39" s="241">
        <f t="shared" si="69"/>
        <v>0</v>
      </c>
      <c r="DB39" s="241">
        <f t="shared" si="70"/>
        <v>0</v>
      </c>
      <c r="DC39" s="268">
        <f t="shared" si="71"/>
        <v>0</v>
      </c>
      <c r="DE39" s="763">
        <f>IF(B39&lt;=Milk_Retrofit!$G$21,1,0)</f>
        <v>0</v>
      </c>
      <c r="DF39" s="666">
        <f t="shared" si="72"/>
        <v>0</v>
      </c>
      <c r="DG39" s="662">
        <f>Milk_Retrofit!$G$20</f>
        <v>0.16700000000000001</v>
      </c>
      <c r="DH39" s="239">
        <f t="shared" si="73"/>
        <v>0</v>
      </c>
      <c r="DI39" s="241">
        <f t="shared" si="74"/>
        <v>0</v>
      </c>
      <c r="DJ39" s="241">
        <f t="shared" si="75"/>
        <v>0</v>
      </c>
      <c r="DK39" s="241">
        <f t="shared" si="76"/>
        <v>0</v>
      </c>
      <c r="DL39" s="241">
        <f t="shared" si="77"/>
        <v>0</v>
      </c>
      <c r="DM39" s="268">
        <f t="shared" si="78"/>
        <v>0</v>
      </c>
    </row>
    <row r="40" spans="2:117" s="107" customFormat="1" x14ac:dyDescent="0.3">
      <c r="B40" s="192">
        <f t="shared" si="79"/>
        <v>31</v>
      </c>
      <c r="C40" s="663">
        <f t="shared" si="1"/>
        <v>2051</v>
      </c>
      <c r="D40" s="664">
        <f t="shared" si="0"/>
        <v>0</v>
      </c>
      <c r="E40" s="228"/>
      <c r="F40" s="229"/>
      <c r="G40" s="351">
        <f t="shared" si="82"/>
        <v>55154</v>
      </c>
      <c r="H40" s="441">
        <f t="shared" si="82"/>
        <v>55518</v>
      </c>
      <c r="I40" s="665">
        <f>IF(B40&lt;=Fish_Inputs!$G$21,1,0)</f>
        <v>0</v>
      </c>
      <c r="J40" s="666">
        <f t="shared" si="2"/>
        <v>0</v>
      </c>
      <c r="K40" s="518">
        <f>Fish_Inputs!$G$20</f>
        <v>0.16700000000000001</v>
      </c>
      <c r="L40" s="239">
        <f t="shared" si="3"/>
        <v>0</v>
      </c>
      <c r="M40" s="241">
        <f t="shared" si="4"/>
        <v>0</v>
      </c>
      <c r="N40" s="241">
        <f t="shared" si="5"/>
        <v>0</v>
      </c>
      <c r="O40" s="241">
        <f t="shared" si="6"/>
        <v>0</v>
      </c>
      <c r="P40" s="241">
        <f t="shared" si="7"/>
        <v>0</v>
      </c>
      <c r="Q40" s="268">
        <f t="shared" si="8"/>
        <v>0</v>
      </c>
      <c r="S40" s="763">
        <f>IF(B40&lt;=Fruit_Inputs!$G$21,1,0)</f>
        <v>0</v>
      </c>
      <c r="T40" s="666">
        <f t="shared" si="9"/>
        <v>0</v>
      </c>
      <c r="U40" s="662">
        <f>Fruit_Inputs!$G$20</f>
        <v>0.23089999999999999</v>
      </c>
      <c r="V40" s="239">
        <f t="shared" si="10"/>
        <v>0</v>
      </c>
      <c r="W40" s="241">
        <f t="shared" si="11"/>
        <v>0</v>
      </c>
      <c r="X40" s="241">
        <f t="shared" si="12"/>
        <v>0</v>
      </c>
      <c r="Y40" s="241">
        <f t="shared" si="13"/>
        <v>0</v>
      </c>
      <c r="Z40" s="241">
        <f t="shared" si="14"/>
        <v>0</v>
      </c>
      <c r="AA40" s="268">
        <f t="shared" si="15"/>
        <v>0</v>
      </c>
      <c r="AC40" s="763">
        <f>IF(B40&lt;=Veg_Inputs!$G$21,1,0)</f>
        <v>0</v>
      </c>
      <c r="AD40" s="666">
        <f t="shared" si="16"/>
        <v>0</v>
      </c>
      <c r="AE40" s="662">
        <f>Veg_Inputs!$G$20</f>
        <v>0.14499999999999999</v>
      </c>
      <c r="AF40" s="239">
        <f t="shared" si="17"/>
        <v>0</v>
      </c>
      <c r="AG40" s="241">
        <f t="shared" si="18"/>
        <v>0</v>
      </c>
      <c r="AH40" s="241">
        <f t="shared" si="19"/>
        <v>0</v>
      </c>
      <c r="AI40" s="241">
        <f t="shared" si="20"/>
        <v>0</v>
      </c>
      <c r="AJ40" s="241">
        <f t="shared" si="21"/>
        <v>0</v>
      </c>
      <c r="AK40" s="268">
        <f t="shared" si="22"/>
        <v>0</v>
      </c>
      <c r="AM40" s="763">
        <f>IF(B40&lt;=Rice_Inputs!$G$21,1,0)</f>
        <v>0</v>
      </c>
      <c r="AN40" s="666">
        <f t="shared" si="23"/>
        <v>0</v>
      </c>
      <c r="AO40" s="662">
        <f>Rice_Inputs!$G$20</f>
        <v>0.23089999999999999</v>
      </c>
      <c r="AP40" s="239">
        <f t="shared" si="24"/>
        <v>0</v>
      </c>
      <c r="AQ40" s="241">
        <f t="shared" si="25"/>
        <v>0</v>
      </c>
      <c r="AR40" s="241">
        <f t="shared" si="26"/>
        <v>0</v>
      </c>
      <c r="AS40" s="241">
        <f t="shared" si="27"/>
        <v>0</v>
      </c>
      <c r="AT40" s="241">
        <f t="shared" si="28"/>
        <v>0</v>
      </c>
      <c r="AU40" s="268">
        <f t="shared" si="29"/>
        <v>0</v>
      </c>
      <c r="AW40" s="763">
        <f>IF(B40&lt;=Pyre_Inputs!$G$21,1,0)</f>
        <v>0</v>
      </c>
      <c r="AX40" s="666">
        <f t="shared" si="30"/>
        <v>0</v>
      </c>
      <c r="AY40" s="662">
        <f>Pyre_Inputs!$G$20</f>
        <v>0.119657894736842</v>
      </c>
      <c r="AZ40" s="239">
        <f t="shared" si="31"/>
        <v>0</v>
      </c>
      <c r="BA40" s="241">
        <f t="shared" si="32"/>
        <v>-4.1735772432191794E-11</v>
      </c>
      <c r="BB40" s="241">
        <f t="shared" si="33"/>
        <v>-4.1735772432191794E-11</v>
      </c>
      <c r="BC40" s="241">
        <f t="shared" si="34"/>
        <v>3.4879246809397174E-10</v>
      </c>
      <c r="BD40" s="241">
        <f t="shared" si="35"/>
        <v>3.9052824052616355E-10</v>
      </c>
      <c r="BE40" s="268">
        <f t="shared" si="36"/>
        <v>0</v>
      </c>
      <c r="BG40" s="763">
        <f>IF(B40&lt;=Tea_Retrofit!$G$21,1,0)</f>
        <v>0</v>
      </c>
      <c r="BH40" s="666">
        <f t="shared" si="37"/>
        <v>0</v>
      </c>
      <c r="BI40" s="662">
        <f>Tea_Retrofit!$G$20</f>
        <v>0.16900000000000001</v>
      </c>
      <c r="BJ40" s="239">
        <f t="shared" si="38"/>
        <v>0</v>
      </c>
      <c r="BK40" s="241">
        <f t="shared" si="39"/>
        <v>0</v>
      </c>
      <c r="BL40" s="241">
        <f t="shared" si="40"/>
        <v>0</v>
      </c>
      <c r="BM40" s="241">
        <f t="shared" si="41"/>
        <v>0</v>
      </c>
      <c r="BN40" s="241">
        <f t="shared" si="42"/>
        <v>0</v>
      </c>
      <c r="BO40" s="268">
        <f t="shared" si="43"/>
        <v>0</v>
      </c>
      <c r="BQ40" s="763">
        <f>IF(B40&lt;=Tobacco_Retrofit!$G$21,1,0)</f>
        <v>0</v>
      </c>
      <c r="BR40" s="666">
        <f t="shared" si="44"/>
        <v>0</v>
      </c>
      <c r="BS40" s="662">
        <f>Tobacco_Retrofit!$G$20</f>
        <v>0.14499999999999999</v>
      </c>
      <c r="BT40" s="239">
        <f t="shared" si="45"/>
        <v>0</v>
      </c>
      <c r="BU40" s="241">
        <f t="shared" si="46"/>
        <v>0</v>
      </c>
      <c r="BV40" s="241">
        <f t="shared" si="47"/>
        <v>0</v>
      </c>
      <c r="BW40" s="241">
        <f t="shared" si="48"/>
        <v>0</v>
      </c>
      <c r="BX40" s="241">
        <f t="shared" si="49"/>
        <v>0</v>
      </c>
      <c r="BY40" s="268">
        <f t="shared" si="50"/>
        <v>0</v>
      </c>
      <c r="CA40" s="763">
        <f>IF(B40&lt;=Spas_Inputs!$G$21,1,0)</f>
        <v>0</v>
      </c>
      <c r="CB40" s="666">
        <f t="shared" si="51"/>
        <v>0</v>
      </c>
      <c r="CC40" s="662">
        <f>Spas_Inputs!$G$20</f>
        <v>0.113</v>
      </c>
      <c r="CD40" s="239">
        <f t="shared" si="52"/>
        <v>0</v>
      </c>
      <c r="CE40" s="241">
        <f t="shared" si="53"/>
        <v>0</v>
      </c>
      <c r="CF40" s="241">
        <f t="shared" si="54"/>
        <v>0</v>
      </c>
      <c r="CG40" s="241">
        <f t="shared" si="55"/>
        <v>0</v>
      </c>
      <c r="CH40" s="241">
        <f t="shared" si="56"/>
        <v>0</v>
      </c>
      <c r="CI40" s="268">
        <f t="shared" si="57"/>
        <v>0</v>
      </c>
      <c r="CK40" s="763">
        <f>IF(B40&lt;=Greenhouse_Retrofit!$G$21,1,0)</f>
        <v>0</v>
      </c>
      <c r="CL40" s="666">
        <f t="shared" si="58"/>
        <v>0</v>
      </c>
      <c r="CM40" s="662">
        <f>Greenhouse_Retrofit!$G$20</f>
        <v>0.16900000000000001</v>
      </c>
      <c r="CN40" s="239">
        <f t="shared" si="59"/>
        <v>0</v>
      </c>
      <c r="CO40" s="241">
        <f t="shared" si="60"/>
        <v>0</v>
      </c>
      <c r="CP40" s="241">
        <f t="shared" si="61"/>
        <v>0</v>
      </c>
      <c r="CQ40" s="241">
        <f t="shared" si="62"/>
        <v>0</v>
      </c>
      <c r="CR40" s="241">
        <f t="shared" si="63"/>
        <v>0</v>
      </c>
      <c r="CS40" s="268">
        <f t="shared" si="64"/>
        <v>0</v>
      </c>
      <c r="CU40" s="763">
        <f>IF(B40&lt;=Hatchery_Retrofit!$G$21,1,0)</f>
        <v>0</v>
      </c>
      <c r="CV40" s="661">
        <f t="shared" si="81"/>
        <v>0</v>
      </c>
      <c r="CW40" s="662">
        <f>Hatchery_Retrofit!$G$20</f>
        <v>0.119657894736842</v>
      </c>
      <c r="CX40" s="239">
        <f t="shared" si="66"/>
        <v>0</v>
      </c>
      <c r="CY40" s="241">
        <f t="shared" si="67"/>
        <v>0</v>
      </c>
      <c r="CZ40" s="241">
        <f t="shared" si="68"/>
        <v>0</v>
      </c>
      <c r="DA40" s="241">
        <f t="shared" si="69"/>
        <v>0</v>
      </c>
      <c r="DB40" s="241">
        <f t="shared" si="70"/>
        <v>0</v>
      </c>
      <c r="DC40" s="268">
        <f t="shared" si="71"/>
        <v>0</v>
      </c>
      <c r="DE40" s="763">
        <f>IF(B40&lt;=Milk_Retrofit!$G$21,1,0)</f>
        <v>0</v>
      </c>
      <c r="DF40" s="666">
        <f t="shared" si="72"/>
        <v>0</v>
      </c>
      <c r="DG40" s="662">
        <f>Milk_Retrofit!$G$20</f>
        <v>0.16700000000000001</v>
      </c>
      <c r="DH40" s="239">
        <f t="shared" si="73"/>
        <v>0</v>
      </c>
      <c r="DI40" s="241">
        <f t="shared" si="74"/>
        <v>0</v>
      </c>
      <c r="DJ40" s="241">
        <f t="shared" si="75"/>
        <v>0</v>
      </c>
      <c r="DK40" s="241">
        <f t="shared" si="76"/>
        <v>0</v>
      </c>
      <c r="DL40" s="241">
        <f t="shared" si="77"/>
        <v>0</v>
      </c>
      <c r="DM40" s="268">
        <f t="shared" si="78"/>
        <v>0</v>
      </c>
    </row>
    <row r="41" spans="2:117" s="107" customFormat="1" x14ac:dyDescent="0.3">
      <c r="B41" s="192">
        <f t="shared" si="79"/>
        <v>32</v>
      </c>
      <c r="C41" s="663">
        <f t="shared" si="1"/>
        <v>2052</v>
      </c>
      <c r="D41" s="664">
        <f t="shared" si="0"/>
        <v>0</v>
      </c>
      <c r="E41" s="228"/>
      <c r="F41" s="229"/>
      <c r="G41" s="351">
        <f t="shared" si="82"/>
        <v>55519</v>
      </c>
      <c r="H41" s="441">
        <f t="shared" si="82"/>
        <v>55884</v>
      </c>
      <c r="I41" s="665">
        <f>IF(B41&lt;=Fish_Inputs!$G$21,1,0)</f>
        <v>0</v>
      </c>
      <c r="J41" s="666">
        <f t="shared" si="2"/>
        <v>0</v>
      </c>
      <c r="K41" s="518">
        <f>Fish_Inputs!$G$20</f>
        <v>0.16700000000000001</v>
      </c>
      <c r="L41" s="239">
        <f t="shared" si="3"/>
        <v>0</v>
      </c>
      <c r="M41" s="241">
        <f t="shared" si="4"/>
        <v>0</v>
      </c>
      <c r="N41" s="241">
        <f t="shared" si="5"/>
        <v>0</v>
      </c>
      <c r="O41" s="241">
        <f t="shared" si="6"/>
        <v>0</v>
      </c>
      <c r="P41" s="241">
        <f t="shared" si="7"/>
        <v>0</v>
      </c>
      <c r="Q41" s="268">
        <f t="shared" si="8"/>
        <v>0</v>
      </c>
      <c r="S41" s="763">
        <f>IF(B41&lt;=Fruit_Inputs!$G$21,1,0)</f>
        <v>0</v>
      </c>
      <c r="T41" s="666">
        <f t="shared" si="9"/>
        <v>0</v>
      </c>
      <c r="U41" s="662">
        <f>Fruit_Inputs!$G$20</f>
        <v>0.23089999999999999</v>
      </c>
      <c r="V41" s="239">
        <f t="shared" si="10"/>
        <v>0</v>
      </c>
      <c r="W41" s="241">
        <f t="shared" si="11"/>
        <v>0</v>
      </c>
      <c r="X41" s="241">
        <f t="shared" si="12"/>
        <v>0</v>
      </c>
      <c r="Y41" s="241">
        <f t="shared" si="13"/>
        <v>0</v>
      </c>
      <c r="Z41" s="241">
        <f t="shared" si="14"/>
        <v>0</v>
      </c>
      <c r="AA41" s="268">
        <f t="shared" si="15"/>
        <v>0</v>
      </c>
      <c r="AC41" s="763">
        <f>IF(B41&lt;=Veg_Inputs!$G$21,1,0)</f>
        <v>0</v>
      </c>
      <c r="AD41" s="666">
        <f t="shared" si="16"/>
        <v>0</v>
      </c>
      <c r="AE41" s="662">
        <f>Veg_Inputs!$G$20</f>
        <v>0.14499999999999999</v>
      </c>
      <c r="AF41" s="239">
        <f t="shared" si="17"/>
        <v>0</v>
      </c>
      <c r="AG41" s="241">
        <f t="shared" si="18"/>
        <v>0</v>
      </c>
      <c r="AH41" s="241">
        <f t="shared" si="19"/>
        <v>0</v>
      </c>
      <c r="AI41" s="241">
        <f t="shared" si="20"/>
        <v>0</v>
      </c>
      <c r="AJ41" s="241">
        <f t="shared" si="21"/>
        <v>0</v>
      </c>
      <c r="AK41" s="268">
        <f t="shared" si="22"/>
        <v>0</v>
      </c>
      <c r="AM41" s="763">
        <f>IF(B41&lt;=Rice_Inputs!$G$21,1,0)</f>
        <v>0</v>
      </c>
      <c r="AN41" s="666">
        <f t="shared" si="23"/>
        <v>0</v>
      </c>
      <c r="AO41" s="662">
        <f>Rice_Inputs!$G$20</f>
        <v>0.23089999999999999</v>
      </c>
      <c r="AP41" s="239">
        <f t="shared" si="24"/>
        <v>0</v>
      </c>
      <c r="AQ41" s="241">
        <f t="shared" si="25"/>
        <v>0</v>
      </c>
      <c r="AR41" s="241">
        <f t="shared" si="26"/>
        <v>0</v>
      </c>
      <c r="AS41" s="241">
        <f t="shared" si="27"/>
        <v>0</v>
      </c>
      <c r="AT41" s="241">
        <f t="shared" si="28"/>
        <v>0</v>
      </c>
      <c r="AU41" s="268">
        <f t="shared" si="29"/>
        <v>0</v>
      </c>
      <c r="AW41" s="763">
        <f>IF(B41&lt;=Pyre_Inputs!$G$21,1,0)</f>
        <v>0</v>
      </c>
      <c r="AX41" s="666">
        <f t="shared" si="30"/>
        <v>0</v>
      </c>
      <c r="AY41" s="662">
        <f>Pyre_Inputs!$G$20</f>
        <v>0.119657894736842</v>
      </c>
      <c r="AZ41" s="239">
        <f t="shared" si="31"/>
        <v>0</v>
      </c>
      <c r="BA41" s="241">
        <f t="shared" si="32"/>
        <v>-4.6729787096643792E-11</v>
      </c>
      <c r="BB41" s="241">
        <f t="shared" si="33"/>
        <v>-4.6729787096643792E-11</v>
      </c>
      <c r="BC41" s="241">
        <f t="shared" si="34"/>
        <v>3.9052824052616355E-10</v>
      </c>
      <c r="BD41" s="241">
        <f t="shared" si="35"/>
        <v>4.3725802762280732E-10</v>
      </c>
      <c r="BE41" s="268">
        <f t="shared" si="36"/>
        <v>0</v>
      </c>
      <c r="BG41" s="763">
        <f>IF(B41&lt;=Tea_Retrofit!$G$21,1,0)</f>
        <v>0</v>
      </c>
      <c r="BH41" s="666">
        <f t="shared" si="37"/>
        <v>0</v>
      </c>
      <c r="BI41" s="662">
        <f>Tea_Retrofit!$G$20</f>
        <v>0.16900000000000001</v>
      </c>
      <c r="BJ41" s="239">
        <f t="shared" si="38"/>
        <v>0</v>
      </c>
      <c r="BK41" s="241">
        <f t="shared" si="39"/>
        <v>0</v>
      </c>
      <c r="BL41" s="241">
        <f t="shared" si="40"/>
        <v>0</v>
      </c>
      <c r="BM41" s="241">
        <f t="shared" si="41"/>
        <v>0</v>
      </c>
      <c r="BN41" s="241">
        <f t="shared" si="42"/>
        <v>0</v>
      </c>
      <c r="BO41" s="268">
        <f t="shared" si="43"/>
        <v>0</v>
      </c>
      <c r="BQ41" s="763">
        <f>IF(B41&lt;=Tobacco_Retrofit!$G$21,1,0)</f>
        <v>0</v>
      </c>
      <c r="BR41" s="666">
        <f t="shared" si="44"/>
        <v>0</v>
      </c>
      <c r="BS41" s="662">
        <f>Tobacco_Retrofit!$G$20</f>
        <v>0.14499999999999999</v>
      </c>
      <c r="BT41" s="239">
        <f t="shared" si="45"/>
        <v>0</v>
      </c>
      <c r="BU41" s="241">
        <f t="shared" si="46"/>
        <v>0</v>
      </c>
      <c r="BV41" s="241">
        <f t="shared" si="47"/>
        <v>0</v>
      </c>
      <c r="BW41" s="241">
        <f t="shared" si="48"/>
        <v>0</v>
      </c>
      <c r="BX41" s="241">
        <f t="shared" si="49"/>
        <v>0</v>
      </c>
      <c r="BY41" s="268">
        <f t="shared" si="50"/>
        <v>0</v>
      </c>
      <c r="CA41" s="763">
        <f>IF(B41&lt;=Spas_Inputs!$G$21,1,0)</f>
        <v>0</v>
      </c>
      <c r="CB41" s="666">
        <f t="shared" si="51"/>
        <v>0</v>
      </c>
      <c r="CC41" s="662">
        <f>Spas_Inputs!$G$20</f>
        <v>0.113</v>
      </c>
      <c r="CD41" s="239">
        <f t="shared" si="52"/>
        <v>0</v>
      </c>
      <c r="CE41" s="241">
        <f t="shared" si="53"/>
        <v>0</v>
      </c>
      <c r="CF41" s="241">
        <f t="shared" si="54"/>
        <v>0</v>
      </c>
      <c r="CG41" s="241">
        <f t="shared" si="55"/>
        <v>0</v>
      </c>
      <c r="CH41" s="241">
        <f t="shared" si="56"/>
        <v>0</v>
      </c>
      <c r="CI41" s="268">
        <f t="shared" si="57"/>
        <v>0</v>
      </c>
      <c r="CK41" s="763">
        <f>IF(B41&lt;=Greenhouse_Retrofit!$G$21,1,0)</f>
        <v>0</v>
      </c>
      <c r="CL41" s="666">
        <f t="shared" si="58"/>
        <v>0</v>
      </c>
      <c r="CM41" s="662">
        <f>Greenhouse_Retrofit!$G$20</f>
        <v>0.16900000000000001</v>
      </c>
      <c r="CN41" s="239">
        <f t="shared" si="59"/>
        <v>0</v>
      </c>
      <c r="CO41" s="241">
        <f t="shared" si="60"/>
        <v>0</v>
      </c>
      <c r="CP41" s="241">
        <f t="shared" si="61"/>
        <v>0</v>
      </c>
      <c r="CQ41" s="241">
        <f t="shared" si="62"/>
        <v>0</v>
      </c>
      <c r="CR41" s="241">
        <f t="shared" si="63"/>
        <v>0</v>
      </c>
      <c r="CS41" s="268">
        <f t="shared" si="64"/>
        <v>0</v>
      </c>
      <c r="CU41" s="763">
        <f>IF(B41&lt;=Hatchery_Retrofit!$G$21,1,0)</f>
        <v>0</v>
      </c>
      <c r="CV41" s="661">
        <f t="shared" si="81"/>
        <v>0</v>
      </c>
      <c r="CW41" s="662">
        <f>Hatchery_Retrofit!$G$20</f>
        <v>0.119657894736842</v>
      </c>
      <c r="CX41" s="239">
        <f t="shared" si="66"/>
        <v>0</v>
      </c>
      <c r="CY41" s="241">
        <f t="shared" si="67"/>
        <v>0</v>
      </c>
      <c r="CZ41" s="241">
        <f t="shared" si="68"/>
        <v>0</v>
      </c>
      <c r="DA41" s="241">
        <f t="shared" si="69"/>
        <v>0</v>
      </c>
      <c r="DB41" s="241">
        <f t="shared" si="70"/>
        <v>0</v>
      </c>
      <c r="DC41" s="268">
        <f t="shared" si="71"/>
        <v>0</v>
      </c>
      <c r="DE41" s="763">
        <f>IF(B41&lt;=Milk_Retrofit!$G$21,1,0)</f>
        <v>0</v>
      </c>
      <c r="DF41" s="666">
        <f t="shared" si="72"/>
        <v>0</v>
      </c>
      <c r="DG41" s="662">
        <f>Milk_Retrofit!$G$20</f>
        <v>0.16700000000000001</v>
      </c>
      <c r="DH41" s="239">
        <f t="shared" si="73"/>
        <v>0</v>
      </c>
      <c r="DI41" s="241">
        <f t="shared" si="74"/>
        <v>0</v>
      </c>
      <c r="DJ41" s="241">
        <f t="shared" si="75"/>
        <v>0</v>
      </c>
      <c r="DK41" s="241">
        <f t="shared" si="76"/>
        <v>0</v>
      </c>
      <c r="DL41" s="241">
        <f t="shared" si="77"/>
        <v>0</v>
      </c>
      <c r="DM41" s="268">
        <f t="shared" si="78"/>
        <v>0</v>
      </c>
    </row>
    <row r="42" spans="2:117" s="107" customFormat="1" x14ac:dyDescent="0.3">
      <c r="B42" s="192">
        <f t="shared" si="79"/>
        <v>33</v>
      </c>
      <c r="C42" s="663">
        <f t="shared" si="1"/>
        <v>2053</v>
      </c>
      <c r="D42" s="664">
        <f t="shared" si="0"/>
        <v>0</v>
      </c>
      <c r="E42" s="228"/>
      <c r="F42" s="229"/>
      <c r="G42" s="351">
        <f t="shared" si="82"/>
        <v>55885</v>
      </c>
      <c r="H42" s="441">
        <f t="shared" si="82"/>
        <v>56249</v>
      </c>
      <c r="I42" s="665">
        <f>IF(B42&lt;=Fish_Inputs!$G$21,1,0)</f>
        <v>0</v>
      </c>
      <c r="J42" s="666">
        <f t="shared" si="2"/>
        <v>0</v>
      </c>
      <c r="K42" s="518">
        <f>Fish_Inputs!$G$20</f>
        <v>0.16700000000000001</v>
      </c>
      <c r="L42" s="239">
        <f t="shared" si="3"/>
        <v>0</v>
      </c>
      <c r="M42" s="241">
        <f t="shared" si="4"/>
        <v>0</v>
      </c>
      <c r="N42" s="241">
        <f t="shared" si="5"/>
        <v>0</v>
      </c>
      <c r="O42" s="241">
        <f t="shared" si="6"/>
        <v>0</v>
      </c>
      <c r="P42" s="241">
        <f t="shared" si="7"/>
        <v>0</v>
      </c>
      <c r="Q42" s="268">
        <f t="shared" si="8"/>
        <v>0</v>
      </c>
      <c r="S42" s="763">
        <f>IF(B42&lt;=Fruit_Inputs!$G$21,1,0)</f>
        <v>0</v>
      </c>
      <c r="T42" s="666">
        <f t="shared" si="9"/>
        <v>0</v>
      </c>
      <c r="U42" s="662">
        <f>Fruit_Inputs!$G$20</f>
        <v>0.23089999999999999</v>
      </c>
      <c r="V42" s="239">
        <f t="shared" si="10"/>
        <v>0</v>
      </c>
      <c r="W42" s="241">
        <f t="shared" si="11"/>
        <v>0</v>
      </c>
      <c r="X42" s="241">
        <f t="shared" si="12"/>
        <v>0</v>
      </c>
      <c r="Y42" s="241">
        <f t="shared" si="13"/>
        <v>0</v>
      </c>
      <c r="Z42" s="241">
        <f t="shared" si="14"/>
        <v>0</v>
      </c>
      <c r="AA42" s="268">
        <f t="shared" si="15"/>
        <v>0</v>
      </c>
      <c r="AC42" s="763">
        <f>IF(B42&lt;=Veg_Inputs!$G$21,1,0)</f>
        <v>0</v>
      </c>
      <c r="AD42" s="666">
        <f t="shared" si="16"/>
        <v>0</v>
      </c>
      <c r="AE42" s="662">
        <f>Veg_Inputs!$G$20</f>
        <v>0.14499999999999999</v>
      </c>
      <c r="AF42" s="239">
        <f t="shared" si="17"/>
        <v>0</v>
      </c>
      <c r="AG42" s="241">
        <f t="shared" si="18"/>
        <v>0</v>
      </c>
      <c r="AH42" s="241">
        <f t="shared" si="19"/>
        <v>0</v>
      </c>
      <c r="AI42" s="241">
        <f t="shared" si="20"/>
        <v>0</v>
      </c>
      <c r="AJ42" s="241">
        <f t="shared" si="21"/>
        <v>0</v>
      </c>
      <c r="AK42" s="268">
        <f t="shared" si="22"/>
        <v>0</v>
      </c>
      <c r="AM42" s="763">
        <f>IF(B42&lt;=Rice_Inputs!$G$21,1,0)</f>
        <v>0</v>
      </c>
      <c r="AN42" s="666">
        <f t="shared" si="23"/>
        <v>0</v>
      </c>
      <c r="AO42" s="662">
        <f>Rice_Inputs!$G$20</f>
        <v>0.23089999999999999</v>
      </c>
      <c r="AP42" s="239">
        <f t="shared" si="24"/>
        <v>0</v>
      </c>
      <c r="AQ42" s="241">
        <f t="shared" si="25"/>
        <v>0</v>
      </c>
      <c r="AR42" s="241">
        <f t="shared" si="26"/>
        <v>0</v>
      </c>
      <c r="AS42" s="241">
        <f t="shared" si="27"/>
        <v>0</v>
      </c>
      <c r="AT42" s="241">
        <f t="shared" si="28"/>
        <v>0</v>
      </c>
      <c r="AU42" s="268">
        <f t="shared" si="29"/>
        <v>0</v>
      </c>
      <c r="AW42" s="763">
        <f>IF(B42&lt;=Pyre_Inputs!$G$21,1,0)</f>
        <v>0</v>
      </c>
      <c r="AX42" s="666">
        <f t="shared" si="30"/>
        <v>0</v>
      </c>
      <c r="AY42" s="662">
        <f>Pyre_Inputs!$G$20</f>
        <v>0.119657894736842</v>
      </c>
      <c r="AZ42" s="239">
        <f t="shared" si="31"/>
        <v>0</v>
      </c>
      <c r="BA42" s="241">
        <f t="shared" si="32"/>
        <v>-5.2321375042129031E-11</v>
      </c>
      <c r="BB42" s="241">
        <f t="shared" si="33"/>
        <v>-5.2321375042129031E-11</v>
      </c>
      <c r="BC42" s="241">
        <f t="shared" si="34"/>
        <v>4.3725802762280732E-10</v>
      </c>
      <c r="BD42" s="241">
        <f t="shared" si="35"/>
        <v>4.8957940266493636E-10</v>
      </c>
      <c r="BE42" s="268">
        <f t="shared" si="36"/>
        <v>0</v>
      </c>
      <c r="BG42" s="763">
        <f>IF(B42&lt;=Tea_Retrofit!$G$21,1,0)</f>
        <v>0</v>
      </c>
      <c r="BH42" s="666">
        <f t="shared" si="37"/>
        <v>0</v>
      </c>
      <c r="BI42" s="662">
        <f>Tea_Retrofit!$G$20</f>
        <v>0.16900000000000001</v>
      </c>
      <c r="BJ42" s="239">
        <f t="shared" si="38"/>
        <v>0</v>
      </c>
      <c r="BK42" s="241">
        <f t="shared" si="39"/>
        <v>0</v>
      </c>
      <c r="BL42" s="241">
        <f t="shared" si="40"/>
        <v>0</v>
      </c>
      <c r="BM42" s="241">
        <f t="shared" si="41"/>
        <v>0</v>
      </c>
      <c r="BN42" s="241">
        <f t="shared" si="42"/>
        <v>0</v>
      </c>
      <c r="BO42" s="268">
        <f t="shared" si="43"/>
        <v>0</v>
      </c>
      <c r="BQ42" s="763">
        <f>IF(B42&lt;=Tobacco_Retrofit!$G$21,1,0)</f>
        <v>0</v>
      </c>
      <c r="BR42" s="666">
        <f t="shared" si="44"/>
        <v>0</v>
      </c>
      <c r="BS42" s="662">
        <f>Tobacco_Retrofit!$G$20</f>
        <v>0.14499999999999999</v>
      </c>
      <c r="BT42" s="239">
        <f t="shared" si="45"/>
        <v>0</v>
      </c>
      <c r="BU42" s="241">
        <f t="shared" si="46"/>
        <v>0</v>
      </c>
      <c r="BV42" s="241">
        <f t="shared" si="47"/>
        <v>0</v>
      </c>
      <c r="BW42" s="241">
        <f t="shared" si="48"/>
        <v>0</v>
      </c>
      <c r="BX42" s="241">
        <f t="shared" si="49"/>
        <v>0</v>
      </c>
      <c r="BY42" s="268">
        <f t="shared" si="50"/>
        <v>0</v>
      </c>
      <c r="CA42" s="763">
        <f>IF(B42&lt;=Spas_Inputs!$G$21,1,0)</f>
        <v>0</v>
      </c>
      <c r="CB42" s="666">
        <f t="shared" si="51"/>
        <v>0</v>
      </c>
      <c r="CC42" s="662">
        <f>Spas_Inputs!$G$20</f>
        <v>0.113</v>
      </c>
      <c r="CD42" s="239">
        <f t="shared" si="52"/>
        <v>0</v>
      </c>
      <c r="CE42" s="241">
        <f t="shared" si="53"/>
        <v>0</v>
      </c>
      <c r="CF42" s="241">
        <f t="shared" si="54"/>
        <v>0</v>
      </c>
      <c r="CG42" s="241">
        <f t="shared" si="55"/>
        <v>0</v>
      </c>
      <c r="CH42" s="241">
        <f t="shared" si="56"/>
        <v>0</v>
      </c>
      <c r="CI42" s="268">
        <f t="shared" si="57"/>
        <v>0</v>
      </c>
      <c r="CK42" s="763">
        <f>IF(B42&lt;=Greenhouse_Retrofit!$G$21,1,0)</f>
        <v>0</v>
      </c>
      <c r="CL42" s="666">
        <f t="shared" si="58"/>
        <v>0</v>
      </c>
      <c r="CM42" s="662">
        <f>Greenhouse_Retrofit!$G$20</f>
        <v>0.16900000000000001</v>
      </c>
      <c r="CN42" s="239">
        <f t="shared" si="59"/>
        <v>0</v>
      </c>
      <c r="CO42" s="241">
        <f t="shared" si="60"/>
        <v>0</v>
      </c>
      <c r="CP42" s="241">
        <f t="shared" si="61"/>
        <v>0</v>
      </c>
      <c r="CQ42" s="241">
        <f t="shared" si="62"/>
        <v>0</v>
      </c>
      <c r="CR42" s="241">
        <f t="shared" si="63"/>
        <v>0</v>
      </c>
      <c r="CS42" s="268">
        <f t="shared" si="64"/>
        <v>0</v>
      </c>
      <c r="CU42" s="763">
        <f>IF(B42&lt;=Hatchery_Retrofit!$G$21,1,0)</f>
        <v>0</v>
      </c>
      <c r="CV42" s="661">
        <f t="shared" si="81"/>
        <v>0</v>
      </c>
      <c r="CW42" s="662">
        <f>Hatchery_Retrofit!$G$20</f>
        <v>0.119657894736842</v>
      </c>
      <c r="CX42" s="239">
        <f t="shared" si="66"/>
        <v>0</v>
      </c>
      <c r="CY42" s="241">
        <f t="shared" si="67"/>
        <v>0</v>
      </c>
      <c r="CZ42" s="241">
        <f t="shared" si="68"/>
        <v>0</v>
      </c>
      <c r="DA42" s="241">
        <f t="shared" si="69"/>
        <v>0</v>
      </c>
      <c r="DB42" s="241">
        <f t="shared" si="70"/>
        <v>0</v>
      </c>
      <c r="DC42" s="268">
        <f t="shared" si="71"/>
        <v>0</v>
      </c>
      <c r="DE42" s="763">
        <f>IF(B42&lt;=Milk_Retrofit!$G$21,1,0)</f>
        <v>0</v>
      </c>
      <c r="DF42" s="666">
        <f t="shared" si="72"/>
        <v>0</v>
      </c>
      <c r="DG42" s="662">
        <f>Milk_Retrofit!$G$20</f>
        <v>0.16700000000000001</v>
      </c>
      <c r="DH42" s="239">
        <f t="shared" si="73"/>
        <v>0</v>
      </c>
      <c r="DI42" s="241">
        <f t="shared" si="74"/>
        <v>0</v>
      </c>
      <c r="DJ42" s="241">
        <f t="shared" si="75"/>
        <v>0</v>
      </c>
      <c r="DK42" s="241">
        <f t="shared" si="76"/>
        <v>0</v>
      </c>
      <c r="DL42" s="241">
        <f t="shared" si="77"/>
        <v>0</v>
      </c>
      <c r="DM42" s="268">
        <f t="shared" si="78"/>
        <v>0</v>
      </c>
    </row>
    <row r="43" spans="2:117" s="107" customFormat="1" x14ac:dyDescent="0.3">
      <c r="B43" s="192">
        <f t="shared" si="79"/>
        <v>34</v>
      </c>
      <c r="C43" s="663">
        <f t="shared" si="1"/>
        <v>2054</v>
      </c>
      <c r="D43" s="664">
        <f t="shared" si="0"/>
        <v>0</v>
      </c>
      <c r="E43" s="228"/>
      <c r="F43" s="229"/>
      <c r="G43" s="351">
        <f>EDATE(G42,12)</f>
        <v>56250</v>
      </c>
      <c r="H43" s="441">
        <f>EDATE(H42,12)</f>
        <v>56614</v>
      </c>
      <c r="I43" s="665">
        <f>IF(B43&lt;=Fish_Inputs!$G$21,1,0)</f>
        <v>0</v>
      </c>
      <c r="J43" s="666">
        <f t="shared" si="2"/>
        <v>0</v>
      </c>
      <c r="K43" s="518">
        <f>Fish_Inputs!$G$20</f>
        <v>0.16700000000000001</v>
      </c>
      <c r="L43" s="239">
        <f t="shared" si="3"/>
        <v>0</v>
      </c>
      <c r="M43" s="241">
        <f t="shared" si="4"/>
        <v>0</v>
      </c>
      <c r="N43" s="241">
        <f t="shared" si="5"/>
        <v>0</v>
      </c>
      <c r="O43" s="241">
        <f t="shared" si="6"/>
        <v>0</v>
      </c>
      <c r="P43" s="241">
        <f t="shared" si="7"/>
        <v>0</v>
      </c>
      <c r="Q43" s="268">
        <f t="shared" si="8"/>
        <v>0</v>
      </c>
      <c r="S43" s="763">
        <f>IF(B43&lt;=Fruit_Inputs!$G$21,1,0)</f>
        <v>0</v>
      </c>
      <c r="T43" s="666">
        <f t="shared" si="9"/>
        <v>0</v>
      </c>
      <c r="U43" s="662">
        <f>Fruit_Inputs!$G$20</f>
        <v>0.23089999999999999</v>
      </c>
      <c r="V43" s="239">
        <f t="shared" si="10"/>
        <v>0</v>
      </c>
      <c r="W43" s="241">
        <f t="shared" si="11"/>
        <v>0</v>
      </c>
      <c r="X43" s="241">
        <f t="shared" si="12"/>
        <v>0</v>
      </c>
      <c r="Y43" s="241">
        <f t="shared" si="13"/>
        <v>0</v>
      </c>
      <c r="Z43" s="241">
        <f t="shared" si="14"/>
        <v>0</v>
      </c>
      <c r="AA43" s="268">
        <f t="shared" si="15"/>
        <v>0</v>
      </c>
      <c r="AC43" s="763">
        <f>IF(B43&lt;=Veg_Inputs!$G$21,1,0)</f>
        <v>0</v>
      </c>
      <c r="AD43" s="666">
        <f t="shared" si="16"/>
        <v>0</v>
      </c>
      <c r="AE43" s="662">
        <f>Veg_Inputs!$G$20</f>
        <v>0.14499999999999999</v>
      </c>
      <c r="AF43" s="239">
        <f t="shared" si="17"/>
        <v>0</v>
      </c>
      <c r="AG43" s="241">
        <f t="shared" si="18"/>
        <v>0</v>
      </c>
      <c r="AH43" s="241">
        <f t="shared" si="19"/>
        <v>0</v>
      </c>
      <c r="AI43" s="241">
        <f t="shared" si="20"/>
        <v>0</v>
      </c>
      <c r="AJ43" s="241">
        <f t="shared" si="21"/>
        <v>0</v>
      </c>
      <c r="AK43" s="268">
        <f t="shared" si="22"/>
        <v>0</v>
      </c>
      <c r="AM43" s="763">
        <f>IF(B43&lt;=Rice_Inputs!$G$21,1,0)</f>
        <v>0</v>
      </c>
      <c r="AN43" s="666">
        <f t="shared" si="23"/>
        <v>0</v>
      </c>
      <c r="AO43" s="662">
        <f>Rice_Inputs!$G$20</f>
        <v>0.23089999999999999</v>
      </c>
      <c r="AP43" s="239">
        <f t="shared" si="24"/>
        <v>0</v>
      </c>
      <c r="AQ43" s="241">
        <f t="shared" si="25"/>
        <v>0</v>
      </c>
      <c r="AR43" s="241">
        <f t="shared" si="26"/>
        <v>0</v>
      </c>
      <c r="AS43" s="241">
        <f t="shared" si="27"/>
        <v>0</v>
      </c>
      <c r="AT43" s="241">
        <f t="shared" si="28"/>
        <v>0</v>
      </c>
      <c r="AU43" s="268">
        <f t="shared" si="29"/>
        <v>0</v>
      </c>
      <c r="AW43" s="763">
        <f>IF(B43&lt;=Pyre_Inputs!$G$21,1,0)</f>
        <v>0</v>
      </c>
      <c r="AX43" s="666">
        <f t="shared" si="30"/>
        <v>0</v>
      </c>
      <c r="AY43" s="662">
        <f>Pyre_Inputs!$G$20</f>
        <v>0.119657894736842</v>
      </c>
      <c r="AZ43" s="239">
        <f t="shared" si="31"/>
        <v>0</v>
      </c>
      <c r="BA43" s="241">
        <f t="shared" si="32"/>
        <v>-5.8582040629406944E-11</v>
      </c>
      <c r="BB43" s="241">
        <f t="shared" si="33"/>
        <v>-5.8582040629406944E-11</v>
      </c>
      <c r="BC43" s="241">
        <f t="shared" si="34"/>
        <v>4.8957940266493636E-10</v>
      </c>
      <c r="BD43" s="241">
        <f t="shared" si="35"/>
        <v>5.4816144329434326E-10</v>
      </c>
      <c r="BE43" s="268">
        <f t="shared" si="36"/>
        <v>0</v>
      </c>
      <c r="BG43" s="763">
        <f>IF(B43&lt;=Tea_Retrofit!$G$21,1,0)</f>
        <v>0</v>
      </c>
      <c r="BH43" s="666">
        <f t="shared" si="37"/>
        <v>0</v>
      </c>
      <c r="BI43" s="662">
        <f>Tea_Retrofit!$G$20</f>
        <v>0.16900000000000001</v>
      </c>
      <c r="BJ43" s="239">
        <f t="shared" si="38"/>
        <v>0</v>
      </c>
      <c r="BK43" s="241">
        <f t="shared" si="39"/>
        <v>0</v>
      </c>
      <c r="BL43" s="241">
        <f t="shared" si="40"/>
        <v>0</v>
      </c>
      <c r="BM43" s="241">
        <f t="shared" si="41"/>
        <v>0</v>
      </c>
      <c r="BN43" s="241">
        <f t="shared" si="42"/>
        <v>0</v>
      </c>
      <c r="BO43" s="268">
        <f t="shared" si="43"/>
        <v>0</v>
      </c>
      <c r="BQ43" s="763">
        <f>IF(B43&lt;=Tobacco_Retrofit!$G$21,1,0)</f>
        <v>0</v>
      </c>
      <c r="BR43" s="666">
        <f t="shared" si="44"/>
        <v>0</v>
      </c>
      <c r="BS43" s="662">
        <f>Tobacco_Retrofit!$G$20</f>
        <v>0.14499999999999999</v>
      </c>
      <c r="BT43" s="239">
        <f t="shared" si="45"/>
        <v>0</v>
      </c>
      <c r="BU43" s="241">
        <f t="shared" si="46"/>
        <v>0</v>
      </c>
      <c r="BV43" s="241">
        <f t="shared" si="47"/>
        <v>0</v>
      </c>
      <c r="BW43" s="241">
        <f t="shared" si="48"/>
        <v>0</v>
      </c>
      <c r="BX43" s="241">
        <f t="shared" si="49"/>
        <v>0</v>
      </c>
      <c r="BY43" s="268">
        <f t="shared" si="50"/>
        <v>0</v>
      </c>
      <c r="CA43" s="763">
        <f>IF(B43&lt;=Spas_Inputs!$G$21,1,0)</f>
        <v>0</v>
      </c>
      <c r="CB43" s="666">
        <f t="shared" si="51"/>
        <v>0</v>
      </c>
      <c r="CC43" s="662">
        <f>Spas_Inputs!$G$20</f>
        <v>0.113</v>
      </c>
      <c r="CD43" s="239">
        <f t="shared" si="52"/>
        <v>0</v>
      </c>
      <c r="CE43" s="241">
        <f t="shared" si="53"/>
        <v>0</v>
      </c>
      <c r="CF43" s="241">
        <f t="shared" si="54"/>
        <v>0</v>
      </c>
      <c r="CG43" s="241">
        <f t="shared" si="55"/>
        <v>0</v>
      </c>
      <c r="CH43" s="241">
        <f t="shared" si="56"/>
        <v>0</v>
      </c>
      <c r="CI43" s="268">
        <f t="shared" si="57"/>
        <v>0</v>
      </c>
      <c r="CK43" s="763">
        <f>IF(B43&lt;=Greenhouse_Retrofit!$G$21,1,0)</f>
        <v>0</v>
      </c>
      <c r="CL43" s="666">
        <f t="shared" si="58"/>
        <v>0</v>
      </c>
      <c r="CM43" s="662">
        <f>Greenhouse_Retrofit!$G$20</f>
        <v>0.16900000000000001</v>
      </c>
      <c r="CN43" s="239">
        <f t="shared" si="59"/>
        <v>0</v>
      </c>
      <c r="CO43" s="241">
        <f t="shared" si="60"/>
        <v>0</v>
      </c>
      <c r="CP43" s="241">
        <f t="shared" si="61"/>
        <v>0</v>
      </c>
      <c r="CQ43" s="241">
        <f t="shared" si="62"/>
        <v>0</v>
      </c>
      <c r="CR43" s="241">
        <f t="shared" si="63"/>
        <v>0</v>
      </c>
      <c r="CS43" s="268">
        <f t="shared" si="64"/>
        <v>0</v>
      </c>
      <c r="CU43" s="763">
        <f>IF(B43&lt;=Hatchery_Retrofit!$G$21,1,0)</f>
        <v>0</v>
      </c>
      <c r="CV43" s="661">
        <f t="shared" si="81"/>
        <v>0</v>
      </c>
      <c r="CW43" s="662">
        <f>Hatchery_Retrofit!$G$20</f>
        <v>0.119657894736842</v>
      </c>
      <c r="CX43" s="239">
        <f t="shared" si="66"/>
        <v>0</v>
      </c>
      <c r="CY43" s="241">
        <f t="shared" si="67"/>
        <v>0</v>
      </c>
      <c r="CZ43" s="241">
        <f t="shared" si="68"/>
        <v>0</v>
      </c>
      <c r="DA43" s="241">
        <f t="shared" si="69"/>
        <v>0</v>
      </c>
      <c r="DB43" s="241">
        <f t="shared" si="70"/>
        <v>0</v>
      </c>
      <c r="DC43" s="268">
        <f t="shared" si="71"/>
        <v>0</v>
      </c>
      <c r="DE43" s="763">
        <f>IF(B43&lt;=Milk_Retrofit!$G$21,1,0)</f>
        <v>0</v>
      </c>
      <c r="DF43" s="666">
        <f t="shared" si="72"/>
        <v>0</v>
      </c>
      <c r="DG43" s="662">
        <f>Milk_Retrofit!$G$20</f>
        <v>0.16700000000000001</v>
      </c>
      <c r="DH43" s="239">
        <f t="shared" si="73"/>
        <v>0</v>
      </c>
      <c r="DI43" s="241">
        <f t="shared" si="74"/>
        <v>0</v>
      </c>
      <c r="DJ43" s="241">
        <f t="shared" si="75"/>
        <v>0</v>
      </c>
      <c r="DK43" s="241">
        <f t="shared" si="76"/>
        <v>0</v>
      </c>
      <c r="DL43" s="241">
        <f t="shared" si="77"/>
        <v>0</v>
      </c>
      <c r="DM43" s="268">
        <f t="shared" si="78"/>
        <v>0</v>
      </c>
    </row>
    <row r="44" spans="2:117" s="107" customFormat="1" x14ac:dyDescent="0.3">
      <c r="B44" s="215">
        <f t="shared" si="79"/>
        <v>35</v>
      </c>
      <c r="C44" s="667">
        <f t="shared" si="1"/>
        <v>2055</v>
      </c>
      <c r="D44" s="668">
        <f t="shared" si="0"/>
        <v>0</v>
      </c>
      <c r="E44" s="669"/>
      <c r="F44" s="670"/>
      <c r="G44" s="353">
        <f>EDATE(G43,12)</f>
        <v>56615</v>
      </c>
      <c r="H44" s="442">
        <f>EDATE(H43,12)</f>
        <v>56979</v>
      </c>
      <c r="I44" s="671">
        <f>IF(B44&lt;=Fish_Inputs!$G$21,1,0)</f>
        <v>0</v>
      </c>
      <c r="J44" s="672">
        <f t="shared" si="2"/>
        <v>0</v>
      </c>
      <c r="K44" s="673">
        <f>Fish_Inputs!$G$20</f>
        <v>0.16700000000000001</v>
      </c>
      <c r="L44" s="465">
        <f t="shared" si="3"/>
        <v>0</v>
      </c>
      <c r="M44" s="267">
        <f t="shared" si="4"/>
        <v>0</v>
      </c>
      <c r="N44" s="267">
        <f t="shared" si="5"/>
        <v>0</v>
      </c>
      <c r="O44" s="267">
        <f t="shared" si="6"/>
        <v>0</v>
      </c>
      <c r="P44" s="267">
        <f t="shared" si="7"/>
        <v>0</v>
      </c>
      <c r="Q44" s="270">
        <f t="shared" si="8"/>
        <v>0</v>
      </c>
      <c r="S44" s="764">
        <f>IF(B44&lt;=Fruit_Inputs!$G$21,1,0)</f>
        <v>0</v>
      </c>
      <c r="T44" s="672">
        <f t="shared" si="9"/>
        <v>0</v>
      </c>
      <c r="U44" s="765">
        <f>Fruit_Inputs!$G$20</f>
        <v>0.23089999999999999</v>
      </c>
      <c r="V44" s="465">
        <f t="shared" si="10"/>
        <v>0</v>
      </c>
      <c r="W44" s="267">
        <f t="shared" si="11"/>
        <v>0</v>
      </c>
      <c r="X44" s="267">
        <f t="shared" si="12"/>
        <v>0</v>
      </c>
      <c r="Y44" s="267">
        <f t="shared" si="13"/>
        <v>0</v>
      </c>
      <c r="Z44" s="267">
        <f t="shared" si="14"/>
        <v>0</v>
      </c>
      <c r="AA44" s="270">
        <f t="shared" si="15"/>
        <v>0</v>
      </c>
      <c r="AC44" s="764">
        <f>IF(B44&lt;=Veg_Inputs!$G$21,1,0)</f>
        <v>0</v>
      </c>
      <c r="AD44" s="672">
        <f t="shared" si="16"/>
        <v>0</v>
      </c>
      <c r="AE44" s="765">
        <f>Veg_Inputs!$G$20</f>
        <v>0.14499999999999999</v>
      </c>
      <c r="AF44" s="465">
        <f t="shared" si="17"/>
        <v>0</v>
      </c>
      <c r="AG44" s="267">
        <f t="shared" si="18"/>
        <v>0</v>
      </c>
      <c r="AH44" s="267">
        <f t="shared" si="19"/>
        <v>0</v>
      </c>
      <c r="AI44" s="267">
        <f t="shared" si="20"/>
        <v>0</v>
      </c>
      <c r="AJ44" s="267">
        <f t="shared" si="21"/>
        <v>0</v>
      </c>
      <c r="AK44" s="270">
        <f t="shared" si="22"/>
        <v>0</v>
      </c>
      <c r="AM44" s="764">
        <f>IF(B44&lt;=Rice_Inputs!$G$21,1,0)</f>
        <v>0</v>
      </c>
      <c r="AN44" s="672">
        <f t="shared" si="23"/>
        <v>0</v>
      </c>
      <c r="AO44" s="765">
        <f>Rice_Inputs!$G$20</f>
        <v>0.23089999999999999</v>
      </c>
      <c r="AP44" s="465">
        <f t="shared" si="24"/>
        <v>0</v>
      </c>
      <c r="AQ44" s="267">
        <f t="shared" si="25"/>
        <v>0</v>
      </c>
      <c r="AR44" s="267">
        <f t="shared" si="26"/>
        <v>0</v>
      </c>
      <c r="AS44" s="267">
        <f t="shared" si="27"/>
        <v>0</v>
      </c>
      <c r="AT44" s="267">
        <f t="shared" si="28"/>
        <v>0</v>
      </c>
      <c r="AU44" s="270">
        <f t="shared" si="29"/>
        <v>0</v>
      </c>
      <c r="AW44" s="764">
        <f>IF(B44&lt;=Pyre_Inputs!$G$21,1,0)</f>
        <v>0</v>
      </c>
      <c r="AX44" s="672">
        <f t="shared" si="30"/>
        <v>0</v>
      </c>
      <c r="AY44" s="765">
        <f>Pyre_Inputs!$G$20</f>
        <v>0.119657894736842</v>
      </c>
      <c r="AZ44" s="465">
        <f t="shared" si="31"/>
        <v>0</v>
      </c>
      <c r="BA44" s="267">
        <f t="shared" si="32"/>
        <v>-6.5591844280509917E-11</v>
      </c>
      <c r="BB44" s="267">
        <f t="shared" si="33"/>
        <v>-6.5591844280509917E-11</v>
      </c>
      <c r="BC44" s="267">
        <f t="shared" si="34"/>
        <v>5.4816144329434326E-10</v>
      </c>
      <c r="BD44" s="267">
        <f t="shared" si="35"/>
        <v>6.1375328757485322E-10</v>
      </c>
      <c r="BE44" s="270">
        <f t="shared" si="36"/>
        <v>0</v>
      </c>
      <c r="BG44" s="764">
        <f>IF(B44&lt;=Tea_Retrofit!$G$21,1,0)</f>
        <v>0</v>
      </c>
      <c r="BH44" s="672">
        <f t="shared" si="37"/>
        <v>0</v>
      </c>
      <c r="BI44" s="765">
        <f>Tea_Retrofit!$G$20</f>
        <v>0.16900000000000001</v>
      </c>
      <c r="BJ44" s="465">
        <f t="shared" si="38"/>
        <v>0</v>
      </c>
      <c r="BK44" s="267">
        <f t="shared" si="39"/>
        <v>0</v>
      </c>
      <c r="BL44" s="267">
        <f t="shared" si="40"/>
        <v>0</v>
      </c>
      <c r="BM44" s="267">
        <f t="shared" si="41"/>
        <v>0</v>
      </c>
      <c r="BN44" s="267">
        <f t="shared" si="42"/>
        <v>0</v>
      </c>
      <c r="BO44" s="270">
        <f t="shared" si="43"/>
        <v>0</v>
      </c>
      <c r="BQ44" s="764">
        <f>IF(B44&lt;=Tobacco_Retrofit!$G$21,1,0)</f>
        <v>0</v>
      </c>
      <c r="BR44" s="672">
        <f t="shared" si="44"/>
        <v>0</v>
      </c>
      <c r="BS44" s="765">
        <f>Tobacco_Retrofit!$G$20</f>
        <v>0.14499999999999999</v>
      </c>
      <c r="BT44" s="465">
        <f t="shared" si="45"/>
        <v>0</v>
      </c>
      <c r="BU44" s="267">
        <f t="shared" si="46"/>
        <v>0</v>
      </c>
      <c r="BV44" s="267">
        <f t="shared" si="47"/>
        <v>0</v>
      </c>
      <c r="BW44" s="267">
        <f t="shared" si="48"/>
        <v>0</v>
      </c>
      <c r="BX44" s="267">
        <f t="shared" si="49"/>
        <v>0</v>
      </c>
      <c r="BY44" s="270">
        <f t="shared" si="50"/>
        <v>0</v>
      </c>
      <c r="CA44" s="764">
        <f>IF(B44&lt;=Spas_Inputs!$G$21,1,0)</f>
        <v>0</v>
      </c>
      <c r="CB44" s="672">
        <f t="shared" si="51"/>
        <v>0</v>
      </c>
      <c r="CC44" s="765">
        <f>Spas_Inputs!$G$20</f>
        <v>0.113</v>
      </c>
      <c r="CD44" s="465">
        <f t="shared" si="52"/>
        <v>0</v>
      </c>
      <c r="CE44" s="267">
        <f t="shared" si="53"/>
        <v>0</v>
      </c>
      <c r="CF44" s="267">
        <f t="shared" si="54"/>
        <v>0</v>
      </c>
      <c r="CG44" s="267">
        <f t="shared" si="55"/>
        <v>0</v>
      </c>
      <c r="CH44" s="267">
        <f t="shared" si="56"/>
        <v>0</v>
      </c>
      <c r="CI44" s="270">
        <f t="shared" si="57"/>
        <v>0</v>
      </c>
      <c r="CK44" s="764">
        <f>IF(B44&lt;=Greenhouse_Retrofit!$G$21,1,0)</f>
        <v>0</v>
      </c>
      <c r="CL44" s="672">
        <f t="shared" si="58"/>
        <v>0</v>
      </c>
      <c r="CM44" s="765">
        <f>Greenhouse_Retrofit!$G$20</f>
        <v>0.16900000000000001</v>
      </c>
      <c r="CN44" s="465">
        <f t="shared" si="59"/>
        <v>0</v>
      </c>
      <c r="CO44" s="267">
        <f t="shared" si="60"/>
        <v>0</v>
      </c>
      <c r="CP44" s="267">
        <f t="shared" si="61"/>
        <v>0</v>
      </c>
      <c r="CQ44" s="267">
        <f t="shared" si="62"/>
        <v>0</v>
      </c>
      <c r="CR44" s="267">
        <f t="shared" si="63"/>
        <v>0</v>
      </c>
      <c r="CS44" s="270">
        <f t="shared" si="64"/>
        <v>0</v>
      </c>
      <c r="CU44" s="764">
        <f>IF(B44&lt;=Hatchery_Retrofit!$G$21,1,0)</f>
        <v>0</v>
      </c>
      <c r="CV44" s="764">
        <f t="shared" si="81"/>
        <v>0</v>
      </c>
      <c r="CW44" s="765">
        <f>Hatchery_Retrofit!$G$20</f>
        <v>0.119657894736842</v>
      </c>
      <c r="CX44" s="465">
        <f t="shared" si="66"/>
        <v>0</v>
      </c>
      <c r="CY44" s="267">
        <f t="shared" si="67"/>
        <v>0</v>
      </c>
      <c r="CZ44" s="267">
        <f t="shared" si="68"/>
        <v>0</v>
      </c>
      <c r="DA44" s="267">
        <f t="shared" si="69"/>
        <v>0</v>
      </c>
      <c r="DB44" s="267">
        <f t="shared" si="70"/>
        <v>0</v>
      </c>
      <c r="DC44" s="270">
        <f t="shared" si="71"/>
        <v>0</v>
      </c>
      <c r="DE44" s="764">
        <f>IF(B44&lt;=Milk_Retrofit!$G$21,1,0)</f>
        <v>0</v>
      </c>
      <c r="DF44" s="672">
        <f t="shared" si="72"/>
        <v>0</v>
      </c>
      <c r="DG44" s="765">
        <f>Milk_Retrofit!$G$20</f>
        <v>0.16700000000000001</v>
      </c>
      <c r="DH44" s="465">
        <f t="shared" si="73"/>
        <v>0</v>
      </c>
      <c r="DI44" s="267">
        <f t="shared" si="74"/>
        <v>0</v>
      </c>
      <c r="DJ44" s="267">
        <f t="shared" si="75"/>
        <v>0</v>
      </c>
      <c r="DK44" s="267">
        <f t="shared" si="76"/>
        <v>0</v>
      </c>
      <c r="DL44" s="267">
        <f t="shared" si="77"/>
        <v>0</v>
      </c>
      <c r="DM44" s="270">
        <f t="shared" si="78"/>
        <v>0</v>
      </c>
    </row>
    <row r="45" spans="2:117" x14ac:dyDescent="0.3">
      <c r="B45"/>
      <c r="C45"/>
      <c r="D45" s="271"/>
      <c r="E45"/>
      <c r="F45"/>
      <c r="G45"/>
      <c r="H45"/>
    </row>
    <row r="46" spans="2:117" x14ac:dyDescent="0.3">
      <c r="B46"/>
      <c r="C46"/>
      <c r="D46" s="271"/>
      <c r="E46"/>
      <c r="F46"/>
      <c r="G46"/>
      <c r="H46"/>
    </row>
    <row r="47" spans="2:117" x14ac:dyDescent="0.3">
      <c r="B47"/>
      <c r="C47"/>
      <c r="D47" s="271"/>
      <c r="E47"/>
      <c r="F47"/>
      <c r="G47"/>
      <c r="H47"/>
    </row>
    <row r="54" spans="11:17" x14ac:dyDescent="0.3">
      <c r="K54" s="269"/>
      <c r="L54" s="269"/>
      <c r="M54" s="269"/>
      <c r="N54" s="269"/>
      <c r="O54" s="269"/>
      <c r="P54" s="269"/>
      <c r="Q54" s="269"/>
    </row>
    <row r="57" spans="11:17" x14ac:dyDescent="0.3">
      <c r="K57" s="272"/>
      <c r="L57" s="272"/>
      <c r="M57" s="272"/>
      <c r="N57" s="272"/>
      <c r="O57" s="272"/>
      <c r="P57" s="272"/>
      <c r="Q57" s="272"/>
    </row>
    <row r="58" spans="11:17" x14ac:dyDescent="0.3">
      <c r="K58" s="269"/>
      <c r="L58" s="269"/>
      <c r="M58" s="269"/>
      <c r="N58" s="269"/>
      <c r="O58" s="269"/>
      <c r="P58" s="269"/>
      <c r="Q58" s="269"/>
    </row>
    <row r="59" spans="11:17" x14ac:dyDescent="0.3">
      <c r="K59" s="272"/>
      <c r="L59" s="272"/>
      <c r="M59" s="272"/>
      <c r="N59" s="272"/>
      <c r="O59" s="272"/>
      <c r="P59" s="272"/>
      <c r="Q59" s="272"/>
    </row>
    <row r="61" spans="11:17" x14ac:dyDescent="0.3">
      <c r="K61" s="273"/>
      <c r="L61" s="273"/>
      <c r="M61" s="273"/>
      <c r="N61" s="273"/>
      <c r="O61" s="273"/>
      <c r="P61" s="273"/>
      <c r="Q61" s="273"/>
    </row>
    <row r="66" spans="11:17" x14ac:dyDescent="0.3">
      <c r="K66" s="274"/>
      <c r="L66" s="274"/>
      <c r="M66" s="274"/>
      <c r="N66" s="274"/>
      <c r="O66" s="274"/>
      <c r="P66" s="274"/>
      <c r="Q66" s="274"/>
    </row>
    <row r="67" spans="11:17" x14ac:dyDescent="0.3">
      <c r="K67" s="274"/>
      <c r="L67" s="274"/>
      <c r="M67" s="274"/>
      <c r="N67" s="274"/>
      <c r="O67" s="274"/>
      <c r="P67" s="274"/>
      <c r="Q67" s="274"/>
    </row>
    <row r="68" spans="11:17" x14ac:dyDescent="0.3">
      <c r="K68" s="274"/>
      <c r="L68" s="274"/>
      <c r="M68" s="274"/>
      <c r="N68" s="274"/>
      <c r="O68" s="274"/>
      <c r="P68" s="274"/>
      <c r="Q68" s="274"/>
    </row>
  </sheetData>
  <mergeCells count="11">
    <mergeCell ref="BI4:BO4"/>
    <mergeCell ref="K4:Q4"/>
    <mergeCell ref="U4:AA4"/>
    <mergeCell ref="AE4:AK4"/>
    <mergeCell ref="AO4:AU4"/>
    <mergeCell ref="AY4:BE4"/>
    <mergeCell ref="CM4:CS4"/>
    <mergeCell ref="CW4:DC4"/>
    <mergeCell ref="DG4:DM4"/>
    <mergeCell ref="BS4:BY4"/>
    <mergeCell ref="CC4:CI4"/>
  </mergeCells>
  <pageMargins left="0.7" right="0.7" top="0.75" bottom="0.75" header="0.3" footer="0.3"/>
  <pageSetup orientation="portrait" verticalDpi="0" r:id="rId1"/>
  <headerFooter>
    <oddFooter>&amp;L&amp;F&amp;C&amp;A&amp;R&amp;D&amp;T</oddFooter>
  </headerFooter>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50"/>
  </sheetPr>
  <dimension ref="B1:AK45"/>
  <sheetViews>
    <sheetView zoomScale="80" zoomScaleNormal="80" workbookViewId="0"/>
  </sheetViews>
  <sheetFormatPr defaultRowHeight="14.4" x14ac:dyDescent="0.3"/>
  <cols>
    <col min="1" max="1" width="3.5546875" customWidth="1"/>
    <col min="2" max="2" width="13.5546875" customWidth="1"/>
    <col min="3" max="3" width="13.33203125" customWidth="1"/>
    <col min="4" max="4" width="8.88671875" customWidth="1"/>
    <col min="5" max="5" width="16" customWidth="1"/>
    <col min="6" max="6" width="16.44140625" customWidth="1"/>
    <col min="8" max="8" width="17.109375" customWidth="1"/>
    <col min="9" max="9" width="16.44140625" customWidth="1"/>
    <col min="11" max="11" width="17.88671875" customWidth="1"/>
    <col min="12" max="12" width="18.88671875" customWidth="1"/>
    <col min="14" max="14" width="16.5546875" customWidth="1"/>
    <col min="15" max="15" width="17" customWidth="1"/>
    <col min="17" max="18" width="16.88671875" customWidth="1"/>
    <col min="20" max="21" width="16.88671875" customWidth="1"/>
    <col min="23" max="23" width="17" customWidth="1"/>
    <col min="24" max="24" width="15.44140625" customWidth="1"/>
    <col min="26" max="26" width="14.88671875" customWidth="1"/>
    <col min="27" max="27" width="15.33203125" customWidth="1"/>
    <col min="29" max="29" width="15.44140625" customWidth="1"/>
    <col min="30" max="30" width="15.6640625" customWidth="1"/>
    <col min="32" max="32" width="14.88671875" customWidth="1"/>
    <col min="33" max="33" width="16.109375" customWidth="1"/>
  </cols>
  <sheetData>
    <row r="1" spans="2:37" x14ac:dyDescent="0.3">
      <c r="X1" s="257"/>
    </row>
    <row r="2" spans="2:37" x14ac:dyDescent="0.3">
      <c r="X2" s="257"/>
    </row>
    <row r="3" spans="2:37" x14ac:dyDescent="0.3">
      <c r="X3" s="257"/>
    </row>
    <row r="4" spans="2:37" x14ac:dyDescent="0.3">
      <c r="X4" s="257"/>
    </row>
    <row r="6" spans="2:37" x14ac:dyDescent="0.3">
      <c r="B6" s="796" t="s">
        <v>675</v>
      </c>
      <c r="C6" s="797"/>
      <c r="E6" s="796" t="s">
        <v>676</v>
      </c>
      <c r="F6" s="797"/>
      <c r="H6" s="796" t="s">
        <v>677</v>
      </c>
      <c r="I6" s="797"/>
      <c r="K6" s="796" t="s">
        <v>678</v>
      </c>
      <c r="L6" s="797"/>
      <c r="N6" s="796" t="s">
        <v>679</v>
      </c>
      <c r="O6" s="797"/>
      <c r="Q6" s="796" t="s">
        <v>680</v>
      </c>
      <c r="R6" s="797"/>
      <c r="T6" s="796" t="s">
        <v>681</v>
      </c>
      <c r="U6" s="797"/>
      <c r="W6" s="796" t="s">
        <v>682</v>
      </c>
      <c r="X6" s="797"/>
      <c r="Z6" s="796" t="s">
        <v>393</v>
      </c>
      <c r="AA6" s="797"/>
      <c r="AC6" s="796" t="s">
        <v>683</v>
      </c>
      <c r="AD6" s="797"/>
      <c r="AF6" s="796" t="s">
        <v>335</v>
      </c>
      <c r="AG6" s="797"/>
    </row>
    <row r="7" spans="2:37" x14ac:dyDescent="0.3">
      <c r="B7" s="277" t="s">
        <v>154</v>
      </c>
      <c r="C7" s="278"/>
      <c r="D7" s="68"/>
      <c r="E7" s="277" t="s">
        <v>154</v>
      </c>
      <c r="F7" s="278"/>
      <c r="H7" s="277" t="s">
        <v>154</v>
      </c>
      <c r="I7" s="278"/>
      <c r="K7" s="277" t="s">
        <v>154</v>
      </c>
      <c r="L7" s="278"/>
      <c r="N7" s="277" t="s">
        <v>154</v>
      </c>
      <c r="O7" s="278"/>
      <c r="Q7" s="277" t="s">
        <v>154</v>
      </c>
      <c r="R7" s="278"/>
      <c r="T7" s="277" t="s">
        <v>154</v>
      </c>
      <c r="U7" s="278"/>
      <c r="W7" s="277" t="s">
        <v>154</v>
      </c>
      <c r="X7" s="278"/>
      <c r="Z7" s="277" t="s">
        <v>154</v>
      </c>
      <c r="AA7" s="278"/>
      <c r="AC7" s="277" t="s">
        <v>154</v>
      </c>
      <c r="AD7" s="278"/>
      <c r="AF7" s="277" t="s">
        <v>154</v>
      </c>
      <c r="AG7" s="278"/>
    </row>
    <row r="8" spans="2:37" x14ac:dyDescent="0.3">
      <c r="B8" s="1" t="s">
        <v>51</v>
      </c>
      <c r="C8" s="50" t="s">
        <v>156</v>
      </c>
      <c r="D8" s="279"/>
      <c r="E8" s="1" t="s">
        <v>51</v>
      </c>
      <c r="F8" s="50" t="s">
        <v>156</v>
      </c>
      <c r="H8" s="1" t="s">
        <v>51</v>
      </c>
      <c r="I8" s="50" t="s">
        <v>156</v>
      </c>
      <c r="K8" s="1" t="s">
        <v>51</v>
      </c>
      <c r="L8" s="50" t="s">
        <v>156</v>
      </c>
      <c r="N8" s="1" t="s">
        <v>51</v>
      </c>
      <c r="O8" s="50" t="s">
        <v>156</v>
      </c>
      <c r="Q8" s="1" t="s">
        <v>51</v>
      </c>
      <c r="R8" s="50" t="s">
        <v>156</v>
      </c>
      <c r="T8" s="1" t="s">
        <v>51</v>
      </c>
      <c r="U8" s="50" t="s">
        <v>156</v>
      </c>
      <c r="W8" s="1" t="s">
        <v>51</v>
      </c>
      <c r="X8" s="50" t="s">
        <v>156</v>
      </c>
      <c r="Z8" s="1" t="s">
        <v>51</v>
      </c>
      <c r="AA8" s="50" t="s">
        <v>156</v>
      </c>
      <c r="AC8" s="1" t="s">
        <v>51</v>
      </c>
      <c r="AD8" s="50" t="s">
        <v>156</v>
      </c>
      <c r="AF8" s="1" t="s">
        <v>51</v>
      </c>
      <c r="AG8" s="50" t="s">
        <v>156</v>
      </c>
      <c r="AK8" s="257"/>
    </row>
    <row r="9" spans="2:37" s="280" customFormat="1" x14ac:dyDescent="0.3">
      <c r="B9" s="281" t="s">
        <v>131</v>
      </c>
      <c r="C9" s="51">
        <f>SUM(C11:C45)</f>
        <v>268635.96749581344</v>
      </c>
      <c r="D9" s="258"/>
      <c r="E9" s="281" t="s">
        <v>131</v>
      </c>
      <c r="F9" s="51">
        <f>SUM(F11:F45)</f>
        <v>276809.65375209204</v>
      </c>
      <c r="H9" s="281" t="s">
        <v>131</v>
      </c>
      <c r="I9" s="51">
        <f>SUM(I11:I45)</f>
        <v>290685.63342318067</v>
      </c>
      <c r="K9" s="281" t="s">
        <v>131</v>
      </c>
      <c r="L9" s="51">
        <f>SUM(L11:L45)</f>
        <v>528809.65375209204</v>
      </c>
      <c r="N9" s="281" t="s">
        <v>131</v>
      </c>
      <c r="O9" s="51">
        <f>SUM(O11:O45)</f>
        <v>294308.52082412754</v>
      </c>
      <c r="Q9" s="281" t="s">
        <v>131</v>
      </c>
      <c r="R9" s="51">
        <f>SUM(R11:R45)</f>
        <v>118500</v>
      </c>
      <c r="T9" s="281" t="s">
        <v>131</v>
      </c>
      <c r="U9" s="51">
        <f>SUM(U11:U45)</f>
        <v>488500</v>
      </c>
      <c r="W9" s="281" t="s">
        <v>131</v>
      </c>
      <c r="X9" s="51">
        <f>SUM(X11:X45)</f>
        <v>881700</v>
      </c>
      <c r="Z9" s="281" t="s">
        <v>131</v>
      </c>
      <c r="AA9" s="51">
        <f>SUM(AA11:AA45)</f>
        <v>98500</v>
      </c>
      <c r="AC9" s="281" t="s">
        <v>131</v>
      </c>
      <c r="AD9" s="51">
        <f>SUM(AD11:AD45)</f>
        <v>178500</v>
      </c>
      <c r="AF9" s="281" t="s">
        <v>131</v>
      </c>
      <c r="AG9" s="51">
        <f>SUM(AG11:AG45)</f>
        <v>118500</v>
      </c>
      <c r="AK9" s="257"/>
    </row>
    <row r="10" spans="2:37" x14ac:dyDescent="0.3">
      <c r="B10" s="282">
        <v>0</v>
      </c>
      <c r="C10" s="284"/>
      <c r="D10" s="68"/>
      <c r="E10" s="282">
        <v>0</v>
      </c>
      <c r="F10" s="284"/>
      <c r="H10" s="282">
        <v>0</v>
      </c>
      <c r="I10" s="284"/>
      <c r="K10" s="282">
        <v>0</v>
      </c>
      <c r="L10" s="284"/>
      <c r="N10" s="282">
        <v>0</v>
      </c>
      <c r="O10" s="284"/>
      <c r="Q10" s="282">
        <v>0</v>
      </c>
      <c r="R10" s="284"/>
      <c r="T10" s="282">
        <v>0</v>
      </c>
      <c r="U10" s="284"/>
      <c r="W10" s="282">
        <v>0</v>
      </c>
      <c r="X10" s="284"/>
      <c r="Z10" s="282">
        <v>0</v>
      </c>
      <c r="AA10" s="284"/>
      <c r="AC10" s="282">
        <v>0</v>
      </c>
      <c r="AD10" s="284"/>
      <c r="AF10" s="282">
        <v>0</v>
      </c>
      <c r="AG10" s="284"/>
      <c r="AK10" s="257"/>
    </row>
    <row r="11" spans="2:37" s="107" customFormat="1" x14ac:dyDescent="0.3">
      <c r="B11" s="674">
        <f>B10+1</f>
        <v>1</v>
      </c>
      <c r="C11" s="675">
        <f>IF(B11&lt;=Fish_Inputs!$J$17,(Fish_Inputs!$J$18-Fish_Inputs!$J$19)/Fish_Inputs!$J$17,0)</f>
        <v>10745.438699832541</v>
      </c>
      <c r="D11" s="676"/>
      <c r="E11" s="674">
        <f>E10+1</f>
        <v>1</v>
      </c>
      <c r="F11" s="675">
        <f>IF(E11&lt;=Fruit_Inputs!$J$17,(Fruit_Inputs!$J$18-Fruit_Inputs!$J$19)/Fruit_Inputs!$J$17,0)</f>
        <v>11072.386150083685</v>
      </c>
      <c r="H11" s="674">
        <f>H10+1</f>
        <v>1</v>
      </c>
      <c r="I11" s="675">
        <f>IF(H11&lt;=Veg_Inputs!$J$17,(Veg_Inputs!$J$18-Veg_Inputs!$J$19)/Veg_Inputs!$J$17,0)</f>
        <v>11627.425336927225</v>
      </c>
      <c r="K11" s="674">
        <f>K10+1</f>
        <v>1</v>
      </c>
      <c r="L11" s="675">
        <f>IF(K11&lt;=Rice_Inputs!$J$17,(Rice_Inputs!$J$18-Rice_Inputs!$J$19)/Rice_Inputs!$J$17,0)</f>
        <v>21152.386150083687</v>
      </c>
      <c r="N11" s="674">
        <f>N10+1</f>
        <v>1</v>
      </c>
      <c r="O11" s="675">
        <f>IF(N11&lt;=Pyre_Inputs!$J$17,(Pyre_Inputs!$J$18-Pyre_Inputs!$J$19)/Pyre_Inputs!$J$17,0)</f>
        <v>11772.340832965107</v>
      </c>
      <c r="Q11" s="674">
        <f>Q10+1</f>
        <v>1</v>
      </c>
      <c r="R11" s="675">
        <f>IF(Q11&lt;=Tea_Retrofit!$J$10,(Tea_Retrofit!$J$11-Tea_Retrofit!$J$12)/Tea_Retrofit!$J$10,0)</f>
        <v>4740</v>
      </c>
      <c r="T11" s="674">
        <f>T10+1</f>
        <v>1</v>
      </c>
      <c r="U11" s="675">
        <f>IF(T11&lt;=Tobacco_Retrofit!$J$10,(Tobacco_Retrofit!$J$11-Tobacco_Retrofit!$J$12)/Tobacco_Retrofit!$J$10,0)</f>
        <v>19540</v>
      </c>
      <c r="W11" s="674">
        <f>W10+1</f>
        <v>1</v>
      </c>
      <c r="X11" s="675">
        <f>IF(W11&lt;=Spas_Inputs!$J$24,(Spas_Inputs!$J$25-Spas_Inputs!$J$26)/Spas_Inputs!$J$24,0)</f>
        <v>35268</v>
      </c>
      <c r="Z11" s="674">
        <f>Z10+1</f>
        <v>1</v>
      </c>
      <c r="AA11" s="675">
        <f>IF(Z11&lt;=Hatchery_Retrofit!$J$10,(Hatchery_Retrofit!$J$11-Hatchery_Retrofit!$J$12)/Hatchery_Retrofit!$J$10,0)</f>
        <v>3940</v>
      </c>
      <c r="AC11" s="674">
        <f>AC10+1</f>
        <v>1</v>
      </c>
      <c r="AD11" s="675">
        <f>IF(AC11&lt;=Milk_Retrofit!$J$10,(Milk_Retrofit!$J$11-Milk_Retrofit!$J$12)/Milk_Retrofit!$J$10,0)</f>
        <v>7140</v>
      </c>
      <c r="AF11" s="674">
        <f>AF10+1</f>
        <v>1</v>
      </c>
      <c r="AG11" s="675">
        <f>IF(AF11&lt;=Greenhouse_Retrofit!$J$10,(Greenhouse_Retrofit!$J$11-Greenhouse_Retrofit!$J$12)/Greenhouse_Retrofit!$J$10,0)</f>
        <v>4740</v>
      </c>
    </row>
    <row r="12" spans="2:37" s="107" customFormat="1" x14ac:dyDescent="0.3">
      <c r="B12" s="677">
        <f t="shared" ref="B12:B45" si="0">B11+1</f>
        <v>2</v>
      </c>
      <c r="C12" s="675">
        <f>IF(B12&lt;=Fish_Inputs!$J$17,(Fish_Inputs!$J$18-Fish_Inputs!$J$19)/Fish_Inputs!$J$17,0)</f>
        <v>10745.438699832541</v>
      </c>
      <c r="D12" s="676"/>
      <c r="E12" s="677">
        <f t="shared" ref="E12:E45" si="1">E11+1</f>
        <v>2</v>
      </c>
      <c r="F12" s="675">
        <f>IF(E12&lt;=Fruit_Inputs!$J$17,(Fruit_Inputs!$J$18-Fruit_Inputs!$J$19)/Fruit_Inputs!$J$17,0)</f>
        <v>11072.386150083685</v>
      </c>
      <c r="H12" s="677">
        <f t="shared" ref="H12:H45" si="2">H11+1</f>
        <v>2</v>
      </c>
      <c r="I12" s="675">
        <f>IF(H12&lt;=Veg_Inputs!$J$17,(Veg_Inputs!$J$18-Veg_Inputs!$J$19)/Veg_Inputs!$J$17,0)</f>
        <v>11627.425336927225</v>
      </c>
      <c r="K12" s="677">
        <f t="shared" ref="K12:K45" si="3">K11+1</f>
        <v>2</v>
      </c>
      <c r="L12" s="675">
        <f>IF(K12&lt;=Rice_Inputs!$J$17,(Rice_Inputs!$J$18-Rice_Inputs!$J$19)/Rice_Inputs!$J$17,0)</f>
        <v>21152.386150083687</v>
      </c>
      <c r="N12" s="677">
        <f t="shared" ref="N12:N45" si="4">N11+1</f>
        <v>2</v>
      </c>
      <c r="O12" s="675">
        <f>IF(N12&lt;=Pyre_Inputs!$J$17,(Pyre_Inputs!$J$18-Pyre_Inputs!$J$19)/Pyre_Inputs!$J$17,0)</f>
        <v>11772.340832965107</v>
      </c>
      <c r="Q12" s="677">
        <f t="shared" ref="Q12:Q45" si="5">Q11+1</f>
        <v>2</v>
      </c>
      <c r="R12" s="675">
        <f>IF(Q12&lt;=Tea_Retrofit!$J$10,(Tea_Retrofit!$J$11-Tea_Retrofit!$J$12)/Tea_Retrofit!$J$10,0)</f>
        <v>4740</v>
      </c>
      <c r="T12" s="677">
        <f t="shared" ref="T12:T45" si="6">T11+1</f>
        <v>2</v>
      </c>
      <c r="U12" s="675">
        <f>IF(T12&lt;=Tobacco_Retrofit!$J$10,(Tobacco_Retrofit!$J$11-Tobacco_Retrofit!$J$12)/Tobacco_Retrofit!$J$10,0)</f>
        <v>19540</v>
      </c>
      <c r="W12" s="677">
        <f t="shared" ref="W12:W45" si="7">W11+1</f>
        <v>2</v>
      </c>
      <c r="X12" s="675">
        <f>IF(W12&lt;=Spas_Inputs!$J$24,(Spas_Inputs!$J$25-Spas_Inputs!$J$26)/Spas_Inputs!$J$24,0)</f>
        <v>35268</v>
      </c>
      <c r="Z12" s="677">
        <f t="shared" ref="Z12:Z45" si="8">Z11+1</f>
        <v>2</v>
      </c>
      <c r="AA12" s="675">
        <f>IF(Z12&lt;=Hatchery_Retrofit!$J$10,(Hatchery_Retrofit!$J$11-Hatchery_Retrofit!$J$12)/Hatchery_Retrofit!$J$10,0)</f>
        <v>3940</v>
      </c>
      <c r="AC12" s="677">
        <f t="shared" ref="AC12:AC45" si="9">AC11+1</f>
        <v>2</v>
      </c>
      <c r="AD12" s="675">
        <f>IF(AC12&lt;=Milk_Retrofit!$J$10,(Milk_Retrofit!$J$11-Milk_Retrofit!$J$12)/Milk_Retrofit!$J$10,0)</f>
        <v>7140</v>
      </c>
      <c r="AF12" s="677">
        <f t="shared" ref="AF12:AF45" si="10">AF11+1</f>
        <v>2</v>
      </c>
      <c r="AG12" s="675">
        <f>IF(AF12&lt;=Greenhouse_Retrofit!$J$10,(Greenhouse_Retrofit!$J$11-Greenhouse_Retrofit!$J$12)/Greenhouse_Retrofit!$J$10,0)</f>
        <v>4740</v>
      </c>
    </row>
    <row r="13" spans="2:37" s="107" customFormat="1" x14ac:dyDescent="0.3">
      <c r="B13" s="677">
        <f t="shared" si="0"/>
        <v>3</v>
      </c>
      <c r="C13" s="675">
        <f>IF(B13&lt;=Fish_Inputs!$J$17,(Fish_Inputs!$J$18-Fish_Inputs!$J$19)/Fish_Inputs!$J$17,0)</f>
        <v>10745.438699832541</v>
      </c>
      <c r="D13" s="676"/>
      <c r="E13" s="677">
        <f t="shared" si="1"/>
        <v>3</v>
      </c>
      <c r="F13" s="675">
        <f>IF(E13&lt;=Fruit_Inputs!$J$17,(Fruit_Inputs!$J$18-Fruit_Inputs!$J$19)/Fruit_Inputs!$J$17,0)</f>
        <v>11072.386150083685</v>
      </c>
      <c r="H13" s="677">
        <f t="shared" si="2"/>
        <v>3</v>
      </c>
      <c r="I13" s="675">
        <f>IF(H13&lt;=Veg_Inputs!$J$17,(Veg_Inputs!$J$18-Veg_Inputs!$J$19)/Veg_Inputs!$J$17,0)</f>
        <v>11627.425336927225</v>
      </c>
      <c r="K13" s="677">
        <f t="shared" si="3"/>
        <v>3</v>
      </c>
      <c r="L13" s="675">
        <f>IF(K13&lt;=Rice_Inputs!$J$17,(Rice_Inputs!$J$18-Rice_Inputs!$J$19)/Rice_Inputs!$J$17,0)</f>
        <v>21152.386150083687</v>
      </c>
      <c r="N13" s="677">
        <f t="shared" si="4"/>
        <v>3</v>
      </c>
      <c r="O13" s="675">
        <f>IF(N13&lt;=Pyre_Inputs!$J$17,(Pyre_Inputs!$J$18-Pyre_Inputs!$J$19)/Pyre_Inputs!$J$17,0)</f>
        <v>11772.340832965107</v>
      </c>
      <c r="Q13" s="677">
        <f t="shared" si="5"/>
        <v>3</v>
      </c>
      <c r="R13" s="675">
        <f>IF(Q13&lt;=Tea_Retrofit!$J$10,(Tea_Retrofit!$J$11-Tea_Retrofit!$J$12)/Tea_Retrofit!$J$10,0)</f>
        <v>4740</v>
      </c>
      <c r="T13" s="677">
        <f t="shared" si="6"/>
        <v>3</v>
      </c>
      <c r="U13" s="675">
        <f>IF(T13&lt;=Tobacco_Retrofit!$J$10,(Tobacco_Retrofit!$J$11-Tobacco_Retrofit!$J$12)/Tobacco_Retrofit!$J$10,0)</f>
        <v>19540</v>
      </c>
      <c r="W13" s="677">
        <f t="shared" si="7"/>
        <v>3</v>
      </c>
      <c r="X13" s="675">
        <f>IF(W13&lt;=Spas_Inputs!$J$24,(Spas_Inputs!$J$25-Spas_Inputs!$J$26)/Spas_Inputs!$J$24,0)</f>
        <v>35268</v>
      </c>
      <c r="Z13" s="677">
        <f t="shared" si="8"/>
        <v>3</v>
      </c>
      <c r="AA13" s="675">
        <f>IF(Z13&lt;=Hatchery_Retrofit!$J$10,(Hatchery_Retrofit!$J$11-Hatchery_Retrofit!$J$12)/Hatchery_Retrofit!$J$10,0)</f>
        <v>3940</v>
      </c>
      <c r="AC13" s="677">
        <f t="shared" si="9"/>
        <v>3</v>
      </c>
      <c r="AD13" s="675">
        <f>IF(AC13&lt;=Milk_Retrofit!$J$10,(Milk_Retrofit!$J$11-Milk_Retrofit!$J$12)/Milk_Retrofit!$J$10,0)</f>
        <v>7140</v>
      </c>
      <c r="AF13" s="677">
        <f t="shared" si="10"/>
        <v>3</v>
      </c>
      <c r="AG13" s="675">
        <f>IF(AF13&lt;=Greenhouse_Retrofit!$J$10,(Greenhouse_Retrofit!$J$11-Greenhouse_Retrofit!$J$12)/Greenhouse_Retrofit!$J$10,0)</f>
        <v>4740</v>
      </c>
    </row>
    <row r="14" spans="2:37" s="107" customFormat="1" x14ac:dyDescent="0.3">
      <c r="B14" s="677">
        <f t="shared" si="0"/>
        <v>4</v>
      </c>
      <c r="C14" s="675">
        <f>IF(B14&lt;=Fish_Inputs!$J$17,(Fish_Inputs!$J$18-Fish_Inputs!$J$19)/Fish_Inputs!$J$17,0)</f>
        <v>10745.438699832541</v>
      </c>
      <c r="D14" s="676"/>
      <c r="E14" s="677">
        <f t="shared" si="1"/>
        <v>4</v>
      </c>
      <c r="F14" s="675">
        <f>IF(E14&lt;=Fruit_Inputs!$J$17,(Fruit_Inputs!$J$18-Fruit_Inputs!$J$19)/Fruit_Inputs!$J$17,0)</f>
        <v>11072.386150083685</v>
      </c>
      <c r="H14" s="677">
        <f t="shared" si="2"/>
        <v>4</v>
      </c>
      <c r="I14" s="675">
        <f>IF(H14&lt;=Veg_Inputs!$J$17,(Veg_Inputs!$J$18-Veg_Inputs!$J$19)/Veg_Inputs!$J$17,0)</f>
        <v>11627.425336927225</v>
      </c>
      <c r="K14" s="677">
        <f t="shared" si="3"/>
        <v>4</v>
      </c>
      <c r="L14" s="675">
        <f>IF(K14&lt;=Rice_Inputs!$J$17,(Rice_Inputs!$J$18-Rice_Inputs!$J$19)/Rice_Inputs!$J$17,0)</f>
        <v>21152.386150083687</v>
      </c>
      <c r="N14" s="677">
        <f t="shared" si="4"/>
        <v>4</v>
      </c>
      <c r="O14" s="675">
        <f>IF(N14&lt;=Pyre_Inputs!$J$17,(Pyre_Inputs!$J$18-Pyre_Inputs!$J$19)/Pyre_Inputs!$J$17,0)</f>
        <v>11772.340832965107</v>
      </c>
      <c r="Q14" s="677">
        <f t="shared" si="5"/>
        <v>4</v>
      </c>
      <c r="R14" s="675">
        <f>IF(Q14&lt;=Tea_Retrofit!$J$10,(Tea_Retrofit!$J$11-Tea_Retrofit!$J$12)/Tea_Retrofit!$J$10,0)</f>
        <v>4740</v>
      </c>
      <c r="T14" s="677">
        <f t="shared" si="6"/>
        <v>4</v>
      </c>
      <c r="U14" s="675">
        <f>IF(T14&lt;=Tobacco_Retrofit!$J$10,(Tobacco_Retrofit!$J$11-Tobacco_Retrofit!$J$12)/Tobacco_Retrofit!$J$10,0)</f>
        <v>19540</v>
      </c>
      <c r="W14" s="677">
        <f t="shared" si="7"/>
        <v>4</v>
      </c>
      <c r="X14" s="675">
        <f>IF(W14&lt;=Spas_Inputs!$J$24,(Spas_Inputs!$J$25-Spas_Inputs!$J$26)/Spas_Inputs!$J$24,0)</f>
        <v>35268</v>
      </c>
      <c r="Z14" s="677">
        <f t="shared" si="8"/>
        <v>4</v>
      </c>
      <c r="AA14" s="675">
        <f>IF(Z14&lt;=Hatchery_Retrofit!$J$10,(Hatchery_Retrofit!$J$11-Hatchery_Retrofit!$J$12)/Hatchery_Retrofit!$J$10,0)</f>
        <v>3940</v>
      </c>
      <c r="AC14" s="677">
        <f t="shared" si="9"/>
        <v>4</v>
      </c>
      <c r="AD14" s="675">
        <f>IF(AC14&lt;=Milk_Retrofit!$J$10,(Milk_Retrofit!$J$11-Milk_Retrofit!$J$12)/Milk_Retrofit!$J$10,0)</f>
        <v>7140</v>
      </c>
      <c r="AF14" s="677">
        <f t="shared" si="10"/>
        <v>4</v>
      </c>
      <c r="AG14" s="675">
        <f>IF(AF14&lt;=Greenhouse_Retrofit!$J$10,(Greenhouse_Retrofit!$J$11-Greenhouse_Retrofit!$J$12)/Greenhouse_Retrofit!$J$10,0)</f>
        <v>4740</v>
      </c>
    </row>
    <row r="15" spans="2:37" s="107" customFormat="1" x14ac:dyDescent="0.3">
      <c r="B15" s="677">
        <f t="shared" si="0"/>
        <v>5</v>
      </c>
      <c r="C15" s="675">
        <f>IF(B15&lt;=Fish_Inputs!$J$17,(Fish_Inputs!$J$18-Fish_Inputs!$J$19)/Fish_Inputs!$J$17,0)</f>
        <v>10745.438699832541</v>
      </c>
      <c r="D15" s="676"/>
      <c r="E15" s="677">
        <f t="shared" si="1"/>
        <v>5</v>
      </c>
      <c r="F15" s="675">
        <f>IF(E15&lt;=Fruit_Inputs!$J$17,(Fruit_Inputs!$J$18-Fruit_Inputs!$J$19)/Fruit_Inputs!$J$17,0)</f>
        <v>11072.386150083685</v>
      </c>
      <c r="H15" s="677">
        <f t="shared" si="2"/>
        <v>5</v>
      </c>
      <c r="I15" s="675">
        <f>IF(H15&lt;=Veg_Inputs!$J$17,(Veg_Inputs!$J$18-Veg_Inputs!$J$19)/Veg_Inputs!$J$17,0)</f>
        <v>11627.425336927225</v>
      </c>
      <c r="K15" s="677">
        <f t="shared" si="3"/>
        <v>5</v>
      </c>
      <c r="L15" s="675">
        <f>IF(K15&lt;=Rice_Inputs!$J$17,(Rice_Inputs!$J$18-Rice_Inputs!$J$19)/Rice_Inputs!$J$17,0)</f>
        <v>21152.386150083687</v>
      </c>
      <c r="N15" s="677">
        <f t="shared" si="4"/>
        <v>5</v>
      </c>
      <c r="O15" s="675">
        <f>IF(N15&lt;=Pyre_Inputs!$J$17,(Pyre_Inputs!$J$18-Pyre_Inputs!$J$19)/Pyre_Inputs!$J$17,0)</f>
        <v>11772.340832965107</v>
      </c>
      <c r="Q15" s="677">
        <f t="shared" si="5"/>
        <v>5</v>
      </c>
      <c r="R15" s="675">
        <f>IF(Q15&lt;=Tea_Retrofit!$J$10,(Tea_Retrofit!$J$11-Tea_Retrofit!$J$12)/Tea_Retrofit!$J$10,0)</f>
        <v>4740</v>
      </c>
      <c r="T15" s="677">
        <f t="shared" si="6"/>
        <v>5</v>
      </c>
      <c r="U15" s="675">
        <f>IF(T15&lt;=Tobacco_Retrofit!$J$10,(Tobacco_Retrofit!$J$11-Tobacco_Retrofit!$J$12)/Tobacco_Retrofit!$J$10,0)</f>
        <v>19540</v>
      </c>
      <c r="W15" s="677">
        <f t="shared" si="7"/>
        <v>5</v>
      </c>
      <c r="X15" s="675">
        <f>IF(W15&lt;=Spas_Inputs!$J$24,(Spas_Inputs!$J$25-Spas_Inputs!$J$26)/Spas_Inputs!$J$24,0)</f>
        <v>35268</v>
      </c>
      <c r="Z15" s="677">
        <f t="shared" si="8"/>
        <v>5</v>
      </c>
      <c r="AA15" s="675">
        <f>IF(Z15&lt;=Hatchery_Retrofit!$J$10,(Hatchery_Retrofit!$J$11-Hatchery_Retrofit!$J$12)/Hatchery_Retrofit!$J$10,0)</f>
        <v>3940</v>
      </c>
      <c r="AC15" s="677">
        <f t="shared" si="9"/>
        <v>5</v>
      </c>
      <c r="AD15" s="675">
        <f>IF(AC15&lt;=Milk_Retrofit!$J$10,(Milk_Retrofit!$J$11-Milk_Retrofit!$J$12)/Milk_Retrofit!$J$10,0)</f>
        <v>7140</v>
      </c>
      <c r="AF15" s="677">
        <f t="shared" si="10"/>
        <v>5</v>
      </c>
      <c r="AG15" s="675">
        <f>IF(AF15&lt;=Greenhouse_Retrofit!$J$10,(Greenhouse_Retrofit!$J$11-Greenhouse_Retrofit!$J$12)/Greenhouse_Retrofit!$J$10,0)</f>
        <v>4740</v>
      </c>
    </row>
    <row r="16" spans="2:37" s="107" customFormat="1" x14ac:dyDescent="0.3">
      <c r="B16" s="677">
        <f t="shared" si="0"/>
        <v>6</v>
      </c>
      <c r="C16" s="675">
        <f>IF(B16&lt;=Fish_Inputs!$J$17,(Fish_Inputs!$J$18-Fish_Inputs!$J$19)/Fish_Inputs!$J$17,0)</f>
        <v>10745.438699832541</v>
      </c>
      <c r="D16" s="676"/>
      <c r="E16" s="677">
        <f t="shared" si="1"/>
        <v>6</v>
      </c>
      <c r="F16" s="675">
        <f>IF(E16&lt;=Fruit_Inputs!$J$17,(Fruit_Inputs!$J$18-Fruit_Inputs!$J$19)/Fruit_Inputs!$J$17,0)</f>
        <v>11072.386150083685</v>
      </c>
      <c r="H16" s="677">
        <f t="shared" si="2"/>
        <v>6</v>
      </c>
      <c r="I16" s="675">
        <f>IF(H16&lt;=Veg_Inputs!$J$17,(Veg_Inputs!$J$18-Veg_Inputs!$J$19)/Veg_Inputs!$J$17,0)</f>
        <v>11627.425336927225</v>
      </c>
      <c r="K16" s="677">
        <f t="shared" si="3"/>
        <v>6</v>
      </c>
      <c r="L16" s="675">
        <f>IF(K16&lt;=Rice_Inputs!$J$17,(Rice_Inputs!$J$18-Rice_Inputs!$J$19)/Rice_Inputs!$J$17,0)</f>
        <v>21152.386150083687</v>
      </c>
      <c r="N16" s="677">
        <f t="shared" si="4"/>
        <v>6</v>
      </c>
      <c r="O16" s="675">
        <f>IF(N16&lt;=Pyre_Inputs!$J$17,(Pyre_Inputs!$J$18-Pyre_Inputs!$J$19)/Pyre_Inputs!$J$17,0)</f>
        <v>11772.340832965107</v>
      </c>
      <c r="Q16" s="677">
        <f t="shared" si="5"/>
        <v>6</v>
      </c>
      <c r="R16" s="675">
        <f>IF(Q16&lt;=Tea_Retrofit!$J$10,(Tea_Retrofit!$J$11-Tea_Retrofit!$J$12)/Tea_Retrofit!$J$10,0)</f>
        <v>4740</v>
      </c>
      <c r="T16" s="677">
        <f t="shared" si="6"/>
        <v>6</v>
      </c>
      <c r="U16" s="675">
        <f>IF(T16&lt;=Tobacco_Retrofit!$J$10,(Tobacco_Retrofit!$J$11-Tobacco_Retrofit!$J$12)/Tobacco_Retrofit!$J$10,0)</f>
        <v>19540</v>
      </c>
      <c r="W16" s="677">
        <f t="shared" si="7"/>
        <v>6</v>
      </c>
      <c r="X16" s="675">
        <f>IF(W16&lt;=Spas_Inputs!$J$24,(Spas_Inputs!$J$25-Spas_Inputs!$J$26)/Spas_Inputs!$J$24,0)</f>
        <v>35268</v>
      </c>
      <c r="Z16" s="677">
        <f t="shared" si="8"/>
        <v>6</v>
      </c>
      <c r="AA16" s="675">
        <f>IF(Z16&lt;=Hatchery_Retrofit!$J$10,(Hatchery_Retrofit!$J$11-Hatchery_Retrofit!$J$12)/Hatchery_Retrofit!$J$10,0)</f>
        <v>3940</v>
      </c>
      <c r="AC16" s="677">
        <f t="shared" si="9"/>
        <v>6</v>
      </c>
      <c r="AD16" s="675">
        <f>IF(AC16&lt;=Milk_Retrofit!$J$10,(Milk_Retrofit!$J$11-Milk_Retrofit!$J$12)/Milk_Retrofit!$J$10,0)</f>
        <v>7140</v>
      </c>
      <c r="AF16" s="677">
        <f t="shared" si="10"/>
        <v>6</v>
      </c>
      <c r="AG16" s="675">
        <f>IF(AF16&lt;=Greenhouse_Retrofit!$J$10,(Greenhouse_Retrofit!$J$11-Greenhouse_Retrofit!$J$12)/Greenhouse_Retrofit!$J$10,0)</f>
        <v>4740</v>
      </c>
    </row>
    <row r="17" spans="2:33" s="107" customFormat="1" x14ac:dyDescent="0.3">
      <c r="B17" s="677">
        <f t="shared" si="0"/>
        <v>7</v>
      </c>
      <c r="C17" s="675">
        <f>IF(B17&lt;=Fish_Inputs!$J$17,(Fish_Inputs!$J$18-Fish_Inputs!$J$19)/Fish_Inputs!$J$17,0)</f>
        <v>10745.438699832541</v>
      </c>
      <c r="D17" s="676"/>
      <c r="E17" s="677">
        <f t="shared" si="1"/>
        <v>7</v>
      </c>
      <c r="F17" s="675">
        <f>IF(E17&lt;=Fruit_Inputs!$J$17,(Fruit_Inputs!$J$18-Fruit_Inputs!$J$19)/Fruit_Inputs!$J$17,0)</f>
        <v>11072.386150083685</v>
      </c>
      <c r="H17" s="677">
        <f t="shared" si="2"/>
        <v>7</v>
      </c>
      <c r="I17" s="675">
        <f>IF(H17&lt;=Veg_Inputs!$J$17,(Veg_Inputs!$J$18-Veg_Inputs!$J$19)/Veg_Inputs!$J$17,0)</f>
        <v>11627.425336927225</v>
      </c>
      <c r="K17" s="677">
        <f t="shared" si="3"/>
        <v>7</v>
      </c>
      <c r="L17" s="675">
        <f>IF(K17&lt;=Rice_Inputs!$J$17,(Rice_Inputs!$J$18-Rice_Inputs!$J$19)/Rice_Inputs!$J$17,0)</f>
        <v>21152.386150083687</v>
      </c>
      <c r="N17" s="677">
        <f t="shared" si="4"/>
        <v>7</v>
      </c>
      <c r="O17" s="675">
        <f>IF(N17&lt;=Pyre_Inputs!$J$17,(Pyre_Inputs!$J$18-Pyre_Inputs!$J$19)/Pyre_Inputs!$J$17,0)</f>
        <v>11772.340832965107</v>
      </c>
      <c r="Q17" s="677">
        <f t="shared" si="5"/>
        <v>7</v>
      </c>
      <c r="R17" s="675">
        <f>IF(Q17&lt;=Tea_Retrofit!$J$10,(Tea_Retrofit!$J$11-Tea_Retrofit!$J$12)/Tea_Retrofit!$J$10,0)</f>
        <v>4740</v>
      </c>
      <c r="T17" s="677">
        <f t="shared" si="6"/>
        <v>7</v>
      </c>
      <c r="U17" s="675">
        <f>IF(T17&lt;=Tobacco_Retrofit!$J$10,(Tobacco_Retrofit!$J$11-Tobacco_Retrofit!$J$12)/Tobacco_Retrofit!$J$10,0)</f>
        <v>19540</v>
      </c>
      <c r="W17" s="677">
        <f t="shared" si="7"/>
        <v>7</v>
      </c>
      <c r="X17" s="675">
        <f>IF(W17&lt;=Spas_Inputs!$J$24,(Spas_Inputs!$J$25-Spas_Inputs!$J$26)/Spas_Inputs!$J$24,0)</f>
        <v>35268</v>
      </c>
      <c r="Z17" s="677">
        <f t="shared" si="8"/>
        <v>7</v>
      </c>
      <c r="AA17" s="675">
        <f>IF(Z17&lt;=Hatchery_Retrofit!$J$10,(Hatchery_Retrofit!$J$11-Hatchery_Retrofit!$J$12)/Hatchery_Retrofit!$J$10,0)</f>
        <v>3940</v>
      </c>
      <c r="AC17" s="677">
        <f t="shared" si="9"/>
        <v>7</v>
      </c>
      <c r="AD17" s="675">
        <f>IF(AC17&lt;=Milk_Retrofit!$J$10,(Milk_Retrofit!$J$11-Milk_Retrofit!$J$12)/Milk_Retrofit!$J$10,0)</f>
        <v>7140</v>
      </c>
      <c r="AF17" s="677">
        <f t="shared" si="10"/>
        <v>7</v>
      </c>
      <c r="AG17" s="675">
        <f>IF(AF17&lt;=Greenhouse_Retrofit!$J$10,(Greenhouse_Retrofit!$J$11-Greenhouse_Retrofit!$J$12)/Greenhouse_Retrofit!$J$10,0)</f>
        <v>4740</v>
      </c>
    </row>
    <row r="18" spans="2:33" s="107" customFormat="1" x14ac:dyDescent="0.3">
      <c r="B18" s="677">
        <f t="shared" si="0"/>
        <v>8</v>
      </c>
      <c r="C18" s="675">
        <f>IF(B18&lt;=Fish_Inputs!$J$17,(Fish_Inputs!$J$18-Fish_Inputs!$J$19)/Fish_Inputs!$J$17,0)</f>
        <v>10745.438699832541</v>
      </c>
      <c r="D18" s="676"/>
      <c r="E18" s="677">
        <f t="shared" si="1"/>
        <v>8</v>
      </c>
      <c r="F18" s="675">
        <f>IF(E18&lt;=Fruit_Inputs!$J$17,(Fruit_Inputs!$J$18-Fruit_Inputs!$J$19)/Fruit_Inputs!$J$17,0)</f>
        <v>11072.386150083685</v>
      </c>
      <c r="H18" s="677">
        <f t="shared" si="2"/>
        <v>8</v>
      </c>
      <c r="I18" s="675">
        <f>IF(H18&lt;=Veg_Inputs!$J$17,(Veg_Inputs!$J$18-Veg_Inputs!$J$19)/Veg_Inputs!$J$17,0)</f>
        <v>11627.425336927225</v>
      </c>
      <c r="K18" s="677">
        <f t="shared" si="3"/>
        <v>8</v>
      </c>
      <c r="L18" s="675">
        <f>IF(K18&lt;=Rice_Inputs!$J$17,(Rice_Inputs!$J$18-Rice_Inputs!$J$19)/Rice_Inputs!$J$17,0)</f>
        <v>21152.386150083687</v>
      </c>
      <c r="N18" s="677">
        <f t="shared" si="4"/>
        <v>8</v>
      </c>
      <c r="O18" s="675">
        <f>IF(N18&lt;=Pyre_Inputs!$J$17,(Pyre_Inputs!$J$18-Pyre_Inputs!$J$19)/Pyre_Inputs!$J$17,0)</f>
        <v>11772.340832965107</v>
      </c>
      <c r="Q18" s="677">
        <f t="shared" si="5"/>
        <v>8</v>
      </c>
      <c r="R18" s="675">
        <f>IF(Q18&lt;=Tea_Retrofit!$J$10,(Tea_Retrofit!$J$11-Tea_Retrofit!$J$12)/Tea_Retrofit!$J$10,0)</f>
        <v>4740</v>
      </c>
      <c r="T18" s="677">
        <f t="shared" si="6"/>
        <v>8</v>
      </c>
      <c r="U18" s="675">
        <f>IF(T18&lt;=Tobacco_Retrofit!$J$10,(Tobacco_Retrofit!$J$11-Tobacco_Retrofit!$J$12)/Tobacco_Retrofit!$J$10,0)</f>
        <v>19540</v>
      </c>
      <c r="W18" s="677">
        <f t="shared" si="7"/>
        <v>8</v>
      </c>
      <c r="X18" s="675">
        <f>IF(W18&lt;=Spas_Inputs!$J$24,(Spas_Inputs!$J$25-Spas_Inputs!$J$26)/Spas_Inputs!$J$24,0)</f>
        <v>35268</v>
      </c>
      <c r="Z18" s="677">
        <f t="shared" si="8"/>
        <v>8</v>
      </c>
      <c r="AA18" s="675">
        <f>IF(Z18&lt;=Hatchery_Retrofit!$J$10,(Hatchery_Retrofit!$J$11-Hatchery_Retrofit!$J$12)/Hatchery_Retrofit!$J$10,0)</f>
        <v>3940</v>
      </c>
      <c r="AC18" s="677">
        <f t="shared" si="9"/>
        <v>8</v>
      </c>
      <c r="AD18" s="675">
        <f>IF(AC18&lt;=Milk_Retrofit!$J$10,(Milk_Retrofit!$J$11-Milk_Retrofit!$J$12)/Milk_Retrofit!$J$10,0)</f>
        <v>7140</v>
      </c>
      <c r="AF18" s="677">
        <f t="shared" si="10"/>
        <v>8</v>
      </c>
      <c r="AG18" s="675">
        <f>IF(AF18&lt;=Greenhouse_Retrofit!$J$10,(Greenhouse_Retrofit!$J$11-Greenhouse_Retrofit!$J$12)/Greenhouse_Retrofit!$J$10,0)</f>
        <v>4740</v>
      </c>
    </row>
    <row r="19" spans="2:33" s="107" customFormat="1" x14ac:dyDescent="0.3">
      <c r="B19" s="677">
        <f t="shared" si="0"/>
        <v>9</v>
      </c>
      <c r="C19" s="675">
        <f>IF(B19&lt;=Fish_Inputs!$J$17,(Fish_Inputs!$J$18-Fish_Inputs!$J$19)/Fish_Inputs!$J$17,0)</f>
        <v>10745.438699832541</v>
      </c>
      <c r="D19" s="676"/>
      <c r="E19" s="677">
        <f t="shared" si="1"/>
        <v>9</v>
      </c>
      <c r="F19" s="675">
        <f>IF(E19&lt;=Fruit_Inputs!$J$17,(Fruit_Inputs!$J$18-Fruit_Inputs!$J$19)/Fruit_Inputs!$J$17,0)</f>
        <v>11072.386150083685</v>
      </c>
      <c r="H19" s="677">
        <f t="shared" si="2"/>
        <v>9</v>
      </c>
      <c r="I19" s="675">
        <f>IF(H19&lt;=Veg_Inputs!$J$17,(Veg_Inputs!$J$18-Veg_Inputs!$J$19)/Veg_Inputs!$J$17,0)</f>
        <v>11627.425336927225</v>
      </c>
      <c r="K19" s="677">
        <f t="shared" si="3"/>
        <v>9</v>
      </c>
      <c r="L19" s="675">
        <f>IF(K19&lt;=Rice_Inputs!$J$17,(Rice_Inputs!$J$18-Rice_Inputs!$J$19)/Rice_Inputs!$J$17,0)</f>
        <v>21152.386150083687</v>
      </c>
      <c r="N19" s="677">
        <f t="shared" si="4"/>
        <v>9</v>
      </c>
      <c r="O19" s="675">
        <f>IF(N19&lt;=Pyre_Inputs!$J$17,(Pyre_Inputs!$J$18-Pyre_Inputs!$J$19)/Pyre_Inputs!$J$17,0)</f>
        <v>11772.340832965107</v>
      </c>
      <c r="Q19" s="677">
        <f t="shared" si="5"/>
        <v>9</v>
      </c>
      <c r="R19" s="675">
        <f>IF(Q19&lt;=Tea_Retrofit!$J$10,(Tea_Retrofit!$J$11-Tea_Retrofit!$J$12)/Tea_Retrofit!$J$10,0)</f>
        <v>4740</v>
      </c>
      <c r="T19" s="677">
        <f t="shared" si="6"/>
        <v>9</v>
      </c>
      <c r="U19" s="675">
        <f>IF(T19&lt;=Tobacco_Retrofit!$J$10,(Tobacco_Retrofit!$J$11-Tobacco_Retrofit!$J$12)/Tobacco_Retrofit!$J$10,0)</f>
        <v>19540</v>
      </c>
      <c r="W19" s="677">
        <f t="shared" si="7"/>
        <v>9</v>
      </c>
      <c r="X19" s="675">
        <f>IF(W19&lt;=Spas_Inputs!$J$24,(Spas_Inputs!$J$25-Spas_Inputs!$J$26)/Spas_Inputs!$J$24,0)</f>
        <v>35268</v>
      </c>
      <c r="Z19" s="677">
        <f t="shared" si="8"/>
        <v>9</v>
      </c>
      <c r="AA19" s="675">
        <f>IF(Z19&lt;=Hatchery_Retrofit!$J$10,(Hatchery_Retrofit!$J$11-Hatchery_Retrofit!$J$12)/Hatchery_Retrofit!$J$10,0)</f>
        <v>3940</v>
      </c>
      <c r="AC19" s="677">
        <f t="shared" si="9"/>
        <v>9</v>
      </c>
      <c r="AD19" s="675">
        <f>IF(AC19&lt;=Milk_Retrofit!$J$10,(Milk_Retrofit!$J$11-Milk_Retrofit!$J$12)/Milk_Retrofit!$J$10,0)</f>
        <v>7140</v>
      </c>
      <c r="AF19" s="677">
        <f t="shared" si="10"/>
        <v>9</v>
      </c>
      <c r="AG19" s="675">
        <f>IF(AF19&lt;=Greenhouse_Retrofit!$J$10,(Greenhouse_Retrofit!$J$11-Greenhouse_Retrofit!$J$12)/Greenhouse_Retrofit!$J$10,0)</f>
        <v>4740</v>
      </c>
    </row>
    <row r="20" spans="2:33" s="107" customFormat="1" x14ac:dyDescent="0.3">
      <c r="B20" s="677">
        <f t="shared" si="0"/>
        <v>10</v>
      </c>
      <c r="C20" s="675">
        <f>IF(B20&lt;=Fish_Inputs!$J$17,(Fish_Inputs!$J$18-Fish_Inputs!$J$19)/Fish_Inputs!$J$17,0)</f>
        <v>10745.438699832541</v>
      </c>
      <c r="D20" s="676"/>
      <c r="E20" s="677">
        <f t="shared" si="1"/>
        <v>10</v>
      </c>
      <c r="F20" s="675">
        <f>IF(E20&lt;=Fruit_Inputs!$J$17,(Fruit_Inputs!$J$18-Fruit_Inputs!$J$19)/Fruit_Inputs!$J$17,0)</f>
        <v>11072.386150083685</v>
      </c>
      <c r="H20" s="677">
        <f t="shared" si="2"/>
        <v>10</v>
      </c>
      <c r="I20" s="675">
        <f>IF(H20&lt;=Veg_Inputs!$J$17,(Veg_Inputs!$J$18-Veg_Inputs!$J$19)/Veg_Inputs!$J$17,0)</f>
        <v>11627.425336927225</v>
      </c>
      <c r="K20" s="677">
        <f t="shared" si="3"/>
        <v>10</v>
      </c>
      <c r="L20" s="675">
        <f>IF(K20&lt;=Rice_Inputs!$J$17,(Rice_Inputs!$J$18-Rice_Inputs!$J$19)/Rice_Inputs!$J$17,0)</f>
        <v>21152.386150083687</v>
      </c>
      <c r="N20" s="677">
        <f t="shared" si="4"/>
        <v>10</v>
      </c>
      <c r="O20" s="675">
        <f>IF(N20&lt;=Pyre_Inputs!$J$17,(Pyre_Inputs!$J$18-Pyre_Inputs!$J$19)/Pyre_Inputs!$J$17,0)</f>
        <v>11772.340832965107</v>
      </c>
      <c r="Q20" s="677">
        <f t="shared" si="5"/>
        <v>10</v>
      </c>
      <c r="R20" s="675">
        <f>IF(Q20&lt;=Tea_Retrofit!$J$10,(Tea_Retrofit!$J$11-Tea_Retrofit!$J$12)/Tea_Retrofit!$J$10,0)</f>
        <v>4740</v>
      </c>
      <c r="T20" s="677">
        <f t="shared" si="6"/>
        <v>10</v>
      </c>
      <c r="U20" s="675">
        <f>IF(T20&lt;=Tobacco_Retrofit!$J$10,(Tobacco_Retrofit!$J$11-Tobacco_Retrofit!$J$12)/Tobacco_Retrofit!$J$10,0)</f>
        <v>19540</v>
      </c>
      <c r="W20" s="677">
        <f t="shared" si="7"/>
        <v>10</v>
      </c>
      <c r="X20" s="675">
        <f>IF(W20&lt;=Spas_Inputs!$J$24,(Spas_Inputs!$J$25-Spas_Inputs!$J$26)/Spas_Inputs!$J$24,0)</f>
        <v>35268</v>
      </c>
      <c r="Z20" s="677">
        <f t="shared" si="8"/>
        <v>10</v>
      </c>
      <c r="AA20" s="675">
        <f>IF(Z20&lt;=Hatchery_Retrofit!$J$10,(Hatchery_Retrofit!$J$11-Hatchery_Retrofit!$J$12)/Hatchery_Retrofit!$J$10,0)</f>
        <v>3940</v>
      </c>
      <c r="AC20" s="677">
        <f t="shared" si="9"/>
        <v>10</v>
      </c>
      <c r="AD20" s="675">
        <f>IF(AC20&lt;=Milk_Retrofit!$J$10,(Milk_Retrofit!$J$11-Milk_Retrofit!$J$12)/Milk_Retrofit!$J$10,0)</f>
        <v>7140</v>
      </c>
      <c r="AF20" s="677">
        <f t="shared" si="10"/>
        <v>10</v>
      </c>
      <c r="AG20" s="675">
        <f>IF(AF20&lt;=Greenhouse_Retrofit!$J$10,(Greenhouse_Retrofit!$J$11-Greenhouse_Retrofit!$J$12)/Greenhouse_Retrofit!$J$10,0)</f>
        <v>4740</v>
      </c>
    </row>
    <row r="21" spans="2:33" s="107" customFormat="1" x14ac:dyDescent="0.3">
      <c r="B21" s="677">
        <f t="shared" si="0"/>
        <v>11</v>
      </c>
      <c r="C21" s="675">
        <f>IF(B21&lt;=Fish_Inputs!$J$17,(Fish_Inputs!$J$18-Fish_Inputs!$J$19)/Fish_Inputs!$J$17,0)</f>
        <v>10745.438699832541</v>
      </c>
      <c r="D21" s="676"/>
      <c r="E21" s="677">
        <f t="shared" si="1"/>
        <v>11</v>
      </c>
      <c r="F21" s="675">
        <f>IF(E21&lt;=Fruit_Inputs!$J$17,(Fruit_Inputs!$J$18-Fruit_Inputs!$J$19)/Fruit_Inputs!$J$17,0)</f>
        <v>11072.386150083685</v>
      </c>
      <c r="H21" s="677">
        <f t="shared" si="2"/>
        <v>11</v>
      </c>
      <c r="I21" s="675">
        <f>IF(H21&lt;=Veg_Inputs!$J$17,(Veg_Inputs!$J$18-Veg_Inputs!$J$19)/Veg_Inputs!$J$17,0)</f>
        <v>11627.425336927225</v>
      </c>
      <c r="K21" s="677">
        <f t="shared" si="3"/>
        <v>11</v>
      </c>
      <c r="L21" s="675">
        <f>IF(K21&lt;=Rice_Inputs!$J$17,(Rice_Inputs!$J$18-Rice_Inputs!$J$19)/Rice_Inputs!$J$17,0)</f>
        <v>21152.386150083687</v>
      </c>
      <c r="N21" s="677">
        <f t="shared" si="4"/>
        <v>11</v>
      </c>
      <c r="O21" s="675">
        <f>IF(N21&lt;=Pyre_Inputs!$J$17,(Pyre_Inputs!$J$18-Pyre_Inputs!$J$19)/Pyre_Inputs!$J$17,0)</f>
        <v>11772.340832965107</v>
      </c>
      <c r="Q21" s="677">
        <f t="shared" si="5"/>
        <v>11</v>
      </c>
      <c r="R21" s="675">
        <f>IF(Q21&lt;=Tea_Retrofit!$J$10,(Tea_Retrofit!$J$11-Tea_Retrofit!$J$12)/Tea_Retrofit!$J$10,0)</f>
        <v>4740</v>
      </c>
      <c r="T21" s="677">
        <f t="shared" si="6"/>
        <v>11</v>
      </c>
      <c r="U21" s="675">
        <f>IF(T21&lt;=Tobacco_Retrofit!$J$10,(Tobacco_Retrofit!$J$11-Tobacco_Retrofit!$J$12)/Tobacco_Retrofit!$J$10,0)</f>
        <v>19540</v>
      </c>
      <c r="W21" s="677">
        <f t="shared" si="7"/>
        <v>11</v>
      </c>
      <c r="X21" s="675">
        <f>IF(W21&lt;=Spas_Inputs!$J$24,(Spas_Inputs!$J$25-Spas_Inputs!$J$26)/Spas_Inputs!$J$24,0)</f>
        <v>35268</v>
      </c>
      <c r="Z21" s="677">
        <f t="shared" si="8"/>
        <v>11</v>
      </c>
      <c r="AA21" s="675">
        <f>IF(Z21&lt;=Hatchery_Retrofit!$J$10,(Hatchery_Retrofit!$J$11-Hatchery_Retrofit!$J$12)/Hatchery_Retrofit!$J$10,0)</f>
        <v>3940</v>
      </c>
      <c r="AC21" s="677">
        <f t="shared" si="9"/>
        <v>11</v>
      </c>
      <c r="AD21" s="675">
        <f>IF(AC21&lt;=Milk_Retrofit!$J$10,(Milk_Retrofit!$J$11-Milk_Retrofit!$J$12)/Milk_Retrofit!$J$10,0)</f>
        <v>7140</v>
      </c>
      <c r="AF21" s="677">
        <f t="shared" si="10"/>
        <v>11</v>
      </c>
      <c r="AG21" s="675">
        <f>IF(AF21&lt;=Greenhouse_Retrofit!$J$10,(Greenhouse_Retrofit!$J$11-Greenhouse_Retrofit!$J$12)/Greenhouse_Retrofit!$J$10,0)</f>
        <v>4740</v>
      </c>
    </row>
    <row r="22" spans="2:33" s="107" customFormat="1" x14ac:dyDescent="0.3">
      <c r="B22" s="677">
        <f t="shared" si="0"/>
        <v>12</v>
      </c>
      <c r="C22" s="675">
        <f>IF(B22&lt;=Fish_Inputs!$J$17,(Fish_Inputs!$J$18-Fish_Inputs!$J$19)/Fish_Inputs!$J$17,0)</f>
        <v>10745.438699832541</v>
      </c>
      <c r="D22" s="676"/>
      <c r="E22" s="677">
        <f t="shared" si="1"/>
        <v>12</v>
      </c>
      <c r="F22" s="675">
        <f>IF(E22&lt;=Fruit_Inputs!$J$17,(Fruit_Inputs!$J$18-Fruit_Inputs!$J$19)/Fruit_Inputs!$J$17,0)</f>
        <v>11072.386150083685</v>
      </c>
      <c r="H22" s="677">
        <f t="shared" si="2"/>
        <v>12</v>
      </c>
      <c r="I22" s="675">
        <f>IF(H22&lt;=Veg_Inputs!$J$17,(Veg_Inputs!$J$18-Veg_Inputs!$J$19)/Veg_Inputs!$J$17,0)</f>
        <v>11627.425336927225</v>
      </c>
      <c r="K22" s="677">
        <f t="shared" si="3"/>
        <v>12</v>
      </c>
      <c r="L22" s="675">
        <f>IF(K22&lt;=Rice_Inputs!$J$17,(Rice_Inputs!$J$18-Rice_Inputs!$J$19)/Rice_Inputs!$J$17,0)</f>
        <v>21152.386150083687</v>
      </c>
      <c r="N22" s="677">
        <f t="shared" si="4"/>
        <v>12</v>
      </c>
      <c r="O22" s="675">
        <f>IF(N22&lt;=Pyre_Inputs!$J$17,(Pyre_Inputs!$J$18-Pyre_Inputs!$J$19)/Pyre_Inputs!$J$17,0)</f>
        <v>11772.340832965107</v>
      </c>
      <c r="Q22" s="677">
        <f t="shared" si="5"/>
        <v>12</v>
      </c>
      <c r="R22" s="675">
        <f>IF(Q22&lt;=Tea_Retrofit!$J$10,(Tea_Retrofit!$J$11-Tea_Retrofit!$J$12)/Tea_Retrofit!$J$10,0)</f>
        <v>4740</v>
      </c>
      <c r="T22" s="677">
        <f t="shared" si="6"/>
        <v>12</v>
      </c>
      <c r="U22" s="675">
        <f>IF(T22&lt;=Tobacco_Retrofit!$J$10,(Tobacco_Retrofit!$J$11-Tobacco_Retrofit!$J$12)/Tobacco_Retrofit!$J$10,0)</f>
        <v>19540</v>
      </c>
      <c r="W22" s="677">
        <f t="shared" si="7"/>
        <v>12</v>
      </c>
      <c r="X22" s="675">
        <f>IF(W22&lt;=Spas_Inputs!$J$24,(Spas_Inputs!$J$25-Spas_Inputs!$J$26)/Spas_Inputs!$J$24,0)</f>
        <v>35268</v>
      </c>
      <c r="Z22" s="677">
        <f t="shared" si="8"/>
        <v>12</v>
      </c>
      <c r="AA22" s="675">
        <f>IF(Z22&lt;=Hatchery_Retrofit!$J$10,(Hatchery_Retrofit!$J$11-Hatchery_Retrofit!$J$12)/Hatchery_Retrofit!$J$10,0)</f>
        <v>3940</v>
      </c>
      <c r="AC22" s="677">
        <f t="shared" si="9"/>
        <v>12</v>
      </c>
      <c r="AD22" s="675">
        <f>IF(AC22&lt;=Milk_Retrofit!$J$10,(Milk_Retrofit!$J$11-Milk_Retrofit!$J$12)/Milk_Retrofit!$J$10,0)</f>
        <v>7140</v>
      </c>
      <c r="AF22" s="677">
        <f t="shared" si="10"/>
        <v>12</v>
      </c>
      <c r="AG22" s="675">
        <f>IF(AF22&lt;=Greenhouse_Retrofit!$J$10,(Greenhouse_Retrofit!$J$11-Greenhouse_Retrofit!$J$12)/Greenhouse_Retrofit!$J$10,0)</f>
        <v>4740</v>
      </c>
    </row>
    <row r="23" spans="2:33" s="107" customFormat="1" x14ac:dyDescent="0.3">
      <c r="B23" s="677">
        <f t="shared" si="0"/>
        <v>13</v>
      </c>
      <c r="C23" s="675">
        <f>IF(B23&lt;=Fish_Inputs!$J$17,(Fish_Inputs!$J$18-Fish_Inputs!$J$19)/Fish_Inputs!$J$17,0)</f>
        <v>10745.438699832541</v>
      </c>
      <c r="D23" s="676"/>
      <c r="E23" s="677">
        <f t="shared" si="1"/>
        <v>13</v>
      </c>
      <c r="F23" s="675">
        <f>IF(E23&lt;=Fruit_Inputs!$J$17,(Fruit_Inputs!$J$18-Fruit_Inputs!$J$19)/Fruit_Inputs!$J$17,0)</f>
        <v>11072.386150083685</v>
      </c>
      <c r="H23" s="677">
        <f t="shared" si="2"/>
        <v>13</v>
      </c>
      <c r="I23" s="675">
        <f>IF(H23&lt;=Veg_Inputs!$J$17,(Veg_Inputs!$J$18-Veg_Inputs!$J$19)/Veg_Inputs!$J$17,0)</f>
        <v>11627.425336927225</v>
      </c>
      <c r="K23" s="677">
        <f t="shared" si="3"/>
        <v>13</v>
      </c>
      <c r="L23" s="675">
        <f>IF(K23&lt;=Rice_Inputs!$J$17,(Rice_Inputs!$J$18-Rice_Inputs!$J$19)/Rice_Inputs!$J$17,0)</f>
        <v>21152.386150083687</v>
      </c>
      <c r="N23" s="677">
        <f t="shared" si="4"/>
        <v>13</v>
      </c>
      <c r="O23" s="675">
        <f>IF(N23&lt;=Pyre_Inputs!$J$17,(Pyre_Inputs!$J$18-Pyre_Inputs!$J$19)/Pyre_Inputs!$J$17,0)</f>
        <v>11772.340832965107</v>
      </c>
      <c r="Q23" s="677">
        <f t="shared" si="5"/>
        <v>13</v>
      </c>
      <c r="R23" s="675">
        <f>IF(Q23&lt;=Tea_Retrofit!$J$10,(Tea_Retrofit!$J$11-Tea_Retrofit!$J$12)/Tea_Retrofit!$J$10,0)</f>
        <v>4740</v>
      </c>
      <c r="T23" s="677">
        <f t="shared" si="6"/>
        <v>13</v>
      </c>
      <c r="U23" s="675">
        <f>IF(T23&lt;=Tobacco_Retrofit!$J$10,(Tobacco_Retrofit!$J$11-Tobacco_Retrofit!$J$12)/Tobacco_Retrofit!$J$10,0)</f>
        <v>19540</v>
      </c>
      <c r="W23" s="677">
        <f t="shared" si="7"/>
        <v>13</v>
      </c>
      <c r="X23" s="675">
        <f>IF(W23&lt;=Spas_Inputs!$J$24,(Spas_Inputs!$J$25-Spas_Inputs!$J$26)/Spas_Inputs!$J$24,0)</f>
        <v>35268</v>
      </c>
      <c r="Z23" s="677">
        <f t="shared" si="8"/>
        <v>13</v>
      </c>
      <c r="AA23" s="675">
        <f>IF(Z23&lt;=Hatchery_Retrofit!$J$10,(Hatchery_Retrofit!$J$11-Hatchery_Retrofit!$J$12)/Hatchery_Retrofit!$J$10,0)</f>
        <v>3940</v>
      </c>
      <c r="AC23" s="677">
        <f t="shared" si="9"/>
        <v>13</v>
      </c>
      <c r="AD23" s="675">
        <f>IF(AC23&lt;=Milk_Retrofit!$J$10,(Milk_Retrofit!$J$11-Milk_Retrofit!$J$12)/Milk_Retrofit!$J$10,0)</f>
        <v>7140</v>
      </c>
      <c r="AF23" s="677">
        <f t="shared" si="10"/>
        <v>13</v>
      </c>
      <c r="AG23" s="675">
        <f>IF(AF23&lt;=Greenhouse_Retrofit!$J$10,(Greenhouse_Retrofit!$J$11-Greenhouse_Retrofit!$J$12)/Greenhouse_Retrofit!$J$10,0)</f>
        <v>4740</v>
      </c>
    </row>
    <row r="24" spans="2:33" s="107" customFormat="1" x14ac:dyDescent="0.3">
      <c r="B24" s="677">
        <f t="shared" si="0"/>
        <v>14</v>
      </c>
      <c r="C24" s="675">
        <f>IF(B24&lt;=Fish_Inputs!$J$17,(Fish_Inputs!$J$18-Fish_Inputs!$J$19)/Fish_Inputs!$J$17,0)</f>
        <v>10745.438699832541</v>
      </c>
      <c r="D24" s="676"/>
      <c r="E24" s="677">
        <f t="shared" si="1"/>
        <v>14</v>
      </c>
      <c r="F24" s="675">
        <f>IF(E24&lt;=Fruit_Inputs!$J$17,(Fruit_Inputs!$J$18-Fruit_Inputs!$J$19)/Fruit_Inputs!$J$17,0)</f>
        <v>11072.386150083685</v>
      </c>
      <c r="H24" s="677">
        <f t="shared" si="2"/>
        <v>14</v>
      </c>
      <c r="I24" s="675">
        <f>IF(H24&lt;=Veg_Inputs!$J$17,(Veg_Inputs!$J$18-Veg_Inputs!$J$19)/Veg_Inputs!$J$17,0)</f>
        <v>11627.425336927225</v>
      </c>
      <c r="K24" s="677">
        <f t="shared" si="3"/>
        <v>14</v>
      </c>
      <c r="L24" s="675">
        <f>IF(K24&lt;=Rice_Inputs!$J$17,(Rice_Inputs!$J$18-Rice_Inputs!$J$19)/Rice_Inputs!$J$17,0)</f>
        <v>21152.386150083687</v>
      </c>
      <c r="N24" s="677">
        <f t="shared" si="4"/>
        <v>14</v>
      </c>
      <c r="O24" s="675">
        <f>IF(N24&lt;=Pyre_Inputs!$J$17,(Pyre_Inputs!$J$18-Pyre_Inputs!$J$19)/Pyre_Inputs!$J$17,0)</f>
        <v>11772.340832965107</v>
      </c>
      <c r="Q24" s="677">
        <f t="shared" si="5"/>
        <v>14</v>
      </c>
      <c r="R24" s="675">
        <f>IF(Q24&lt;=Tea_Retrofit!$J$10,(Tea_Retrofit!$J$11-Tea_Retrofit!$J$12)/Tea_Retrofit!$J$10,0)</f>
        <v>4740</v>
      </c>
      <c r="T24" s="677">
        <f t="shared" si="6"/>
        <v>14</v>
      </c>
      <c r="U24" s="675">
        <f>IF(T24&lt;=Tobacco_Retrofit!$J$10,(Tobacco_Retrofit!$J$11-Tobacco_Retrofit!$J$12)/Tobacco_Retrofit!$J$10,0)</f>
        <v>19540</v>
      </c>
      <c r="W24" s="677">
        <f t="shared" si="7"/>
        <v>14</v>
      </c>
      <c r="X24" s="675">
        <f>IF(W24&lt;=Spas_Inputs!$J$24,(Spas_Inputs!$J$25-Spas_Inputs!$J$26)/Spas_Inputs!$J$24,0)</f>
        <v>35268</v>
      </c>
      <c r="Z24" s="677">
        <f t="shared" si="8"/>
        <v>14</v>
      </c>
      <c r="AA24" s="675">
        <f>IF(Z24&lt;=Hatchery_Retrofit!$J$10,(Hatchery_Retrofit!$J$11-Hatchery_Retrofit!$J$12)/Hatchery_Retrofit!$J$10,0)</f>
        <v>3940</v>
      </c>
      <c r="AC24" s="677">
        <f t="shared" si="9"/>
        <v>14</v>
      </c>
      <c r="AD24" s="675">
        <f>IF(AC24&lt;=Milk_Retrofit!$J$10,(Milk_Retrofit!$J$11-Milk_Retrofit!$J$12)/Milk_Retrofit!$J$10,0)</f>
        <v>7140</v>
      </c>
      <c r="AF24" s="677">
        <f t="shared" si="10"/>
        <v>14</v>
      </c>
      <c r="AG24" s="675">
        <f>IF(AF24&lt;=Greenhouse_Retrofit!$J$10,(Greenhouse_Retrofit!$J$11-Greenhouse_Retrofit!$J$12)/Greenhouse_Retrofit!$J$10,0)</f>
        <v>4740</v>
      </c>
    </row>
    <row r="25" spans="2:33" s="107" customFormat="1" x14ac:dyDescent="0.3">
      <c r="B25" s="677">
        <f t="shared" si="0"/>
        <v>15</v>
      </c>
      <c r="C25" s="675">
        <f>IF(B25&lt;=Fish_Inputs!$J$17,(Fish_Inputs!$J$18-Fish_Inputs!$J$19)/Fish_Inputs!$J$17,0)</f>
        <v>10745.438699832541</v>
      </c>
      <c r="D25" s="676"/>
      <c r="E25" s="677">
        <f t="shared" si="1"/>
        <v>15</v>
      </c>
      <c r="F25" s="675">
        <f>IF(E25&lt;=Fruit_Inputs!$J$17,(Fruit_Inputs!$J$18-Fruit_Inputs!$J$19)/Fruit_Inputs!$J$17,0)</f>
        <v>11072.386150083685</v>
      </c>
      <c r="H25" s="677">
        <f t="shared" si="2"/>
        <v>15</v>
      </c>
      <c r="I25" s="675">
        <f>IF(H25&lt;=Veg_Inputs!$J$17,(Veg_Inputs!$J$18-Veg_Inputs!$J$19)/Veg_Inputs!$J$17,0)</f>
        <v>11627.425336927225</v>
      </c>
      <c r="K25" s="677">
        <f t="shared" si="3"/>
        <v>15</v>
      </c>
      <c r="L25" s="675">
        <f>IF(K25&lt;=Rice_Inputs!$J$17,(Rice_Inputs!$J$18-Rice_Inputs!$J$19)/Rice_Inputs!$J$17,0)</f>
        <v>21152.386150083687</v>
      </c>
      <c r="N25" s="677">
        <f t="shared" si="4"/>
        <v>15</v>
      </c>
      <c r="O25" s="675">
        <f>IF(N25&lt;=Pyre_Inputs!$J$17,(Pyre_Inputs!$J$18-Pyre_Inputs!$J$19)/Pyre_Inputs!$J$17,0)</f>
        <v>11772.340832965107</v>
      </c>
      <c r="Q25" s="677">
        <f t="shared" si="5"/>
        <v>15</v>
      </c>
      <c r="R25" s="675">
        <f>IF(Q25&lt;=Tea_Retrofit!$J$10,(Tea_Retrofit!$J$11-Tea_Retrofit!$J$12)/Tea_Retrofit!$J$10,0)</f>
        <v>4740</v>
      </c>
      <c r="T25" s="677">
        <f t="shared" si="6"/>
        <v>15</v>
      </c>
      <c r="U25" s="675">
        <f>IF(T25&lt;=Tobacco_Retrofit!$J$10,(Tobacco_Retrofit!$J$11-Tobacco_Retrofit!$J$12)/Tobacco_Retrofit!$J$10,0)</f>
        <v>19540</v>
      </c>
      <c r="W25" s="677">
        <f t="shared" si="7"/>
        <v>15</v>
      </c>
      <c r="X25" s="675">
        <f>IF(W25&lt;=Spas_Inputs!$J$24,(Spas_Inputs!$J$25-Spas_Inputs!$J$26)/Spas_Inputs!$J$24,0)</f>
        <v>35268</v>
      </c>
      <c r="Z25" s="677">
        <f t="shared" si="8"/>
        <v>15</v>
      </c>
      <c r="AA25" s="675">
        <f>IF(Z25&lt;=Hatchery_Retrofit!$J$10,(Hatchery_Retrofit!$J$11-Hatchery_Retrofit!$J$12)/Hatchery_Retrofit!$J$10,0)</f>
        <v>3940</v>
      </c>
      <c r="AC25" s="677">
        <f t="shared" si="9"/>
        <v>15</v>
      </c>
      <c r="AD25" s="675">
        <f>IF(AC25&lt;=Milk_Retrofit!$J$10,(Milk_Retrofit!$J$11-Milk_Retrofit!$J$12)/Milk_Retrofit!$J$10,0)</f>
        <v>7140</v>
      </c>
      <c r="AF25" s="677">
        <f t="shared" si="10"/>
        <v>15</v>
      </c>
      <c r="AG25" s="675">
        <f>IF(AF25&lt;=Greenhouse_Retrofit!$J$10,(Greenhouse_Retrofit!$J$11-Greenhouse_Retrofit!$J$12)/Greenhouse_Retrofit!$J$10,0)</f>
        <v>4740</v>
      </c>
    </row>
    <row r="26" spans="2:33" s="107" customFormat="1" x14ac:dyDescent="0.3">
      <c r="B26" s="677">
        <f t="shared" si="0"/>
        <v>16</v>
      </c>
      <c r="C26" s="675">
        <f>IF(B26&lt;=Fish_Inputs!$J$17,(Fish_Inputs!$J$18-Fish_Inputs!$J$19)/Fish_Inputs!$J$17,0)</f>
        <v>10745.438699832541</v>
      </c>
      <c r="D26" s="676"/>
      <c r="E26" s="677">
        <f t="shared" si="1"/>
        <v>16</v>
      </c>
      <c r="F26" s="675">
        <f>IF(E26&lt;=Fruit_Inputs!$J$17,(Fruit_Inputs!$J$18-Fruit_Inputs!$J$19)/Fruit_Inputs!$J$17,0)</f>
        <v>11072.386150083685</v>
      </c>
      <c r="H26" s="677">
        <f t="shared" si="2"/>
        <v>16</v>
      </c>
      <c r="I26" s="675">
        <f>IF(H26&lt;=Veg_Inputs!$J$17,(Veg_Inputs!$J$18-Veg_Inputs!$J$19)/Veg_Inputs!$J$17,0)</f>
        <v>11627.425336927225</v>
      </c>
      <c r="K26" s="677">
        <f t="shared" si="3"/>
        <v>16</v>
      </c>
      <c r="L26" s="675">
        <f>IF(K26&lt;=Rice_Inputs!$J$17,(Rice_Inputs!$J$18-Rice_Inputs!$J$19)/Rice_Inputs!$J$17,0)</f>
        <v>21152.386150083687</v>
      </c>
      <c r="N26" s="677">
        <f t="shared" si="4"/>
        <v>16</v>
      </c>
      <c r="O26" s="675">
        <f>IF(N26&lt;=Pyre_Inputs!$J$17,(Pyre_Inputs!$J$18-Pyre_Inputs!$J$19)/Pyre_Inputs!$J$17,0)</f>
        <v>11772.340832965107</v>
      </c>
      <c r="Q26" s="677">
        <f t="shared" si="5"/>
        <v>16</v>
      </c>
      <c r="R26" s="675">
        <f>IF(Q26&lt;=Tea_Retrofit!$J$10,(Tea_Retrofit!$J$11-Tea_Retrofit!$J$12)/Tea_Retrofit!$J$10,0)</f>
        <v>4740</v>
      </c>
      <c r="T26" s="677">
        <f t="shared" si="6"/>
        <v>16</v>
      </c>
      <c r="U26" s="675">
        <f>IF(T26&lt;=Tobacco_Retrofit!$J$10,(Tobacco_Retrofit!$J$11-Tobacco_Retrofit!$J$12)/Tobacco_Retrofit!$J$10,0)</f>
        <v>19540</v>
      </c>
      <c r="W26" s="677">
        <f t="shared" si="7"/>
        <v>16</v>
      </c>
      <c r="X26" s="675">
        <f>IF(W26&lt;=Spas_Inputs!$J$24,(Spas_Inputs!$J$25-Spas_Inputs!$J$26)/Spas_Inputs!$J$24,0)</f>
        <v>35268</v>
      </c>
      <c r="Z26" s="677">
        <f t="shared" si="8"/>
        <v>16</v>
      </c>
      <c r="AA26" s="675">
        <f>IF(Z26&lt;=Hatchery_Retrofit!$J$10,(Hatchery_Retrofit!$J$11-Hatchery_Retrofit!$J$12)/Hatchery_Retrofit!$J$10,0)</f>
        <v>3940</v>
      </c>
      <c r="AC26" s="677">
        <f t="shared" si="9"/>
        <v>16</v>
      </c>
      <c r="AD26" s="675">
        <f>IF(AC26&lt;=Milk_Retrofit!$J$10,(Milk_Retrofit!$J$11-Milk_Retrofit!$J$12)/Milk_Retrofit!$J$10,0)</f>
        <v>7140</v>
      </c>
      <c r="AF26" s="677">
        <f t="shared" si="10"/>
        <v>16</v>
      </c>
      <c r="AG26" s="675">
        <f>IF(AF26&lt;=Greenhouse_Retrofit!$J$10,(Greenhouse_Retrofit!$J$11-Greenhouse_Retrofit!$J$12)/Greenhouse_Retrofit!$J$10,0)</f>
        <v>4740</v>
      </c>
    </row>
    <row r="27" spans="2:33" s="107" customFormat="1" x14ac:dyDescent="0.3">
      <c r="B27" s="677">
        <f t="shared" si="0"/>
        <v>17</v>
      </c>
      <c r="C27" s="675">
        <f>IF(B27&lt;=Fish_Inputs!$J$17,(Fish_Inputs!$J$18-Fish_Inputs!$J$19)/Fish_Inputs!$J$17,0)</f>
        <v>10745.438699832541</v>
      </c>
      <c r="D27" s="676"/>
      <c r="E27" s="677">
        <f t="shared" si="1"/>
        <v>17</v>
      </c>
      <c r="F27" s="675">
        <f>IF(E27&lt;=Fruit_Inputs!$J$17,(Fruit_Inputs!$J$18-Fruit_Inputs!$J$19)/Fruit_Inputs!$J$17,0)</f>
        <v>11072.386150083685</v>
      </c>
      <c r="H27" s="677">
        <f t="shared" si="2"/>
        <v>17</v>
      </c>
      <c r="I27" s="675">
        <f>IF(H27&lt;=Veg_Inputs!$J$17,(Veg_Inputs!$J$18-Veg_Inputs!$J$19)/Veg_Inputs!$J$17,0)</f>
        <v>11627.425336927225</v>
      </c>
      <c r="K27" s="677">
        <f t="shared" si="3"/>
        <v>17</v>
      </c>
      <c r="L27" s="675">
        <f>IF(K27&lt;=Rice_Inputs!$J$17,(Rice_Inputs!$J$18-Rice_Inputs!$J$19)/Rice_Inputs!$J$17,0)</f>
        <v>21152.386150083687</v>
      </c>
      <c r="N27" s="677">
        <f t="shared" si="4"/>
        <v>17</v>
      </c>
      <c r="O27" s="675">
        <f>IF(N27&lt;=Pyre_Inputs!$J$17,(Pyre_Inputs!$J$18-Pyre_Inputs!$J$19)/Pyre_Inputs!$J$17,0)</f>
        <v>11772.340832965107</v>
      </c>
      <c r="Q27" s="677">
        <f t="shared" si="5"/>
        <v>17</v>
      </c>
      <c r="R27" s="675">
        <f>IF(Q27&lt;=Tea_Retrofit!$J$10,(Tea_Retrofit!$J$11-Tea_Retrofit!$J$12)/Tea_Retrofit!$J$10,0)</f>
        <v>4740</v>
      </c>
      <c r="T27" s="677">
        <f t="shared" si="6"/>
        <v>17</v>
      </c>
      <c r="U27" s="675">
        <f>IF(T27&lt;=Tobacco_Retrofit!$J$10,(Tobacco_Retrofit!$J$11-Tobacco_Retrofit!$J$12)/Tobacco_Retrofit!$J$10,0)</f>
        <v>19540</v>
      </c>
      <c r="W27" s="677">
        <f t="shared" si="7"/>
        <v>17</v>
      </c>
      <c r="X27" s="675">
        <f>IF(W27&lt;=Spas_Inputs!$J$24,(Spas_Inputs!$J$25-Spas_Inputs!$J$26)/Spas_Inputs!$J$24,0)</f>
        <v>35268</v>
      </c>
      <c r="Z27" s="677">
        <f t="shared" si="8"/>
        <v>17</v>
      </c>
      <c r="AA27" s="675">
        <f>IF(Z27&lt;=Hatchery_Retrofit!$J$10,(Hatchery_Retrofit!$J$11-Hatchery_Retrofit!$J$12)/Hatchery_Retrofit!$J$10,0)</f>
        <v>3940</v>
      </c>
      <c r="AC27" s="677">
        <f t="shared" si="9"/>
        <v>17</v>
      </c>
      <c r="AD27" s="675">
        <f>IF(AC27&lt;=Milk_Retrofit!$J$10,(Milk_Retrofit!$J$11-Milk_Retrofit!$J$12)/Milk_Retrofit!$J$10,0)</f>
        <v>7140</v>
      </c>
      <c r="AF27" s="677">
        <f t="shared" si="10"/>
        <v>17</v>
      </c>
      <c r="AG27" s="675">
        <f>IF(AF27&lt;=Greenhouse_Retrofit!$J$10,(Greenhouse_Retrofit!$J$11-Greenhouse_Retrofit!$J$12)/Greenhouse_Retrofit!$J$10,0)</f>
        <v>4740</v>
      </c>
    </row>
    <row r="28" spans="2:33" s="107" customFormat="1" x14ac:dyDescent="0.3">
      <c r="B28" s="677">
        <f t="shared" si="0"/>
        <v>18</v>
      </c>
      <c r="C28" s="675">
        <f>IF(B28&lt;=Fish_Inputs!$J$17,(Fish_Inputs!$J$18-Fish_Inputs!$J$19)/Fish_Inputs!$J$17,0)</f>
        <v>10745.438699832541</v>
      </c>
      <c r="D28" s="676"/>
      <c r="E28" s="677">
        <f t="shared" si="1"/>
        <v>18</v>
      </c>
      <c r="F28" s="675">
        <f>IF(E28&lt;=Fruit_Inputs!$J$17,(Fruit_Inputs!$J$18-Fruit_Inputs!$J$19)/Fruit_Inputs!$J$17,0)</f>
        <v>11072.386150083685</v>
      </c>
      <c r="H28" s="677">
        <f t="shared" si="2"/>
        <v>18</v>
      </c>
      <c r="I28" s="675">
        <f>IF(H28&lt;=Veg_Inputs!$J$17,(Veg_Inputs!$J$18-Veg_Inputs!$J$19)/Veg_Inputs!$J$17,0)</f>
        <v>11627.425336927225</v>
      </c>
      <c r="K28" s="677">
        <f t="shared" si="3"/>
        <v>18</v>
      </c>
      <c r="L28" s="675">
        <f>IF(K28&lt;=Rice_Inputs!$J$17,(Rice_Inputs!$J$18-Rice_Inputs!$J$19)/Rice_Inputs!$J$17,0)</f>
        <v>21152.386150083687</v>
      </c>
      <c r="N28" s="677">
        <f t="shared" si="4"/>
        <v>18</v>
      </c>
      <c r="O28" s="675">
        <f>IF(N28&lt;=Pyre_Inputs!$J$17,(Pyre_Inputs!$J$18-Pyre_Inputs!$J$19)/Pyre_Inputs!$J$17,0)</f>
        <v>11772.340832965107</v>
      </c>
      <c r="Q28" s="677">
        <f t="shared" si="5"/>
        <v>18</v>
      </c>
      <c r="R28" s="675">
        <f>IF(Q28&lt;=Tea_Retrofit!$J$10,(Tea_Retrofit!$J$11-Tea_Retrofit!$J$12)/Tea_Retrofit!$J$10,0)</f>
        <v>4740</v>
      </c>
      <c r="T28" s="677">
        <f t="shared" si="6"/>
        <v>18</v>
      </c>
      <c r="U28" s="675">
        <f>IF(T28&lt;=Tobacco_Retrofit!$J$10,(Tobacco_Retrofit!$J$11-Tobacco_Retrofit!$J$12)/Tobacco_Retrofit!$J$10,0)</f>
        <v>19540</v>
      </c>
      <c r="W28" s="677">
        <f t="shared" si="7"/>
        <v>18</v>
      </c>
      <c r="X28" s="675">
        <f>IF(W28&lt;=Spas_Inputs!$J$24,(Spas_Inputs!$J$25-Spas_Inputs!$J$26)/Spas_Inputs!$J$24,0)</f>
        <v>35268</v>
      </c>
      <c r="Z28" s="677">
        <f t="shared" si="8"/>
        <v>18</v>
      </c>
      <c r="AA28" s="675">
        <f>IF(Z28&lt;=Hatchery_Retrofit!$J$10,(Hatchery_Retrofit!$J$11-Hatchery_Retrofit!$J$12)/Hatchery_Retrofit!$J$10,0)</f>
        <v>3940</v>
      </c>
      <c r="AC28" s="677">
        <f t="shared" si="9"/>
        <v>18</v>
      </c>
      <c r="AD28" s="675">
        <f>IF(AC28&lt;=Milk_Retrofit!$J$10,(Milk_Retrofit!$J$11-Milk_Retrofit!$J$12)/Milk_Retrofit!$J$10,0)</f>
        <v>7140</v>
      </c>
      <c r="AF28" s="677">
        <f t="shared" si="10"/>
        <v>18</v>
      </c>
      <c r="AG28" s="675">
        <f>IF(AF28&lt;=Greenhouse_Retrofit!$J$10,(Greenhouse_Retrofit!$J$11-Greenhouse_Retrofit!$J$12)/Greenhouse_Retrofit!$J$10,0)</f>
        <v>4740</v>
      </c>
    </row>
    <row r="29" spans="2:33" s="107" customFormat="1" x14ac:dyDescent="0.3">
      <c r="B29" s="677">
        <f t="shared" si="0"/>
        <v>19</v>
      </c>
      <c r="C29" s="675">
        <f>IF(B29&lt;=Fish_Inputs!$J$17,(Fish_Inputs!$J$18-Fish_Inputs!$J$19)/Fish_Inputs!$J$17,0)</f>
        <v>10745.438699832541</v>
      </c>
      <c r="D29" s="676"/>
      <c r="E29" s="677">
        <f t="shared" si="1"/>
        <v>19</v>
      </c>
      <c r="F29" s="675">
        <f>IF(E29&lt;=Fruit_Inputs!$J$17,(Fruit_Inputs!$J$18-Fruit_Inputs!$J$19)/Fruit_Inputs!$J$17,0)</f>
        <v>11072.386150083685</v>
      </c>
      <c r="H29" s="677">
        <f t="shared" si="2"/>
        <v>19</v>
      </c>
      <c r="I29" s="675">
        <f>IF(H29&lt;=Veg_Inputs!$J$17,(Veg_Inputs!$J$18-Veg_Inputs!$J$19)/Veg_Inputs!$J$17,0)</f>
        <v>11627.425336927225</v>
      </c>
      <c r="K29" s="677">
        <f t="shared" si="3"/>
        <v>19</v>
      </c>
      <c r="L29" s="675">
        <f>IF(K29&lt;=Rice_Inputs!$J$17,(Rice_Inputs!$J$18-Rice_Inputs!$J$19)/Rice_Inputs!$J$17,0)</f>
        <v>21152.386150083687</v>
      </c>
      <c r="N29" s="677">
        <f t="shared" si="4"/>
        <v>19</v>
      </c>
      <c r="O29" s="675">
        <f>IF(N29&lt;=Pyre_Inputs!$J$17,(Pyre_Inputs!$J$18-Pyre_Inputs!$J$19)/Pyre_Inputs!$J$17,0)</f>
        <v>11772.340832965107</v>
      </c>
      <c r="Q29" s="677">
        <f t="shared" si="5"/>
        <v>19</v>
      </c>
      <c r="R29" s="675">
        <f>IF(Q29&lt;=Tea_Retrofit!$J$10,(Tea_Retrofit!$J$11-Tea_Retrofit!$J$12)/Tea_Retrofit!$J$10,0)</f>
        <v>4740</v>
      </c>
      <c r="T29" s="677">
        <f t="shared" si="6"/>
        <v>19</v>
      </c>
      <c r="U29" s="675">
        <f>IF(T29&lt;=Tobacco_Retrofit!$J$10,(Tobacco_Retrofit!$J$11-Tobacco_Retrofit!$J$12)/Tobacco_Retrofit!$J$10,0)</f>
        <v>19540</v>
      </c>
      <c r="W29" s="677">
        <f t="shared" si="7"/>
        <v>19</v>
      </c>
      <c r="X29" s="675">
        <f>IF(W29&lt;=Spas_Inputs!$J$24,(Spas_Inputs!$J$25-Spas_Inputs!$J$26)/Spas_Inputs!$J$24,0)</f>
        <v>35268</v>
      </c>
      <c r="Z29" s="677">
        <f t="shared" si="8"/>
        <v>19</v>
      </c>
      <c r="AA29" s="675">
        <f>IF(Z29&lt;=Hatchery_Retrofit!$J$10,(Hatchery_Retrofit!$J$11-Hatchery_Retrofit!$J$12)/Hatchery_Retrofit!$J$10,0)</f>
        <v>3940</v>
      </c>
      <c r="AC29" s="677">
        <f t="shared" si="9"/>
        <v>19</v>
      </c>
      <c r="AD29" s="675">
        <f>IF(AC29&lt;=Milk_Retrofit!$J$10,(Milk_Retrofit!$J$11-Milk_Retrofit!$J$12)/Milk_Retrofit!$J$10,0)</f>
        <v>7140</v>
      </c>
      <c r="AF29" s="677">
        <f t="shared" si="10"/>
        <v>19</v>
      </c>
      <c r="AG29" s="675">
        <f>IF(AF29&lt;=Greenhouse_Retrofit!$J$10,(Greenhouse_Retrofit!$J$11-Greenhouse_Retrofit!$J$12)/Greenhouse_Retrofit!$J$10,0)</f>
        <v>4740</v>
      </c>
    </row>
    <row r="30" spans="2:33" s="107" customFormat="1" x14ac:dyDescent="0.3">
      <c r="B30" s="677">
        <f t="shared" si="0"/>
        <v>20</v>
      </c>
      <c r="C30" s="675">
        <f>IF(B30&lt;=Fish_Inputs!$J$17,(Fish_Inputs!$J$18-Fish_Inputs!$J$19)/Fish_Inputs!$J$17,0)</f>
        <v>10745.438699832541</v>
      </c>
      <c r="D30" s="676"/>
      <c r="E30" s="677">
        <f t="shared" si="1"/>
        <v>20</v>
      </c>
      <c r="F30" s="675">
        <f>IF(E30&lt;=Fruit_Inputs!$J$17,(Fruit_Inputs!$J$18-Fruit_Inputs!$J$19)/Fruit_Inputs!$J$17,0)</f>
        <v>11072.386150083685</v>
      </c>
      <c r="H30" s="677">
        <f t="shared" si="2"/>
        <v>20</v>
      </c>
      <c r="I30" s="675">
        <f>IF(H30&lt;=Veg_Inputs!$J$17,(Veg_Inputs!$J$18-Veg_Inputs!$J$19)/Veg_Inputs!$J$17,0)</f>
        <v>11627.425336927225</v>
      </c>
      <c r="K30" s="677">
        <f t="shared" si="3"/>
        <v>20</v>
      </c>
      <c r="L30" s="675">
        <f>IF(K30&lt;=Rice_Inputs!$J$17,(Rice_Inputs!$J$18-Rice_Inputs!$J$19)/Rice_Inputs!$J$17,0)</f>
        <v>21152.386150083687</v>
      </c>
      <c r="N30" s="677">
        <f t="shared" si="4"/>
        <v>20</v>
      </c>
      <c r="O30" s="675">
        <f>IF(N30&lt;=Pyre_Inputs!$J$17,(Pyre_Inputs!$J$18-Pyre_Inputs!$J$19)/Pyre_Inputs!$J$17,0)</f>
        <v>11772.340832965107</v>
      </c>
      <c r="Q30" s="677">
        <f t="shared" si="5"/>
        <v>20</v>
      </c>
      <c r="R30" s="675">
        <f>IF(Q30&lt;=Tea_Retrofit!$J$10,(Tea_Retrofit!$J$11-Tea_Retrofit!$J$12)/Tea_Retrofit!$J$10,0)</f>
        <v>4740</v>
      </c>
      <c r="T30" s="677">
        <f t="shared" si="6"/>
        <v>20</v>
      </c>
      <c r="U30" s="675">
        <f>IF(T30&lt;=Tobacco_Retrofit!$J$10,(Tobacco_Retrofit!$J$11-Tobacco_Retrofit!$J$12)/Tobacco_Retrofit!$J$10,0)</f>
        <v>19540</v>
      </c>
      <c r="W30" s="677">
        <f t="shared" si="7"/>
        <v>20</v>
      </c>
      <c r="X30" s="675">
        <f>IF(W30&lt;=Spas_Inputs!$J$24,(Spas_Inputs!$J$25-Spas_Inputs!$J$26)/Spas_Inputs!$J$24,0)</f>
        <v>35268</v>
      </c>
      <c r="Z30" s="677">
        <f t="shared" si="8"/>
        <v>20</v>
      </c>
      <c r="AA30" s="675">
        <f>IF(Z30&lt;=Hatchery_Retrofit!$J$10,(Hatchery_Retrofit!$J$11-Hatchery_Retrofit!$J$12)/Hatchery_Retrofit!$J$10,0)</f>
        <v>3940</v>
      </c>
      <c r="AC30" s="677">
        <f t="shared" si="9"/>
        <v>20</v>
      </c>
      <c r="AD30" s="675">
        <f>IF(AC30&lt;=Milk_Retrofit!$J$10,(Milk_Retrofit!$J$11-Milk_Retrofit!$J$12)/Milk_Retrofit!$J$10,0)</f>
        <v>7140</v>
      </c>
      <c r="AF30" s="677">
        <f t="shared" si="10"/>
        <v>20</v>
      </c>
      <c r="AG30" s="675">
        <f>IF(AF30&lt;=Greenhouse_Retrofit!$J$10,(Greenhouse_Retrofit!$J$11-Greenhouse_Retrofit!$J$12)/Greenhouse_Retrofit!$J$10,0)</f>
        <v>4740</v>
      </c>
    </row>
    <row r="31" spans="2:33" s="107" customFormat="1" x14ac:dyDescent="0.3">
      <c r="B31" s="677">
        <f t="shared" si="0"/>
        <v>21</v>
      </c>
      <c r="C31" s="675">
        <f>IF(B31&lt;=Fish_Inputs!$J$17,(Fish_Inputs!$J$18-Fish_Inputs!$J$19)/Fish_Inputs!$J$17,0)</f>
        <v>10745.438699832541</v>
      </c>
      <c r="D31" s="676"/>
      <c r="E31" s="677">
        <f t="shared" si="1"/>
        <v>21</v>
      </c>
      <c r="F31" s="675">
        <f>IF(E31&lt;=Fruit_Inputs!$J$17,(Fruit_Inputs!$J$18-Fruit_Inputs!$J$19)/Fruit_Inputs!$J$17,0)</f>
        <v>11072.386150083685</v>
      </c>
      <c r="H31" s="677">
        <f t="shared" si="2"/>
        <v>21</v>
      </c>
      <c r="I31" s="675">
        <f>IF(H31&lt;=Veg_Inputs!$J$17,(Veg_Inputs!$J$18-Veg_Inputs!$J$19)/Veg_Inputs!$J$17,0)</f>
        <v>11627.425336927225</v>
      </c>
      <c r="K31" s="677">
        <f t="shared" si="3"/>
        <v>21</v>
      </c>
      <c r="L31" s="675">
        <f>IF(K31&lt;=Rice_Inputs!$J$17,(Rice_Inputs!$J$18-Rice_Inputs!$J$19)/Rice_Inputs!$J$17,0)</f>
        <v>21152.386150083687</v>
      </c>
      <c r="N31" s="677">
        <f t="shared" si="4"/>
        <v>21</v>
      </c>
      <c r="O31" s="675">
        <f>IF(N31&lt;=Pyre_Inputs!$J$17,(Pyre_Inputs!$J$18-Pyre_Inputs!$J$19)/Pyre_Inputs!$J$17,0)</f>
        <v>11772.340832965107</v>
      </c>
      <c r="Q31" s="677">
        <f t="shared" si="5"/>
        <v>21</v>
      </c>
      <c r="R31" s="675">
        <f>IF(Q31&lt;=Tea_Retrofit!$J$10,(Tea_Retrofit!$J$11-Tea_Retrofit!$J$12)/Tea_Retrofit!$J$10,0)</f>
        <v>4740</v>
      </c>
      <c r="T31" s="677">
        <f t="shared" si="6"/>
        <v>21</v>
      </c>
      <c r="U31" s="675">
        <f>IF(T31&lt;=Tobacco_Retrofit!$J$10,(Tobacco_Retrofit!$J$11-Tobacco_Retrofit!$J$12)/Tobacco_Retrofit!$J$10,0)</f>
        <v>19540</v>
      </c>
      <c r="W31" s="677">
        <f t="shared" si="7"/>
        <v>21</v>
      </c>
      <c r="X31" s="675">
        <f>IF(W31&lt;=Spas_Inputs!$J$24,(Spas_Inputs!$J$25-Spas_Inputs!$J$26)/Spas_Inputs!$J$24,0)</f>
        <v>35268</v>
      </c>
      <c r="Z31" s="677">
        <f t="shared" si="8"/>
        <v>21</v>
      </c>
      <c r="AA31" s="675">
        <f>IF(Z31&lt;=Hatchery_Retrofit!$J$10,(Hatchery_Retrofit!$J$11-Hatchery_Retrofit!$J$12)/Hatchery_Retrofit!$J$10,0)</f>
        <v>3940</v>
      </c>
      <c r="AC31" s="677">
        <f t="shared" si="9"/>
        <v>21</v>
      </c>
      <c r="AD31" s="675">
        <f>IF(AC31&lt;=Milk_Retrofit!$J$10,(Milk_Retrofit!$J$11-Milk_Retrofit!$J$12)/Milk_Retrofit!$J$10,0)</f>
        <v>7140</v>
      </c>
      <c r="AF31" s="677">
        <f t="shared" si="10"/>
        <v>21</v>
      </c>
      <c r="AG31" s="675">
        <f>IF(AF31&lt;=Greenhouse_Retrofit!$J$10,(Greenhouse_Retrofit!$J$11-Greenhouse_Retrofit!$J$12)/Greenhouse_Retrofit!$J$10,0)</f>
        <v>4740</v>
      </c>
    </row>
    <row r="32" spans="2:33" s="107" customFormat="1" x14ac:dyDescent="0.3">
      <c r="B32" s="677">
        <f t="shared" si="0"/>
        <v>22</v>
      </c>
      <c r="C32" s="675">
        <f>IF(B32&lt;=Fish_Inputs!$J$17,(Fish_Inputs!$J$18-Fish_Inputs!$J$19)/Fish_Inputs!$J$17,0)</f>
        <v>10745.438699832541</v>
      </c>
      <c r="D32" s="676"/>
      <c r="E32" s="677">
        <f t="shared" si="1"/>
        <v>22</v>
      </c>
      <c r="F32" s="675">
        <f>IF(E32&lt;=Fruit_Inputs!$J$17,(Fruit_Inputs!$J$18-Fruit_Inputs!$J$19)/Fruit_Inputs!$J$17,0)</f>
        <v>11072.386150083685</v>
      </c>
      <c r="H32" s="677">
        <f t="shared" si="2"/>
        <v>22</v>
      </c>
      <c r="I32" s="675">
        <f>IF(H32&lt;=Veg_Inputs!$J$17,(Veg_Inputs!$J$18-Veg_Inputs!$J$19)/Veg_Inputs!$J$17,0)</f>
        <v>11627.425336927225</v>
      </c>
      <c r="K32" s="677">
        <f t="shared" si="3"/>
        <v>22</v>
      </c>
      <c r="L32" s="675">
        <f>IF(K32&lt;=Rice_Inputs!$J$17,(Rice_Inputs!$J$18-Rice_Inputs!$J$19)/Rice_Inputs!$J$17,0)</f>
        <v>21152.386150083687</v>
      </c>
      <c r="N32" s="677">
        <f t="shared" si="4"/>
        <v>22</v>
      </c>
      <c r="O32" s="675">
        <f>IF(N32&lt;=Pyre_Inputs!$J$17,(Pyre_Inputs!$J$18-Pyre_Inputs!$J$19)/Pyre_Inputs!$J$17,0)</f>
        <v>11772.340832965107</v>
      </c>
      <c r="Q32" s="677">
        <f t="shared" si="5"/>
        <v>22</v>
      </c>
      <c r="R32" s="675">
        <f>IF(Q32&lt;=Tea_Retrofit!$J$10,(Tea_Retrofit!$J$11-Tea_Retrofit!$J$12)/Tea_Retrofit!$J$10,0)</f>
        <v>4740</v>
      </c>
      <c r="T32" s="677">
        <f t="shared" si="6"/>
        <v>22</v>
      </c>
      <c r="U32" s="675">
        <f>IF(T32&lt;=Tobacco_Retrofit!$J$10,(Tobacco_Retrofit!$J$11-Tobacco_Retrofit!$J$12)/Tobacco_Retrofit!$J$10,0)</f>
        <v>19540</v>
      </c>
      <c r="W32" s="677">
        <f t="shared" si="7"/>
        <v>22</v>
      </c>
      <c r="X32" s="675">
        <f>IF(W32&lt;=Spas_Inputs!$J$24,(Spas_Inputs!$J$25-Spas_Inputs!$J$26)/Spas_Inputs!$J$24,0)</f>
        <v>35268</v>
      </c>
      <c r="Z32" s="677">
        <f t="shared" si="8"/>
        <v>22</v>
      </c>
      <c r="AA32" s="675">
        <f>IF(Z32&lt;=Hatchery_Retrofit!$J$10,(Hatchery_Retrofit!$J$11-Hatchery_Retrofit!$J$12)/Hatchery_Retrofit!$J$10,0)</f>
        <v>3940</v>
      </c>
      <c r="AC32" s="677">
        <f t="shared" si="9"/>
        <v>22</v>
      </c>
      <c r="AD32" s="675">
        <f>IF(AC32&lt;=Milk_Retrofit!$J$10,(Milk_Retrofit!$J$11-Milk_Retrofit!$J$12)/Milk_Retrofit!$J$10,0)</f>
        <v>7140</v>
      </c>
      <c r="AF32" s="677">
        <f t="shared" si="10"/>
        <v>22</v>
      </c>
      <c r="AG32" s="675">
        <f>IF(AF32&lt;=Greenhouse_Retrofit!$J$10,(Greenhouse_Retrofit!$J$11-Greenhouse_Retrofit!$J$12)/Greenhouse_Retrofit!$J$10,0)</f>
        <v>4740</v>
      </c>
    </row>
    <row r="33" spans="2:33" s="107" customFormat="1" x14ac:dyDescent="0.3">
      <c r="B33" s="677">
        <f t="shared" si="0"/>
        <v>23</v>
      </c>
      <c r="C33" s="675">
        <f>IF(B33&lt;=Fish_Inputs!$J$17,(Fish_Inputs!$J$18-Fish_Inputs!$J$19)/Fish_Inputs!$J$17,0)</f>
        <v>10745.438699832541</v>
      </c>
      <c r="D33" s="676"/>
      <c r="E33" s="677">
        <f t="shared" si="1"/>
        <v>23</v>
      </c>
      <c r="F33" s="675">
        <f>IF(E33&lt;=Fruit_Inputs!$J$17,(Fruit_Inputs!$J$18-Fruit_Inputs!$J$19)/Fruit_Inputs!$J$17,0)</f>
        <v>11072.386150083685</v>
      </c>
      <c r="H33" s="677">
        <f t="shared" si="2"/>
        <v>23</v>
      </c>
      <c r="I33" s="675">
        <f>IF(H33&lt;=Veg_Inputs!$J$17,(Veg_Inputs!$J$18-Veg_Inputs!$J$19)/Veg_Inputs!$J$17,0)</f>
        <v>11627.425336927225</v>
      </c>
      <c r="K33" s="677">
        <f t="shared" si="3"/>
        <v>23</v>
      </c>
      <c r="L33" s="675">
        <f>IF(K33&lt;=Rice_Inputs!$J$17,(Rice_Inputs!$J$18-Rice_Inputs!$J$19)/Rice_Inputs!$J$17,0)</f>
        <v>21152.386150083687</v>
      </c>
      <c r="N33" s="677">
        <f t="shared" si="4"/>
        <v>23</v>
      </c>
      <c r="O33" s="675">
        <f>IF(N33&lt;=Pyre_Inputs!$J$17,(Pyre_Inputs!$J$18-Pyre_Inputs!$J$19)/Pyre_Inputs!$J$17,0)</f>
        <v>11772.340832965107</v>
      </c>
      <c r="Q33" s="677">
        <f t="shared" si="5"/>
        <v>23</v>
      </c>
      <c r="R33" s="675">
        <f>IF(Q33&lt;=Tea_Retrofit!$J$10,(Tea_Retrofit!$J$11-Tea_Retrofit!$J$12)/Tea_Retrofit!$J$10,0)</f>
        <v>4740</v>
      </c>
      <c r="T33" s="677">
        <f t="shared" si="6"/>
        <v>23</v>
      </c>
      <c r="U33" s="675">
        <f>IF(T33&lt;=Tobacco_Retrofit!$J$10,(Tobacco_Retrofit!$J$11-Tobacco_Retrofit!$J$12)/Tobacco_Retrofit!$J$10,0)</f>
        <v>19540</v>
      </c>
      <c r="W33" s="677">
        <f t="shared" si="7"/>
        <v>23</v>
      </c>
      <c r="X33" s="675">
        <f>IF(W33&lt;=Spas_Inputs!$J$24,(Spas_Inputs!$J$25-Spas_Inputs!$J$26)/Spas_Inputs!$J$24,0)</f>
        <v>35268</v>
      </c>
      <c r="Z33" s="677">
        <f t="shared" si="8"/>
        <v>23</v>
      </c>
      <c r="AA33" s="675">
        <f>IF(Z33&lt;=Hatchery_Retrofit!$J$10,(Hatchery_Retrofit!$J$11-Hatchery_Retrofit!$J$12)/Hatchery_Retrofit!$J$10,0)</f>
        <v>3940</v>
      </c>
      <c r="AC33" s="677">
        <f t="shared" si="9"/>
        <v>23</v>
      </c>
      <c r="AD33" s="675">
        <f>IF(AC33&lt;=Milk_Retrofit!$J$10,(Milk_Retrofit!$J$11-Milk_Retrofit!$J$12)/Milk_Retrofit!$J$10,0)</f>
        <v>7140</v>
      </c>
      <c r="AF33" s="677">
        <f t="shared" si="10"/>
        <v>23</v>
      </c>
      <c r="AG33" s="675">
        <f>IF(AF33&lt;=Greenhouse_Retrofit!$J$10,(Greenhouse_Retrofit!$J$11-Greenhouse_Retrofit!$J$12)/Greenhouse_Retrofit!$J$10,0)</f>
        <v>4740</v>
      </c>
    </row>
    <row r="34" spans="2:33" s="107" customFormat="1" x14ac:dyDescent="0.3">
      <c r="B34" s="677">
        <f t="shared" si="0"/>
        <v>24</v>
      </c>
      <c r="C34" s="675">
        <f>IF(B34&lt;=Fish_Inputs!$J$17,(Fish_Inputs!$J$18-Fish_Inputs!$J$19)/Fish_Inputs!$J$17,0)</f>
        <v>10745.438699832541</v>
      </c>
      <c r="D34" s="676"/>
      <c r="E34" s="677">
        <f t="shared" si="1"/>
        <v>24</v>
      </c>
      <c r="F34" s="675">
        <f>IF(E34&lt;=Fruit_Inputs!$J$17,(Fruit_Inputs!$J$18-Fruit_Inputs!$J$19)/Fruit_Inputs!$J$17,0)</f>
        <v>11072.386150083685</v>
      </c>
      <c r="H34" s="677">
        <f t="shared" si="2"/>
        <v>24</v>
      </c>
      <c r="I34" s="675">
        <f>IF(H34&lt;=Veg_Inputs!$J$17,(Veg_Inputs!$J$18-Veg_Inputs!$J$19)/Veg_Inputs!$J$17,0)</f>
        <v>11627.425336927225</v>
      </c>
      <c r="K34" s="677">
        <f t="shared" si="3"/>
        <v>24</v>
      </c>
      <c r="L34" s="675">
        <f>IF(K34&lt;=Rice_Inputs!$J$17,(Rice_Inputs!$J$18-Rice_Inputs!$J$19)/Rice_Inputs!$J$17,0)</f>
        <v>21152.386150083687</v>
      </c>
      <c r="N34" s="677">
        <f t="shared" si="4"/>
        <v>24</v>
      </c>
      <c r="O34" s="675">
        <f>IF(N34&lt;=Pyre_Inputs!$J$17,(Pyre_Inputs!$J$18-Pyre_Inputs!$J$19)/Pyre_Inputs!$J$17,0)</f>
        <v>11772.340832965107</v>
      </c>
      <c r="Q34" s="677">
        <f t="shared" si="5"/>
        <v>24</v>
      </c>
      <c r="R34" s="675">
        <f>IF(Q34&lt;=Tea_Retrofit!$J$10,(Tea_Retrofit!$J$11-Tea_Retrofit!$J$12)/Tea_Retrofit!$J$10,0)</f>
        <v>4740</v>
      </c>
      <c r="T34" s="677">
        <f t="shared" si="6"/>
        <v>24</v>
      </c>
      <c r="U34" s="675">
        <f>IF(T34&lt;=Tobacco_Retrofit!$J$10,(Tobacco_Retrofit!$J$11-Tobacco_Retrofit!$J$12)/Tobacco_Retrofit!$J$10,0)</f>
        <v>19540</v>
      </c>
      <c r="W34" s="677">
        <f t="shared" si="7"/>
        <v>24</v>
      </c>
      <c r="X34" s="675">
        <f>IF(W34&lt;=Spas_Inputs!$J$24,(Spas_Inputs!$J$25-Spas_Inputs!$J$26)/Spas_Inputs!$J$24,0)</f>
        <v>35268</v>
      </c>
      <c r="Z34" s="677">
        <f t="shared" si="8"/>
        <v>24</v>
      </c>
      <c r="AA34" s="675">
        <f>IF(Z34&lt;=Hatchery_Retrofit!$J$10,(Hatchery_Retrofit!$J$11-Hatchery_Retrofit!$J$12)/Hatchery_Retrofit!$J$10,0)</f>
        <v>3940</v>
      </c>
      <c r="AC34" s="677">
        <f t="shared" si="9"/>
        <v>24</v>
      </c>
      <c r="AD34" s="675">
        <f>IF(AC34&lt;=Milk_Retrofit!$J$10,(Milk_Retrofit!$J$11-Milk_Retrofit!$J$12)/Milk_Retrofit!$J$10,0)</f>
        <v>7140</v>
      </c>
      <c r="AF34" s="677">
        <f t="shared" si="10"/>
        <v>24</v>
      </c>
      <c r="AG34" s="675">
        <f>IF(AF34&lt;=Greenhouse_Retrofit!$J$10,(Greenhouse_Retrofit!$J$11-Greenhouse_Retrofit!$J$12)/Greenhouse_Retrofit!$J$10,0)</f>
        <v>4740</v>
      </c>
    </row>
    <row r="35" spans="2:33" s="107" customFormat="1" x14ac:dyDescent="0.3">
      <c r="B35" s="677">
        <f t="shared" si="0"/>
        <v>25</v>
      </c>
      <c r="C35" s="675">
        <f>IF(B35&lt;=Fish_Inputs!$J$17,(Fish_Inputs!$J$18-Fish_Inputs!$J$19)/Fish_Inputs!$J$17,0)</f>
        <v>10745.438699832541</v>
      </c>
      <c r="D35" s="676"/>
      <c r="E35" s="677">
        <f t="shared" si="1"/>
        <v>25</v>
      </c>
      <c r="F35" s="675">
        <f>IF(E35&lt;=Fruit_Inputs!$J$17,(Fruit_Inputs!$J$18-Fruit_Inputs!$J$19)/Fruit_Inputs!$J$17,0)</f>
        <v>11072.386150083685</v>
      </c>
      <c r="H35" s="677">
        <f t="shared" si="2"/>
        <v>25</v>
      </c>
      <c r="I35" s="675">
        <f>IF(H35&lt;=Veg_Inputs!$J$17,(Veg_Inputs!$J$18-Veg_Inputs!$J$19)/Veg_Inputs!$J$17,0)</f>
        <v>11627.425336927225</v>
      </c>
      <c r="K35" s="677">
        <f t="shared" si="3"/>
        <v>25</v>
      </c>
      <c r="L35" s="675">
        <f>IF(K35&lt;=Rice_Inputs!$J$17,(Rice_Inputs!$J$18-Rice_Inputs!$J$19)/Rice_Inputs!$J$17,0)</f>
        <v>21152.386150083687</v>
      </c>
      <c r="N35" s="677">
        <f t="shared" si="4"/>
        <v>25</v>
      </c>
      <c r="O35" s="675">
        <f>IF(N35&lt;=Pyre_Inputs!$J$17,(Pyre_Inputs!$J$18-Pyre_Inputs!$J$19)/Pyre_Inputs!$J$17,0)</f>
        <v>11772.340832965107</v>
      </c>
      <c r="Q35" s="677">
        <f t="shared" si="5"/>
        <v>25</v>
      </c>
      <c r="R35" s="675">
        <f>IF(Q35&lt;=Tea_Retrofit!$J$10,(Tea_Retrofit!$J$11-Tea_Retrofit!$J$12)/Tea_Retrofit!$J$10,0)</f>
        <v>4740</v>
      </c>
      <c r="T35" s="677">
        <f t="shared" si="6"/>
        <v>25</v>
      </c>
      <c r="U35" s="675">
        <f>IF(T35&lt;=Tobacco_Retrofit!$J$10,(Tobacco_Retrofit!$J$11-Tobacco_Retrofit!$J$12)/Tobacco_Retrofit!$J$10,0)</f>
        <v>19540</v>
      </c>
      <c r="W35" s="677">
        <f t="shared" si="7"/>
        <v>25</v>
      </c>
      <c r="X35" s="675">
        <f>IF(W35&lt;=Spas_Inputs!$J$24,(Spas_Inputs!$J$25-Spas_Inputs!$J$26)/Spas_Inputs!$J$24,0)</f>
        <v>35268</v>
      </c>
      <c r="Z35" s="677">
        <f t="shared" si="8"/>
        <v>25</v>
      </c>
      <c r="AA35" s="675">
        <f>IF(Z35&lt;=Hatchery_Retrofit!$J$10,(Hatchery_Retrofit!$J$11-Hatchery_Retrofit!$J$12)/Hatchery_Retrofit!$J$10,0)</f>
        <v>3940</v>
      </c>
      <c r="AC35" s="677">
        <f t="shared" si="9"/>
        <v>25</v>
      </c>
      <c r="AD35" s="675">
        <f>IF(AC35&lt;=Milk_Retrofit!$J$10,(Milk_Retrofit!$J$11-Milk_Retrofit!$J$12)/Milk_Retrofit!$J$10,0)</f>
        <v>7140</v>
      </c>
      <c r="AF35" s="677">
        <f t="shared" si="10"/>
        <v>25</v>
      </c>
      <c r="AG35" s="675">
        <f>IF(AF35&lt;=Greenhouse_Retrofit!$J$10,(Greenhouse_Retrofit!$J$11-Greenhouse_Retrofit!$J$12)/Greenhouse_Retrofit!$J$10,0)</f>
        <v>4740</v>
      </c>
    </row>
    <row r="36" spans="2:33" s="107" customFormat="1" x14ac:dyDescent="0.3">
      <c r="B36" s="677">
        <f t="shared" si="0"/>
        <v>26</v>
      </c>
      <c r="C36" s="675">
        <f>IF(B36&lt;=Fish_Inputs!$J$17,(Fish_Inputs!$J$18-Fish_Inputs!$J$19)/Fish_Inputs!$J$17,0)</f>
        <v>0</v>
      </c>
      <c r="D36" s="676"/>
      <c r="E36" s="677">
        <f t="shared" si="1"/>
        <v>26</v>
      </c>
      <c r="F36" s="675">
        <f>IF(E36&lt;=Fruit_Inputs!$J$17,(Fruit_Inputs!$J$18-Fruit_Inputs!$J$19)/Fruit_Inputs!$J$17,0)</f>
        <v>0</v>
      </c>
      <c r="H36" s="677">
        <f t="shared" si="2"/>
        <v>26</v>
      </c>
      <c r="I36" s="675">
        <f>IF(H36&lt;=Veg_Inputs!$J$17,(Veg_Inputs!$J$18-Veg_Inputs!$J$19)/Veg_Inputs!$J$17,0)</f>
        <v>0</v>
      </c>
      <c r="K36" s="677">
        <f t="shared" si="3"/>
        <v>26</v>
      </c>
      <c r="L36" s="675">
        <f>IF(K36&lt;=Rice_Inputs!$J$17,(Rice_Inputs!$J$18-Rice_Inputs!$J$19)/Rice_Inputs!$J$17,0)</f>
        <v>0</v>
      </c>
      <c r="N36" s="677">
        <f t="shared" si="4"/>
        <v>26</v>
      </c>
      <c r="O36" s="675">
        <f>IF(N36&lt;=Pyre_Inputs!$J$17,(Pyre_Inputs!$J$18-Pyre_Inputs!$J$19)/Pyre_Inputs!$J$17,0)</f>
        <v>0</v>
      </c>
      <c r="Q36" s="677">
        <f t="shared" si="5"/>
        <v>26</v>
      </c>
      <c r="R36" s="675">
        <f>IF(Q36&lt;=Tea_Retrofit!$J$10,(Tea_Retrofit!$J$11-Tea_Retrofit!$J$12)/Tea_Retrofit!$J$10,0)</f>
        <v>0</v>
      </c>
      <c r="T36" s="677">
        <f t="shared" si="6"/>
        <v>26</v>
      </c>
      <c r="U36" s="675">
        <f>IF(T36&lt;=Tobacco_Retrofit!$J$10,(Tobacco_Retrofit!$J$11-Tobacco_Retrofit!$J$12)/Tobacco_Retrofit!$J$10,0)</f>
        <v>0</v>
      </c>
      <c r="W36" s="677">
        <f t="shared" si="7"/>
        <v>26</v>
      </c>
      <c r="X36" s="675">
        <f>IF(W36&lt;=Spas_Inputs!$J$24,(Spas_Inputs!$J$25-Spas_Inputs!$J$26)/Spas_Inputs!$J$24,0)</f>
        <v>0</v>
      </c>
      <c r="Z36" s="677">
        <f t="shared" si="8"/>
        <v>26</v>
      </c>
      <c r="AA36" s="675">
        <f>IF(Z36&lt;=Hatchery_Retrofit!$J$10,(Hatchery_Retrofit!$J$11-Hatchery_Retrofit!$J$12)/Hatchery_Retrofit!$J$10,0)</f>
        <v>0</v>
      </c>
      <c r="AC36" s="677">
        <f t="shared" si="9"/>
        <v>26</v>
      </c>
      <c r="AD36" s="675">
        <f>IF(AC36&lt;=Milk_Retrofit!$J$10,(Milk_Retrofit!$J$11-Milk_Retrofit!$J$12)/Milk_Retrofit!$J$10,0)</f>
        <v>0</v>
      </c>
      <c r="AF36" s="677">
        <f t="shared" si="10"/>
        <v>26</v>
      </c>
      <c r="AG36" s="675">
        <f>IF(AF36&lt;=Greenhouse_Retrofit!$J$10,(Greenhouse_Retrofit!$J$11-Greenhouse_Retrofit!$J$12)/Greenhouse_Retrofit!$J$10,0)</f>
        <v>0</v>
      </c>
    </row>
    <row r="37" spans="2:33" s="107" customFormat="1" x14ac:dyDescent="0.3">
      <c r="B37" s="677">
        <f t="shared" si="0"/>
        <v>27</v>
      </c>
      <c r="C37" s="675">
        <f>IF(B37&lt;=Fish_Inputs!$J$17,(Fish_Inputs!$J$18-Fish_Inputs!$J$19)/Fish_Inputs!$J$17,0)</f>
        <v>0</v>
      </c>
      <c r="D37" s="676"/>
      <c r="E37" s="677">
        <f t="shared" si="1"/>
        <v>27</v>
      </c>
      <c r="F37" s="675">
        <f>IF(E37&lt;=Fruit_Inputs!$J$17,(Fruit_Inputs!$J$18-Fruit_Inputs!$J$19)/Fruit_Inputs!$J$17,0)</f>
        <v>0</v>
      </c>
      <c r="H37" s="677">
        <f t="shared" si="2"/>
        <v>27</v>
      </c>
      <c r="I37" s="675">
        <f>IF(H37&lt;=Veg_Inputs!$J$17,(Veg_Inputs!$J$18-Veg_Inputs!$J$19)/Veg_Inputs!$J$17,0)</f>
        <v>0</v>
      </c>
      <c r="K37" s="677">
        <f t="shared" si="3"/>
        <v>27</v>
      </c>
      <c r="L37" s="675">
        <f>IF(K37&lt;=Rice_Inputs!$J$17,(Rice_Inputs!$J$18-Rice_Inputs!$J$19)/Rice_Inputs!$J$17,0)</f>
        <v>0</v>
      </c>
      <c r="N37" s="677">
        <f t="shared" si="4"/>
        <v>27</v>
      </c>
      <c r="O37" s="675">
        <f>IF(N37&lt;=Pyre_Inputs!$J$17,(Pyre_Inputs!$J$18-Pyre_Inputs!$J$19)/Pyre_Inputs!$J$17,0)</f>
        <v>0</v>
      </c>
      <c r="Q37" s="677">
        <f t="shared" si="5"/>
        <v>27</v>
      </c>
      <c r="R37" s="675">
        <f>IF(Q37&lt;=Tea_Retrofit!$J$10,(Tea_Retrofit!$J$11-Tea_Retrofit!$J$12)/Tea_Retrofit!$J$10,0)</f>
        <v>0</v>
      </c>
      <c r="T37" s="677">
        <f t="shared" si="6"/>
        <v>27</v>
      </c>
      <c r="U37" s="675">
        <f>IF(T37&lt;=Tobacco_Retrofit!$J$10,(Tobacco_Retrofit!$J$11-Tobacco_Retrofit!$J$12)/Tobacco_Retrofit!$J$10,0)</f>
        <v>0</v>
      </c>
      <c r="W37" s="677">
        <f t="shared" si="7"/>
        <v>27</v>
      </c>
      <c r="X37" s="675">
        <f>IF(W37&lt;=Spas_Inputs!$J$24,(Spas_Inputs!$J$25-Spas_Inputs!$J$26)/Spas_Inputs!$J$24,0)</f>
        <v>0</v>
      </c>
      <c r="Z37" s="677">
        <f t="shared" si="8"/>
        <v>27</v>
      </c>
      <c r="AA37" s="675">
        <f>IF(Z37&lt;=Hatchery_Retrofit!$J$10,(Hatchery_Retrofit!$J$11-Hatchery_Retrofit!$J$12)/Hatchery_Retrofit!$J$10,0)</f>
        <v>0</v>
      </c>
      <c r="AC37" s="677">
        <f t="shared" si="9"/>
        <v>27</v>
      </c>
      <c r="AD37" s="675">
        <f>IF(AC37&lt;=Milk_Retrofit!$J$10,(Milk_Retrofit!$J$11-Milk_Retrofit!$J$12)/Milk_Retrofit!$J$10,0)</f>
        <v>0</v>
      </c>
      <c r="AF37" s="677">
        <f t="shared" si="10"/>
        <v>27</v>
      </c>
      <c r="AG37" s="675">
        <f>IF(AF37&lt;=Greenhouse_Retrofit!$J$10,(Greenhouse_Retrofit!$J$11-Greenhouse_Retrofit!$J$12)/Greenhouse_Retrofit!$J$10,0)</f>
        <v>0</v>
      </c>
    </row>
    <row r="38" spans="2:33" s="107" customFormat="1" x14ac:dyDescent="0.3">
      <c r="B38" s="677">
        <f t="shared" si="0"/>
        <v>28</v>
      </c>
      <c r="C38" s="675">
        <f>IF(B38&lt;=Fish_Inputs!$J$17,(Fish_Inputs!$J$18-Fish_Inputs!$J$19)/Fish_Inputs!$J$17,0)</f>
        <v>0</v>
      </c>
      <c r="D38" s="676"/>
      <c r="E38" s="677">
        <f t="shared" si="1"/>
        <v>28</v>
      </c>
      <c r="F38" s="675">
        <f>IF(E38&lt;=Fruit_Inputs!$J$17,(Fruit_Inputs!$J$18-Fruit_Inputs!$J$19)/Fruit_Inputs!$J$17,0)</f>
        <v>0</v>
      </c>
      <c r="H38" s="677">
        <f t="shared" si="2"/>
        <v>28</v>
      </c>
      <c r="I38" s="675">
        <f>IF(H38&lt;=Veg_Inputs!$J$17,(Veg_Inputs!$J$18-Veg_Inputs!$J$19)/Veg_Inputs!$J$17,0)</f>
        <v>0</v>
      </c>
      <c r="K38" s="677">
        <f t="shared" si="3"/>
        <v>28</v>
      </c>
      <c r="L38" s="675">
        <f>IF(K38&lt;=Rice_Inputs!$J$17,(Rice_Inputs!$J$18-Rice_Inputs!$J$19)/Rice_Inputs!$J$17,0)</f>
        <v>0</v>
      </c>
      <c r="N38" s="677">
        <f t="shared" si="4"/>
        <v>28</v>
      </c>
      <c r="O38" s="675">
        <f>IF(N38&lt;=Pyre_Inputs!$J$17,(Pyre_Inputs!$J$18-Pyre_Inputs!$J$19)/Pyre_Inputs!$J$17,0)</f>
        <v>0</v>
      </c>
      <c r="Q38" s="677">
        <f t="shared" si="5"/>
        <v>28</v>
      </c>
      <c r="R38" s="675">
        <f>IF(Q38&lt;=Tea_Retrofit!$J$10,(Tea_Retrofit!$J$11-Tea_Retrofit!$J$12)/Tea_Retrofit!$J$10,0)</f>
        <v>0</v>
      </c>
      <c r="T38" s="677">
        <f t="shared" si="6"/>
        <v>28</v>
      </c>
      <c r="U38" s="675">
        <f>IF(T38&lt;=Tobacco_Retrofit!$J$10,(Tobacco_Retrofit!$J$11-Tobacco_Retrofit!$J$12)/Tobacco_Retrofit!$J$10,0)</f>
        <v>0</v>
      </c>
      <c r="W38" s="677">
        <f t="shared" si="7"/>
        <v>28</v>
      </c>
      <c r="X38" s="675">
        <f>IF(W38&lt;=Spas_Inputs!$J$24,(Spas_Inputs!$J$25-Spas_Inputs!$J$26)/Spas_Inputs!$J$24,0)</f>
        <v>0</v>
      </c>
      <c r="Z38" s="677">
        <f t="shared" si="8"/>
        <v>28</v>
      </c>
      <c r="AA38" s="675">
        <f>IF(Z38&lt;=Hatchery_Retrofit!$J$10,(Hatchery_Retrofit!$J$11-Hatchery_Retrofit!$J$12)/Hatchery_Retrofit!$J$10,0)</f>
        <v>0</v>
      </c>
      <c r="AC38" s="677">
        <f t="shared" si="9"/>
        <v>28</v>
      </c>
      <c r="AD38" s="675">
        <f>IF(AC38&lt;=Milk_Retrofit!$J$10,(Milk_Retrofit!$J$11-Milk_Retrofit!$J$12)/Milk_Retrofit!$J$10,0)</f>
        <v>0</v>
      </c>
      <c r="AF38" s="677">
        <f t="shared" si="10"/>
        <v>28</v>
      </c>
      <c r="AG38" s="675">
        <f>IF(AF38&lt;=Greenhouse_Retrofit!$J$10,(Greenhouse_Retrofit!$J$11-Greenhouse_Retrofit!$J$12)/Greenhouse_Retrofit!$J$10,0)</f>
        <v>0</v>
      </c>
    </row>
    <row r="39" spans="2:33" s="107" customFormat="1" x14ac:dyDescent="0.3">
      <c r="B39" s="677">
        <f t="shared" si="0"/>
        <v>29</v>
      </c>
      <c r="C39" s="675">
        <f>IF(B39&lt;=Fish_Inputs!$J$17,(Fish_Inputs!$J$18-Fish_Inputs!$J$19)/Fish_Inputs!$J$17,0)</f>
        <v>0</v>
      </c>
      <c r="D39" s="676"/>
      <c r="E39" s="677">
        <f t="shared" si="1"/>
        <v>29</v>
      </c>
      <c r="F39" s="675">
        <f>IF(E39&lt;=Fruit_Inputs!$J$17,(Fruit_Inputs!$J$18-Fruit_Inputs!$J$19)/Fruit_Inputs!$J$17,0)</f>
        <v>0</v>
      </c>
      <c r="H39" s="677">
        <f t="shared" si="2"/>
        <v>29</v>
      </c>
      <c r="I39" s="675">
        <f>IF(H39&lt;=Veg_Inputs!$J$17,(Veg_Inputs!$J$18-Veg_Inputs!$J$19)/Veg_Inputs!$J$17,0)</f>
        <v>0</v>
      </c>
      <c r="K39" s="677">
        <f t="shared" si="3"/>
        <v>29</v>
      </c>
      <c r="L39" s="675">
        <f>IF(K39&lt;=Rice_Inputs!$J$17,(Rice_Inputs!$J$18-Rice_Inputs!$J$19)/Rice_Inputs!$J$17,0)</f>
        <v>0</v>
      </c>
      <c r="N39" s="677">
        <f t="shared" si="4"/>
        <v>29</v>
      </c>
      <c r="O39" s="675">
        <f>IF(N39&lt;=Pyre_Inputs!$J$17,(Pyre_Inputs!$J$18-Pyre_Inputs!$J$19)/Pyre_Inputs!$J$17,0)</f>
        <v>0</v>
      </c>
      <c r="Q39" s="677">
        <f t="shared" si="5"/>
        <v>29</v>
      </c>
      <c r="R39" s="675">
        <f>IF(Q39&lt;=Tea_Retrofit!$J$10,(Tea_Retrofit!$J$11-Tea_Retrofit!$J$12)/Tea_Retrofit!$J$10,0)</f>
        <v>0</v>
      </c>
      <c r="T39" s="677">
        <f t="shared" si="6"/>
        <v>29</v>
      </c>
      <c r="U39" s="675">
        <f>IF(T39&lt;=Tobacco_Retrofit!$J$10,(Tobacco_Retrofit!$J$11-Tobacco_Retrofit!$J$12)/Tobacco_Retrofit!$J$10,0)</f>
        <v>0</v>
      </c>
      <c r="W39" s="677">
        <f t="shared" si="7"/>
        <v>29</v>
      </c>
      <c r="X39" s="675">
        <f>IF(W39&lt;=Spas_Inputs!$J$24,(Spas_Inputs!$J$25-Spas_Inputs!$J$26)/Spas_Inputs!$J$24,0)</f>
        <v>0</v>
      </c>
      <c r="Z39" s="677">
        <f t="shared" si="8"/>
        <v>29</v>
      </c>
      <c r="AA39" s="675">
        <f>IF(Z39&lt;=Hatchery_Retrofit!$J$10,(Hatchery_Retrofit!$J$11-Hatchery_Retrofit!$J$12)/Hatchery_Retrofit!$J$10,0)</f>
        <v>0</v>
      </c>
      <c r="AC39" s="677">
        <f t="shared" si="9"/>
        <v>29</v>
      </c>
      <c r="AD39" s="675">
        <f>IF(AC39&lt;=Milk_Retrofit!$J$10,(Milk_Retrofit!$J$11-Milk_Retrofit!$J$12)/Milk_Retrofit!$J$10,0)</f>
        <v>0</v>
      </c>
      <c r="AF39" s="677">
        <f t="shared" si="10"/>
        <v>29</v>
      </c>
      <c r="AG39" s="675">
        <f>IF(AF39&lt;=Greenhouse_Retrofit!$J$10,(Greenhouse_Retrofit!$J$11-Greenhouse_Retrofit!$J$12)/Greenhouse_Retrofit!$J$10,0)</f>
        <v>0</v>
      </c>
    </row>
    <row r="40" spans="2:33" s="107" customFormat="1" x14ac:dyDescent="0.3">
      <c r="B40" s="677">
        <f t="shared" si="0"/>
        <v>30</v>
      </c>
      <c r="C40" s="675">
        <f>IF(B40&lt;=Fish_Inputs!$J$17,(Fish_Inputs!$J$18-Fish_Inputs!$J$19)/Fish_Inputs!$J$17,0)</f>
        <v>0</v>
      </c>
      <c r="D40" s="676"/>
      <c r="E40" s="677">
        <f t="shared" si="1"/>
        <v>30</v>
      </c>
      <c r="F40" s="675">
        <f>IF(E40&lt;=Fruit_Inputs!$J$17,(Fruit_Inputs!$J$18-Fruit_Inputs!$J$19)/Fruit_Inputs!$J$17,0)</f>
        <v>0</v>
      </c>
      <c r="H40" s="677">
        <f t="shared" si="2"/>
        <v>30</v>
      </c>
      <c r="I40" s="675">
        <f>IF(H40&lt;=Veg_Inputs!$J$17,(Veg_Inputs!$J$18-Veg_Inputs!$J$19)/Veg_Inputs!$J$17,0)</f>
        <v>0</v>
      </c>
      <c r="K40" s="677">
        <f t="shared" si="3"/>
        <v>30</v>
      </c>
      <c r="L40" s="675">
        <f>IF(K40&lt;=Rice_Inputs!$J$17,(Rice_Inputs!$J$18-Rice_Inputs!$J$19)/Rice_Inputs!$J$17,0)</f>
        <v>0</v>
      </c>
      <c r="N40" s="677">
        <f t="shared" si="4"/>
        <v>30</v>
      </c>
      <c r="O40" s="675">
        <f>IF(N40&lt;=Pyre_Inputs!$J$17,(Pyre_Inputs!$J$18-Pyre_Inputs!$J$19)/Pyre_Inputs!$J$17,0)</f>
        <v>0</v>
      </c>
      <c r="Q40" s="677">
        <f t="shared" si="5"/>
        <v>30</v>
      </c>
      <c r="R40" s="675">
        <f>IF(Q40&lt;=Tea_Retrofit!$J$10,(Tea_Retrofit!$J$11-Tea_Retrofit!$J$12)/Tea_Retrofit!$J$10,0)</f>
        <v>0</v>
      </c>
      <c r="T40" s="677">
        <f t="shared" si="6"/>
        <v>30</v>
      </c>
      <c r="U40" s="675">
        <f>IF(T40&lt;=Tobacco_Retrofit!$J$10,(Tobacco_Retrofit!$J$11-Tobacco_Retrofit!$J$12)/Tobacco_Retrofit!$J$10,0)</f>
        <v>0</v>
      </c>
      <c r="W40" s="677">
        <f t="shared" si="7"/>
        <v>30</v>
      </c>
      <c r="X40" s="675">
        <f>IF(W40&lt;=Spas_Inputs!$J$24,(Spas_Inputs!$J$25-Spas_Inputs!$J$26)/Spas_Inputs!$J$24,0)</f>
        <v>0</v>
      </c>
      <c r="Z40" s="677">
        <f t="shared" si="8"/>
        <v>30</v>
      </c>
      <c r="AA40" s="675">
        <f>IF(Z40&lt;=Hatchery_Retrofit!$J$10,(Hatchery_Retrofit!$J$11-Hatchery_Retrofit!$J$12)/Hatchery_Retrofit!$J$10,0)</f>
        <v>0</v>
      </c>
      <c r="AC40" s="677">
        <f t="shared" si="9"/>
        <v>30</v>
      </c>
      <c r="AD40" s="675">
        <f>IF(AC40&lt;=Milk_Retrofit!$J$10,(Milk_Retrofit!$J$11-Milk_Retrofit!$J$12)/Milk_Retrofit!$J$10,0)</f>
        <v>0</v>
      </c>
      <c r="AF40" s="677">
        <f t="shared" si="10"/>
        <v>30</v>
      </c>
      <c r="AG40" s="675">
        <f>IF(AF40&lt;=Greenhouse_Retrofit!$J$10,(Greenhouse_Retrofit!$J$11-Greenhouse_Retrofit!$J$12)/Greenhouse_Retrofit!$J$10,0)</f>
        <v>0</v>
      </c>
    </row>
    <row r="41" spans="2:33" s="107" customFormat="1" x14ac:dyDescent="0.3">
      <c r="B41" s="677">
        <f t="shared" si="0"/>
        <v>31</v>
      </c>
      <c r="C41" s="675">
        <f>IF(B41&lt;=Fish_Inputs!$J$17,(Fish_Inputs!$J$18-Fish_Inputs!$J$19)/Fish_Inputs!$J$17,0)</f>
        <v>0</v>
      </c>
      <c r="D41" s="676"/>
      <c r="E41" s="677">
        <f t="shared" si="1"/>
        <v>31</v>
      </c>
      <c r="F41" s="675">
        <f>IF(E41&lt;=Fruit_Inputs!$J$17,(Fruit_Inputs!$J$18-Fruit_Inputs!$J$19)/Fruit_Inputs!$J$17,0)</f>
        <v>0</v>
      </c>
      <c r="H41" s="677">
        <f t="shared" si="2"/>
        <v>31</v>
      </c>
      <c r="I41" s="675">
        <f>IF(H41&lt;=Veg_Inputs!$J$17,(Veg_Inputs!$J$18-Veg_Inputs!$J$19)/Veg_Inputs!$J$17,0)</f>
        <v>0</v>
      </c>
      <c r="K41" s="677">
        <f t="shared" si="3"/>
        <v>31</v>
      </c>
      <c r="L41" s="675">
        <f>IF(K41&lt;=Rice_Inputs!$J$17,(Rice_Inputs!$J$18-Rice_Inputs!$J$19)/Rice_Inputs!$J$17,0)</f>
        <v>0</v>
      </c>
      <c r="N41" s="677">
        <f t="shared" si="4"/>
        <v>31</v>
      </c>
      <c r="O41" s="675">
        <f>IF(N41&lt;=Pyre_Inputs!$J$17,(Pyre_Inputs!$J$18-Pyre_Inputs!$J$19)/Pyre_Inputs!$J$17,0)</f>
        <v>0</v>
      </c>
      <c r="Q41" s="677">
        <f t="shared" si="5"/>
        <v>31</v>
      </c>
      <c r="R41" s="675">
        <f>IF(Q41&lt;=Tea_Retrofit!$J$10,(Tea_Retrofit!$J$11-Tea_Retrofit!$J$12)/Tea_Retrofit!$J$10,0)</f>
        <v>0</v>
      </c>
      <c r="T41" s="677">
        <f t="shared" si="6"/>
        <v>31</v>
      </c>
      <c r="U41" s="675">
        <f>IF(T41&lt;=Tobacco_Retrofit!$J$10,(Tobacco_Retrofit!$J$11-Tobacco_Retrofit!$J$12)/Tobacco_Retrofit!$J$10,0)</f>
        <v>0</v>
      </c>
      <c r="W41" s="677">
        <f t="shared" si="7"/>
        <v>31</v>
      </c>
      <c r="X41" s="675">
        <f>IF(W41&lt;=Spas_Inputs!$J$24,(Spas_Inputs!$J$25-Spas_Inputs!$J$26)/Spas_Inputs!$J$24,0)</f>
        <v>0</v>
      </c>
      <c r="Z41" s="677">
        <f t="shared" si="8"/>
        <v>31</v>
      </c>
      <c r="AA41" s="675">
        <f>IF(Z41&lt;=Hatchery_Retrofit!$J$10,(Hatchery_Retrofit!$J$11-Hatchery_Retrofit!$J$12)/Hatchery_Retrofit!$J$10,0)</f>
        <v>0</v>
      </c>
      <c r="AC41" s="677">
        <f t="shared" si="9"/>
        <v>31</v>
      </c>
      <c r="AD41" s="675">
        <f>IF(AC41&lt;=Milk_Retrofit!$J$10,(Milk_Retrofit!$J$11-Milk_Retrofit!$J$12)/Milk_Retrofit!$J$10,0)</f>
        <v>0</v>
      </c>
      <c r="AF41" s="677">
        <f t="shared" si="10"/>
        <v>31</v>
      </c>
      <c r="AG41" s="675">
        <f>IF(AF41&lt;=Greenhouse_Retrofit!$J$10,(Greenhouse_Retrofit!$J$11-Greenhouse_Retrofit!$J$12)/Greenhouse_Retrofit!$J$10,0)</f>
        <v>0</v>
      </c>
    </row>
    <row r="42" spans="2:33" s="107" customFormat="1" x14ac:dyDescent="0.3">
      <c r="B42" s="677">
        <f t="shared" si="0"/>
        <v>32</v>
      </c>
      <c r="C42" s="675">
        <f>IF(B42&lt;=Fish_Inputs!$J$17,(Fish_Inputs!$J$18-Fish_Inputs!$J$19)/Fish_Inputs!$J$17,0)</f>
        <v>0</v>
      </c>
      <c r="D42" s="676"/>
      <c r="E42" s="677">
        <f t="shared" si="1"/>
        <v>32</v>
      </c>
      <c r="F42" s="675">
        <f>IF(E42&lt;=Fruit_Inputs!$J$17,(Fruit_Inputs!$J$18-Fruit_Inputs!$J$19)/Fruit_Inputs!$J$17,0)</f>
        <v>0</v>
      </c>
      <c r="H42" s="677">
        <f t="shared" si="2"/>
        <v>32</v>
      </c>
      <c r="I42" s="675">
        <f>IF(H42&lt;=Veg_Inputs!$J$17,(Veg_Inputs!$J$18-Veg_Inputs!$J$19)/Veg_Inputs!$J$17,0)</f>
        <v>0</v>
      </c>
      <c r="K42" s="677">
        <f t="shared" si="3"/>
        <v>32</v>
      </c>
      <c r="L42" s="675">
        <f>IF(K42&lt;=Rice_Inputs!$J$17,(Rice_Inputs!$J$18-Rice_Inputs!$J$19)/Rice_Inputs!$J$17,0)</f>
        <v>0</v>
      </c>
      <c r="N42" s="677">
        <f t="shared" si="4"/>
        <v>32</v>
      </c>
      <c r="O42" s="675">
        <f>IF(N42&lt;=Pyre_Inputs!$J$17,(Pyre_Inputs!$J$18-Pyre_Inputs!$J$19)/Pyre_Inputs!$J$17,0)</f>
        <v>0</v>
      </c>
      <c r="Q42" s="677">
        <f t="shared" si="5"/>
        <v>32</v>
      </c>
      <c r="R42" s="675">
        <f>IF(Q42&lt;=Tea_Retrofit!$J$10,(Tea_Retrofit!$J$11-Tea_Retrofit!$J$12)/Tea_Retrofit!$J$10,0)</f>
        <v>0</v>
      </c>
      <c r="T42" s="677">
        <f t="shared" si="6"/>
        <v>32</v>
      </c>
      <c r="U42" s="675">
        <f>IF(T42&lt;=Tobacco_Retrofit!$J$10,(Tobacco_Retrofit!$J$11-Tobacco_Retrofit!$J$12)/Tobacco_Retrofit!$J$10,0)</f>
        <v>0</v>
      </c>
      <c r="W42" s="677">
        <f t="shared" si="7"/>
        <v>32</v>
      </c>
      <c r="X42" s="675">
        <f>IF(W42&lt;=Spas_Inputs!$J$24,(Spas_Inputs!$J$25-Spas_Inputs!$J$26)/Spas_Inputs!$J$24,0)</f>
        <v>0</v>
      </c>
      <c r="Z42" s="677">
        <f t="shared" si="8"/>
        <v>32</v>
      </c>
      <c r="AA42" s="675">
        <f>IF(Z42&lt;=Hatchery_Retrofit!$J$10,(Hatchery_Retrofit!$J$11-Hatchery_Retrofit!$J$12)/Hatchery_Retrofit!$J$10,0)</f>
        <v>0</v>
      </c>
      <c r="AC42" s="677">
        <f t="shared" si="9"/>
        <v>32</v>
      </c>
      <c r="AD42" s="675">
        <f>IF(AC42&lt;=Milk_Retrofit!$J$10,(Milk_Retrofit!$J$11-Milk_Retrofit!$J$12)/Milk_Retrofit!$J$10,0)</f>
        <v>0</v>
      </c>
      <c r="AF42" s="677">
        <f t="shared" si="10"/>
        <v>32</v>
      </c>
      <c r="AG42" s="675">
        <f>IF(AF42&lt;=Greenhouse_Retrofit!$J$10,(Greenhouse_Retrofit!$J$11-Greenhouse_Retrofit!$J$12)/Greenhouse_Retrofit!$J$10,0)</f>
        <v>0</v>
      </c>
    </row>
    <row r="43" spans="2:33" s="107" customFormat="1" x14ac:dyDescent="0.3">
      <c r="B43" s="677">
        <f t="shared" si="0"/>
        <v>33</v>
      </c>
      <c r="C43" s="675">
        <f>IF(B43&lt;=Fish_Inputs!$J$17,(Fish_Inputs!$J$18-Fish_Inputs!$J$19)/Fish_Inputs!$J$17,0)</f>
        <v>0</v>
      </c>
      <c r="D43" s="676"/>
      <c r="E43" s="677">
        <f t="shared" si="1"/>
        <v>33</v>
      </c>
      <c r="F43" s="675">
        <f>IF(E43&lt;=Fruit_Inputs!$J$17,(Fruit_Inputs!$J$18-Fruit_Inputs!$J$19)/Fruit_Inputs!$J$17,0)</f>
        <v>0</v>
      </c>
      <c r="H43" s="677">
        <f t="shared" si="2"/>
        <v>33</v>
      </c>
      <c r="I43" s="675">
        <f>IF(H43&lt;=Veg_Inputs!$J$17,(Veg_Inputs!$J$18-Veg_Inputs!$J$19)/Veg_Inputs!$J$17,0)</f>
        <v>0</v>
      </c>
      <c r="K43" s="677">
        <f t="shared" si="3"/>
        <v>33</v>
      </c>
      <c r="L43" s="675">
        <f>IF(K43&lt;=Rice_Inputs!$J$17,(Rice_Inputs!$J$18-Rice_Inputs!$J$19)/Rice_Inputs!$J$17,0)</f>
        <v>0</v>
      </c>
      <c r="N43" s="677">
        <f t="shared" si="4"/>
        <v>33</v>
      </c>
      <c r="O43" s="675">
        <f>IF(N43&lt;=Pyre_Inputs!$J$17,(Pyre_Inputs!$J$18-Pyre_Inputs!$J$19)/Pyre_Inputs!$J$17,0)</f>
        <v>0</v>
      </c>
      <c r="Q43" s="677">
        <f t="shared" si="5"/>
        <v>33</v>
      </c>
      <c r="R43" s="675">
        <f>IF(Q43&lt;=Tea_Retrofit!$J$10,(Tea_Retrofit!$J$11-Tea_Retrofit!$J$12)/Tea_Retrofit!$J$10,0)</f>
        <v>0</v>
      </c>
      <c r="T43" s="677">
        <f t="shared" si="6"/>
        <v>33</v>
      </c>
      <c r="U43" s="675">
        <f>IF(T43&lt;=Tobacco_Retrofit!$J$10,(Tobacco_Retrofit!$J$11-Tobacco_Retrofit!$J$12)/Tobacco_Retrofit!$J$10,0)</f>
        <v>0</v>
      </c>
      <c r="W43" s="677">
        <f t="shared" si="7"/>
        <v>33</v>
      </c>
      <c r="X43" s="675">
        <f>IF(W43&lt;=Spas_Inputs!$J$24,(Spas_Inputs!$J$25-Spas_Inputs!$J$26)/Spas_Inputs!$J$24,0)</f>
        <v>0</v>
      </c>
      <c r="Z43" s="677">
        <f t="shared" si="8"/>
        <v>33</v>
      </c>
      <c r="AA43" s="675">
        <f>IF(Z43&lt;=Hatchery_Retrofit!$J$10,(Hatchery_Retrofit!$J$11-Hatchery_Retrofit!$J$12)/Hatchery_Retrofit!$J$10,0)</f>
        <v>0</v>
      </c>
      <c r="AC43" s="677">
        <f t="shared" si="9"/>
        <v>33</v>
      </c>
      <c r="AD43" s="675">
        <f>IF(AC43&lt;=Milk_Retrofit!$J$10,(Milk_Retrofit!$J$11-Milk_Retrofit!$J$12)/Milk_Retrofit!$J$10,0)</f>
        <v>0</v>
      </c>
      <c r="AF43" s="677">
        <f t="shared" si="10"/>
        <v>33</v>
      </c>
      <c r="AG43" s="675">
        <f>IF(AF43&lt;=Greenhouse_Retrofit!$J$10,(Greenhouse_Retrofit!$J$11-Greenhouse_Retrofit!$J$12)/Greenhouse_Retrofit!$J$10,0)</f>
        <v>0</v>
      </c>
    </row>
    <row r="44" spans="2:33" s="107" customFormat="1" x14ac:dyDescent="0.3">
      <c r="B44" s="677">
        <f t="shared" si="0"/>
        <v>34</v>
      </c>
      <c r="C44" s="675">
        <f>IF(B44&lt;=Fish_Inputs!$J$17,(Fish_Inputs!$J$18-Fish_Inputs!$J$19)/Fish_Inputs!$J$17,0)</f>
        <v>0</v>
      </c>
      <c r="D44" s="676"/>
      <c r="E44" s="677">
        <f t="shared" si="1"/>
        <v>34</v>
      </c>
      <c r="F44" s="675">
        <f>IF(E44&lt;=Fruit_Inputs!$J$17,(Fruit_Inputs!$J$18-Fruit_Inputs!$J$19)/Fruit_Inputs!$J$17,0)</f>
        <v>0</v>
      </c>
      <c r="H44" s="677">
        <f t="shared" si="2"/>
        <v>34</v>
      </c>
      <c r="I44" s="675">
        <f>IF(H44&lt;=Veg_Inputs!$J$17,(Veg_Inputs!$J$18-Veg_Inputs!$J$19)/Veg_Inputs!$J$17,0)</f>
        <v>0</v>
      </c>
      <c r="K44" s="677">
        <f t="shared" si="3"/>
        <v>34</v>
      </c>
      <c r="L44" s="675">
        <f>IF(K44&lt;=Rice_Inputs!$J$17,(Rice_Inputs!$J$18-Rice_Inputs!$J$19)/Rice_Inputs!$J$17,0)</f>
        <v>0</v>
      </c>
      <c r="N44" s="677">
        <f t="shared" si="4"/>
        <v>34</v>
      </c>
      <c r="O44" s="675">
        <f>IF(N44&lt;=Pyre_Inputs!$J$17,(Pyre_Inputs!$J$18-Pyre_Inputs!$J$19)/Pyre_Inputs!$J$17,0)</f>
        <v>0</v>
      </c>
      <c r="Q44" s="677">
        <f t="shared" si="5"/>
        <v>34</v>
      </c>
      <c r="R44" s="675">
        <f>IF(Q44&lt;=Tea_Retrofit!$J$10,(Tea_Retrofit!$J$11-Tea_Retrofit!$J$12)/Tea_Retrofit!$J$10,0)</f>
        <v>0</v>
      </c>
      <c r="T44" s="677">
        <f t="shared" si="6"/>
        <v>34</v>
      </c>
      <c r="U44" s="675">
        <f>IF(T44&lt;=Tobacco_Retrofit!$J$10,(Tobacco_Retrofit!$J$11-Tobacco_Retrofit!$J$12)/Tobacco_Retrofit!$J$10,0)</f>
        <v>0</v>
      </c>
      <c r="W44" s="677">
        <f t="shared" si="7"/>
        <v>34</v>
      </c>
      <c r="X44" s="675">
        <f>IF(W44&lt;=Spas_Inputs!$J$24,(Spas_Inputs!$J$25-Spas_Inputs!$J$26)/Spas_Inputs!$J$24,0)</f>
        <v>0</v>
      </c>
      <c r="Z44" s="677">
        <f t="shared" si="8"/>
        <v>34</v>
      </c>
      <c r="AA44" s="675">
        <f>IF(Z44&lt;=Hatchery_Retrofit!$J$10,(Hatchery_Retrofit!$J$11-Hatchery_Retrofit!$J$12)/Hatchery_Retrofit!$J$10,0)</f>
        <v>0</v>
      </c>
      <c r="AC44" s="677">
        <f t="shared" si="9"/>
        <v>34</v>
      </c>
      <c r="AD44" s="675">
        <f>IF(AC44&lt;=Milk_Retrofit!$J$10,(Milk_Retrofit!$J$11-Milk_Retrofit!$J$12)/Milk_Retrofit!$J$10,0)</f>
        <v>0</v>
      </c>
      <c r="AF44" s="677">
        <f t="shared" si="10"/>
        <v>34</v>
      </c>
      <c r="AG44" s="675">
        <f>IF(AF44&lt;=Greenhouse_Retrofit!$J$10,(Greenhouse_Retrofit!$J$11-Greenhouse_Retrofit!$J$12)/Greenhouse_Retrofit!$J$10,0)</f>
        <v>0</v>
      </c>
    </row>
    <row r="45" spans="2:33" s="107" customFormat="1" x14ac:dyDescent="0.3">
      <c r="B45" s="678">
        <f t="shared" si="0"/>
        <v>35</v>
      </c>
      <c r="C45" s="679">
        <f>IF(B45&lt;=Fish_Inputs!$J$17,(Fish_Inputs!$J$18-Fish_Inputs!$J$19)/Fish_Inputs!$J$17,0)</f>
        <v>0</v>
      </c>
      <c r="D45" s="676"/>
      <c r="E45" s="678">
        <f t="shared" si="1"/>
        <v>35</v>
      </c>
      <c r="F45" s="675">
        <f>IF(E45&lt;=Fruit_Inputs!$J$17,(Fruit_Inputs!$J$18-Fruit_Inputs!$J$19)/Fruit_Inputs!$J$17,0)</f>
        <v>0</v>
      </c>
      <c r="H45" s="678">
        <f t="shared" si="2"/>
        <v>35</v>
      </c>
      <c r="I45" s="675">
        <f>IF(H45&lt;=Veg_Inputs!$J$17,(Veg_Inputs!$J$18-Veg_Inputs!$J$19)/Veg_Inputs!$J$17,0)</f>
        <v>0</v>
      </c>
      <c r="K45" s="678">
        <f t="shared" si="3"/>
        <v>35</v>
      </c>
      <c r="L45" s="675">
        <f>IF(K45&lt;=Rice_Inputs!$J$17,(Rice_Inputs!$J$18-Rice_Inputs!$J$19)/Rice_Inputs!$J$17,0)</f>
        <v>0</v>
      </c>
      <c r="N45" s="678">
        <f t="shared" si="4"/>
        <v>35</v>
      </c>
      <c r="O45" s="675">
        <f>IF(N45&lt;=Pyre_Inputs!$J$17,(Pyre_Inputs!$J$18-Pyre_Inputs!$J$19)/Pyre_Inputs!$J$17,0)</f>
        <v>0</v>
      </c>
      <c r="Q45" s="678">
        <f t="shared" si="5"/>
        <v>35</v>
      </c>
      <c r="R45" s="675">
        <f>IF(Q45&lt;=Tea_Retrofit!$J$10,(Tea_Retrofit!$J$11-Tea_Retrofit!$J$12)/Tea_Retrofit!$J$10,0)</f>
        <v>0</v>
      </c>
      <c r="T45" s="678">
        <f t="shared" si="6"/>
        <v>35</v>
      </c>
      <c r="U45" s="675">
        <f>IF(T45&lt;=Tobacco_Retrofit!$J$10,(Tobacco_Retrofit!$J$11-Tobacco_Retrofit!$J$12)/Tobacco_Retrofit!$J$10,0)</f>
        <v>0</v>
      </c>
      <c r="W45" s="678">
        <f t="shared" si="7"/>
        <v>35</v>
      </c>
      <c r="X45" s="679">
        <f>IF(W45&lt;=Spas_Inputs!$J$24,(Spas_Inputs!$J$25-Spas_Inputs!$J$26)/Spas_Inputs!$J$24,0)</f>
        <v>0</v>
      </c>
      <c r="Z45" s="678">
        <f t="shared" si="8"/>
        <v>35</v>
      </c>
      <c r="AA45" s="675">
        <f>IF(Z45&lt;=Hatchery_Retrofit!$J$10,(Hatchery_Retrofit!$J$11-Hatchery_Retrofit!$J$12)/Hatchery_Retrofit!$J$10,0)</f>
        <v>0</v>
      </c>
      <c r="AC45" s="678">
        <f t="shared" si="9"/>
        <v>35</v>
      </c>
      <c r="AD45" s="675">
        <f>IF(AC45&lt;=Milk_Retrofit!$J$10,(Milk_Retrofit!$J$11-Milk_Retrofit!$J$12)/Milk_Retrofit!$J$10,0)</f>
        <v>0</v>
      </c>
      <c r="AF45" s="678">
        <f t="shared" si="10"/>
        <v>35</v>
      </c>
      <c r="AG45" s="675">
        <f>IF(AF45&lt;=Greenhouse_Retrofit!$J$10,(Greenhouse_Retrofit!$J$11-Greenhouse_Retrofit!$J$12)/Greenhouse_Retrofit!$J$10,0)</f>
        <v>0</v>
      </c>
    </row>
  </sheetData>
  <mergeCells count="11">
    <mergeCell ref="T6:U6"/>
    <mergeCell ref="W6:X6"/>
    <mergeCell ref="Z6:AA6"/>
    <mergeCell ref="AC6:AD6"/>
    <mergeCell ref="AF6:AG6"/>
    <mergeCell ref="Q6:R6"/>
    <mergeCell ref="B6:C6"/>
    <mergeCell ref="E6:F6"/>
    <mergeCell ref="H6:I6"/>
    <mergeCell ref="K6:L6"/>
    <mergeCell ref="N6:O6"/>
  </mergeCells>
  <pageMargins left="0.7" right="0.7" top="0.75" bottom="0.75" header="0.3" footer="0.3"/>
  <pageSetup orientation="portrait" r:id="rId1"/>
  <headerFooter>
    <oddFooter>&amp;L&amp;F&amp;C&amp;A&amp;R&amp;D&amp;T</oddFooter>
  </headerFooter>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B050"/>
  </sheetPr>
  <dimension ref="B6:S16"/>
  <sheetViews>
    <sheetView zoomScale="80" zoomScaleNormal="80" workbookViewId="0"/>
  </sheetViews>
  <sheetFormatPr defaultRowHeight="14.4" x14ac:dyDescent="0.3"/>
  <cols>
    <col min="1" max="1" width="3.5546875" customWidth="1"/>
    <col min="2" max="2" width="35.33203125" bestFit="1" customWidth="1"/>
    <col min="3" max="3" width="17.88671875" bestFit="1" customWidth="1"/>
    <col min="4" max="4" width="17.33203125" customWidth="1"/>
    <col min="5" max="5" width="18" customWidth="1"/>
    <col min="6" max="6" width="14.33203125" customWidth="1"/>
    <col min="8" max="8" width="13.6640625" customWidth="1"/>
  </cols>
  <sheetData>
    <row r="6" spans="2:19" x14ac:dyDescent="0.3">
      <c r="B6" s="19" t="s">
        <v>27</v>
      </c>
      <c r="C6" s="17"/>
      <c r="D6" s="26"/>
    </row>
    <row r="7" spans="2:19" x14ac:dyDescent="0.3">
      <c r="B7" s="1" t="s">
        <v>28</v>
      </c>
      <c r="C7" s="1" t="s">
        <v>29</v>
      </c>
      <c r="D7" s="5" t="s">
        <v>30</v>
      </c>
      <c r="E7" s="291" t="s">
        <v>754</v>
      </c>
      <c r="F7" s="292" t="s">
        <v>163</v>
      </c>
      <c r="H7" s="486" t="s">
        <v>224</v>
      </c>
      <c r="L7" s="1">
        <v>2016</v>
      </c>
      <c r="M7" s="1">
        <v>2020</v>
      </c>
      <c r="N7" s="484"/>
      <c r="Q7" s="257" t="s">
        <v>758</v>
      </c>
      <c r="S7" s="486" t="s">
        <v>224</v>
      </c>
    </row>
    <row r="8" spans="2:19" x14ac:dyDescent="0.3">
      <c r="B8" s="299" t="s">
        <v>31</v>
      </c>
      <c r="C8" s="293" t="s">
        <v>32</v>
      </c>
      <c r="D8" s="300" t="s">
        <v>33</v>
      </c>
      <c r="E8" s="294">
        <v>177.94</v>
      </c>
      <c r="F8" s="295">
        <f>N8</f>
        <v>-6.7521944632004767E-4</v>
      </c>
      <c r="H8" t="s">
        <v>753</v>
      </c>
      <c r="L8" s="484">
        <v>177.72</v>
      </c>
      <c r="M8" s="314">
        <v>178.32</v>
      </c>
      <c r="N8" s="485">
        <f>((L8-M8)/L8)/5</f>
        <v>-6.7521944632004767E-4</v>
      </c>
      <c r="Q8" s="398">
        <v>0.113</v>
      </c>
      <c r="S8" s="354" t="s">
        <v>759</v>
      </c>
    </row>
    <row r="9" spans="2:19" x14ac:dyDescent="0.3">
      <c r="B9" s="27" t="s">
        <v>35</v>
      </c>
      <c r="C9" s="28" t="s">
        <v>36</v>
      </c>
      <c r="D9" s="29" t="s">
        <v>37</v>
      </c>
      <c r="E9" s="296">
        <v>37.1</v>
      </c>
      <c r="F9" s="295">
        <f>N9</f>
        <v>-0.17653683716564991</v>
      </c>
      <c r="H9" t="s">
        <v>753</v>
      </c>
      <c r="L9" s="484">
        <v>21.31</v>
      </c>
      <c r="M9" s="484">
        <v>40.119999999999997</v>
      </c>
      <c r="N9" s="485">
        <f>((L9-M9)/L9)/5</f>
        <v>-0.17653683716564991</v>
      </c>
      <c r="Q9" s="398">
        <v>0.14499999999999999</v>
      </c>
      <c r="S9" s="354" t="s">
        <v>760</v>
      </c>
    </row>
    <row r="10" spans="2:19" x14ac:dyDescent="0.3">
      <c r="B10" s="27" t="s">
        <v>39</v>
      </c>
      <c r="C10" s="28" t="s">
        <v>40</v>
      </c>
      <c r="D10" s="29" t="s">
        <v>41</v>
      </c>
      <c r="E10" s="296">
        <v>108.4029</v>
      </c>
      <c r="F10" s="295">
        <v>-1.358695652173913E-2</v>
      </c>
      <c r="H10" t="s">
        <v>225</v>
      </c>
      <c r="N10" s="390"/>
      <c r="Q10" s="76">
        <v>0.119657894736842</v>
      </c>
      <c r="S10" t="s">
        <v>225</v>
      </c>
    </row>
    <row r="11" spans="2:19" x14ac:dyDescent="0.3">
      <c r="B11" s="27" t="s">
        <v>42</v>
      </c>
      <c r="C11" s="28" t="s">
        <v>43</v>
      </c>
      <c r="D11" s="29" t="s">
        <v>44</v>
      </c>
      <c r="E11" s="296">
        <v>960.16111599999999</v>
      </c>
      <c r="F11" s="295">
        <v>-7.9999999999999988E-2</v>
      </c>
      <c r="H11" t="s">
        <v>225</v>
      </c>
      <c r="K11" s="390"/>
      <c r="Q11" s="76">
        <v>0.16700000000000001</v>
      </c>
      <c r="S11" t="s">
        <v>225</v>
      </c>
    </row>
    <row r="12" spans="2:19" x14ac:dyDescent="0.3">
      <c r="B12" s="27" t="s">
        <v>45</v>
      </c>
      <c r="C12" s="28" t="s">
        <v>46</v>
      </c>
      <c r="D12" s="29" t="s">
        <v>47</v>
      </c>
      <c r="E12" s="296">
        <v>2309.06</v>
      </c>
      <c r="F12" s="295">
        <v>-1.8604651162790684E-2</v>
      </c>
      <c r="H12" t="s">
        <v>225</v>
      </c>
      <c r="Q12" s="76">
        <v>0.16900000000000001</v>
      </c>
      <c r="S12" t="s">
        <v>225</v>
      </c>
    </row>
    <row r="13" spans="2:19" x14ac:dyDescent="0.3">
      <c r="B13" s="30" t="s">
        <v>48</v>
      </c>
      <c r="C13" s="31" t="s">
        <v>49</v>
      </c>
      <c r="D13" s="32" t="s">
        <v>50</v>
      </c>
      <c r="E13" s="297">
        <v>3689.09</v>
      </c>
      <c r="F13" s="298">
        <v>-2.7777777777777748E-2</v>
      </c>
      <c r="H13" t="s">
        <v>225</v>
      </c>
      <c r="Q13" s="76">
        <v>0.23089999999999999</v>
      </c>
      <c r="S13" t="s">
        <v>225</v>
      </c>
    </row>
    <row r="14" spans="2:19" x14ac:dyDescent="0.3">
      <c r="J14" s="390"/>
    </row>
    <row r="16" spans="2:19" x14ac:dyDescent="0.3">
      <c r="E16" s="390"/>
    </row>
  </sheetData>
  <hyperlinks>
    <hyperlink ref="S8" r:id="rId1" xr:uid="{F0977F72-951C-44E1-979B-DB9AABFC42A2}"/>
    <hyperlink ref="S9" r:id="rId2" xr:uid="{AF05D363-440C-489B-9846-255F26874D65}"/>
  </hyperlinks>
  <pageMargins left="0.7" right="0.7" top="0.75" bottom="0.75" header="0.3" footer="0.3"/>
  <drawing r:id="rId3"/>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137B2C-366C-4D5F-AB91-298668F942E4}">
  <sheetPr>
    <tabColor rgb="FF00B050"/>
  </sheetPr>
  <dimension ref="A2:L86"/>
  <sheetViews>
    <sheetView zoomScale="80" zoomScaleNormal="80" workbookViewId="0">
      <pane xSplit="2" ySplit="3" topLeftCell="C4" activePane="bottomRight" state="frozen"/>
      <selection pane="topRight" activeCell="C1" sqref="C1"/>
      <selection pane="bottomLeft" activeCell="A3" sqref="A3"/>
      <selection pane="bottomRight"/>
    </sheetView>
  </sheetViews>
  <sheetFormatPr defaultRowHeight="14.4" x14ac:dyDescent="0.3"/>
  <cols>
    <col min="1" max="1" width="3" customWidth="1"/>
    <col min="2" max="2" width="43.33203125" customWidth="1"/>
    <col min="3" max="3" width="13.109375" customWidth="1"/>
    <col min="4" max="4" width="13.88671875" bestFit="1" customWidth="1"/>
    <col min="5" max="5" width="12.33203125" bestFit="1" customWidth="1"/>
    <col min="6" max="7" width="15.109375" bestFit="1" customWidth="1"/>
    <col min="8" max="8" width="16.33203125" bestFit="1" customWidth="1"/>
    <col min="10" max="10" width="16" bestFit="1" customWidth="1"/>
  </cols>
  <sheetData>
    <row r="2" spans="1:11" x14ac:dyDescent="0.3">
      <c r="C2" s="370" t="s">
        <v>866</v>
      </c>
    </row>
    <row r="3" spans="1:11" x14ac:dyDescent="0.3">
      <c r="C3" s="356" t="s">
        <v>31</v>
      </c>
      <c r="D3" s="356" t="s">
        <v>35</v>
      </c>
      <c r="E3" s="356" t="s">
        <v>39</v>
      </c>
      <c r="F3" s="356" t="s">
        <v>42</v>
      </c>
      <c r="G3" s="356" t="s">
        <v>45</v>
      </c>
      <c r="H3" s="356" t="s">
        <v>48</v>
      </c>
    </row>
    <row r="4" spans="1:11" x14ac:dyDescent="0.3">
      <c r="A4" s="21">
        <v>1</v>
      </c>
      <c r="B4" s="701" t="s">
        <v>229</v>
      </c>
      <c r="C4" s="702" t="s">
        <v>278</v>
      </c>
      <c r="D4" s="702" t="s">
        <v>297</v>
      </c>
      <c r="E4" s="702" t="s">
        <v>299</v>
      </c>
      <c r="F4" s="702" t="s">
        <v>289</v>
      </c>
      <c r="G4" s="702" t="s">
        <v>259</v>
      </c>
      <c r="H4" s="698" t="s">
        <v>285</v>
      </c>
    </row>
    <row r="5" spans="1:11" x14ac:dyDescent="0.3">
      <c r="A5" s="21"/>
      <c r="B5" s="703" t="s">
        <v>268</v>
      </c>
      <c r="C5" s="704" t="s">
        <v>277</v>
      </c>
      <c r="D5" s="705">
        <f>100/Currency!E9</f>
        <v>2.6954177897574123</v>
      </c>
      <c r="E5" s="705">
        <f>AVERAGE(50,1000)/Currency!E10</f>
        <v>4.8430438669076192</v>
      </c>
      <c r="F5" s="705">
        <f>AVERAGE(1500,2500)/Currency!E11</f>
        <v>2.0829837479067419</v>
      </c>
      <c r="G5" s="705">
        <f>AVERAGE(5000,12000)/Currency!E12</f>
        <v>3.6811516374628637</v>
      </c>
      <c r="H5" s="706">
        <f>15000/Currency!E13</f>
        <v>4.0660433873936386</v>
      </c>
    </row>
    <row r="6" spans="1:11" x14ac:dyDescent="0.3">
      <c r="A6" s="21"/>
      <c r="B6" s="703" t="s">
        <v>269</v>
      </c>
      <c r="C6" s="704" t="s">
        <v>277</v>
      </c>
      <c r="D6" s="705">
        <f>AVERAGE(200,400)/Currency!E9</f>
        <v>8.0862533692722369</v>
      </c>
      <c r="E6" s="704" t="s">
        <v>277</v>
      </c>
      <c r="F6" s="705">
        <f>6000/Currency!E11</f>
        <v>6.2489512437202261</v>
      </c>
      <c r="G6" s="705">
        <f>AVERAGE(10000,16000)/Currency!E12</f>
        <v>5.629996622002027</v>
      </c>
      <c r="H6" s="706">
        <f>AVERAGE(20000,30000)/Currency!E13</f>
        <v>6.7767389789893979</v>
      </c>
    </row>
    <row r="7" spans="1:11" x14ac:dyDescent="0.3">
      <c r="A7" s="21"/>
      <c r="B7" s="703" t="s">
        <v>252</v>
      </c>
      <c r="C7" s="704" t="s">
        <v>277</v>
      </c>
      <c r="D7" s="707">
        <f>2500*2000</f>
        <v>5000000</v>
      </c>
      <c r="E7" s="704" t="s">
        <v>277</v>
      </c>
      <c r="F7" s="708">
        <f>364*72*12</f>
        <v>314496</v>
      </c>
      <c r="G7" s="708">
        <f>AVERAGE(700,1200)*AVERAGE(90,150)*12</f>
        <v>1368000</v>
      </c>
      <c r="H7" s="709">
        <f>10000*30*12</f>
        <v>3600000</v>
      </c>
    </row>
    <row r="8" spans="1:11" x14ac:dyDescent="0.3">
      <c r="A8" s="21"/>
      <c r="B8" s="703" t="s">
        <v>266</v>
      </c>
      <c r="C8" s="704" t="s">
        <v>277</v>
      </c>
      <c r="D8" s="704"/>
      <c r="E8" s="704" t="s">
        <v>277</v>
      </c>
      <c r="F8" s="704" t="s">
        <v>277</v>
      </c>
      <c r="G8" s="708">
        <f>875*360</f>
        <v>315000</v>
      </c>
      <c r="H8" s="710" t="s">
        <v>203</v>
      </c>
    </row>
    <row r="9" spans="1:11" x14ac:dyDescent="0.3">
      <c r="A9" s="21"/>
      <c r="B9" s="711" t="s">
        <v>267</v>
      </c>
      <c r="C9" s="712" t="s">
        <v>277</v>
      </c>
      <c r="D9" s="712"/>
      <c r="E9" s="712" t="s">
        <v>277</v>
      </c>
      <c r="F9" s="712" t="s">
        <v>277</v>
      </c>
      <c r="G9" s="713">
        <f>G7-G8</f>
        <v>1053000</v>
      </c>
      <c r="H9" s="714" t="s">
        <v>203</v>
      </c>
    </row>
    <row r="10" spans="1:11" x14ac:dyDescent="0.3">
      <c r="A10" s="21">
        <v>2</v>
      </c>
      <c r="B10" s="701" t="s">
        <v>246</v>
      </c>
      <c r="C10" s="702" t="s">
        <v>277</v>
      </c>
      <c r="D10" s="702" t="s">
        <v>277</v>
      </c>
      <c r="E10" s="702" t="s">
        <v>277</v>
      </c>
      <c r="F10" s="702" t="s">
        <v>277</v>
      </c>
      <c r="G10" s="702" t="s">
        <v>277</v>
      </c>
      <c r="H10" s="698" t="s">
        <v>286</v>
      </c>
    </row>
    <row r="11" spans="1:11" x14ac:dyDescent="0.3">
      <c r="A11" s="21"/>
      <c r="B11" s="703" t="s">
        <v>270</v>
      </c>
      <c r="C11" s="704" t="s">
        <v>277</v>
      </c>
      <c r="D11" s="704" t="s">
        <v>277</v>
      </c>
      <c r="E11" s="704" t="s">
        <v>277</v>
      </c>
      <c r="F11" s="704" t="s">
        <v>277</v>
      </c>
      <c r="G11" s="704" t="s">
        <v>277</v>
      </c>
      <c r="H11" s="706">
        <f>AVERAGE(3500)/Currency!E13</f>
        <v>0.9487434570585157</v>
      </c>
    </row>
    <row r="12" spans="1:11" x14ac:dyDescent="0.3">
      <c r="A12" s="21"/>
      <c r="B12" s="703" t="s">
        <v>272</v>
      </c>
      <c r="C12" s="704" t="s">
        <v>277</v>
      </c>
      <c r="D12" s="704" t="s">
        <v>277</v>
      </c>
      <c r="E12" s="704" t="s">
        <v>277</v>
      </c>
      <c r="F12" s="704" t="s">
        <v>277</v>
      </c>
      <c r="G12" s="704" t="s">
        <v>277</v>
      </c>
      <c r="H12" s="706">
        <f>AVERAGE(4000,6000)/Currency!E13</f>
        <v>1.3553477957978797</v>
      </c>
    </row>
    <row r="13" spans="1:11" x14ac:dyDescent="0.3">
      <c r="A13" s="21"/>
      <c r="B13" s="703" t="s">
        <v>271</v>
      </c>
      <c r="C13" s="704" t="s">
        <v>277</v>
      </c>
      <c r="D13" s="704" t="s">
        <v>277</v>
      </c>
      <c r="E13" s="704" t="s">
        <v>277</v>
      </c>
      <c r="F13" s="704" t="s">
        <v>277</v>
      </c>
      <c r="G13" s="704" t="s">
        <v>277</v>
      </c>
      <c r="H13" s="709">
        <f>5000*0.75*500</f>
        <v>1875000</v>
      </c>
      <c r="J13" s="239" t="s">
        <v>605</v>
      </c>
    </row>
    <row r="14" spans="1:11" x14ac:dyDescent="0.3">
      <c r="A14" s="21"/>
      <c r="B14" s="711" t="s">
        <v>281</v>
      </c>
      <c r="C14" s="712" t="s">
        <v>277</v>
      </c>
      <c r="D14" s="712" t="s">
        <v>277</v>
      </c>
      <c r="E14" s="712" t="s">
        <v>277</v>
      </c>
      <c r="F14" s="712" t="s">
        <v>277</v>
      </c>
      <c r="G14" s="712" t="s">
        <v>277</v>
      </c>
      <c r="H14" s="715">
        <f>5000*60*12</f>
        <v>3600000</v>
      </c>
    </row>
    <row r="15" spans="1:11" x14ac:dyDescent="0.3">
      <c r="A15" s="21">
        <v>3</v>
      </c>
      <c r="B15" s="701" t="s">
        <v>247</v>
      </c>
      <c r="C15" s="702" t="s">
        <v>277</v>
      </c>
      <c r="D15" s="702" t="s">
        <v>277</v>
      </c>
      <c r="E15" s="702" t="s">
        <v>277</v>
      </c>
      <c r="F15" s="702" t="s">
        <v>277</v>
      </c>
      <c r="G15" s="702" t="s">
        <v>258</v>
      </c>
      <c r="H15" s="698" t="s">
        <v>282</v>
      </c>
    </row>
    <row r="16" spans="1:11" x14ac:dyDescent="0.3">
      <c r="A16" s="21"/>
      <c r="B16" s="703" t="s">
        <v>260</v>
      </c>
      <c r="C16" s="704" t="s">
        <v>277</v>
      </c>
      <c r="D16" s="704" t="s">
        <v>277</v>
      </c>
      <c r="E16" s="704" t="s">
        <v>277</v>
      </c>
      <c r="F16" s="704" t="s">
        <v>277</v>
      </c>
      <c r="G16" s="699">
        <f>100/Currency!E12</f>
        <v>4.3307666323092513E-2</v>
      </c>
      <c r="H16" s="706">
        <f>AVERAGE(500,600)/Currency!E13</f>
        <v>0.14908825753776675</v>
      </c>
      <c r="J16" s="389">
        <v>0.1</v>
      </c>
      <c r="K16" t="s">
        <v>661</v>
      </c>
    </row>
    <row r="17" spans="1:12" x14ac:dyDescent="0.3">
      <c r="A17" s="21"/>
      <c r="B17" s="703" t="s">
        <v>273</v>
      </c>
      <c r="C17" s="704" t="s">
        <v>277</v>
      </c>
      <c r="D17" s="704" t="s">
        <v>277</v>
      </c>
      <c r="E17" s="704" t="s">
        <v>277</v>
      </c>
      <c r="F17" s="704" t="s">
        <v>277</v>
      </c>
      <c r="G17" s="699"/>
      <c r="H17" s="706">
        <f>5000/Currency!E13</f>
        <v>1.3553477957978797</v>
      </c>
      <c r="I17" s="389">
        <v>0.7</v>
      </c>
      <c r="J17" s="389">
        <f>AVERAGE(1.5,1.8)</f>
        <v>1.65</v>
      </c>
      <c r="K17" t="s">
        <v>661</v>
      </c>
    </row>
    <row r="18" spans="1:12" x14ac:dyDescent="0.3">
      <c r="A18" s="21"/>
      <c r="B18" s="703" t="s">
        <v>265</v>
      </c>
      <c r="C18" s="704" t="s">
        <v>277</v>
      </c>
      <c r="D18" s="704" t="s">
        <v>277</v>
      </c>
      <c r="E18" s="704" t="s">
        <v>277</v>
      </c>
      <c r="F18" s="704" t="s">
        <v>277</v>
      </c>
      <c r="G18" s="699"/>
      <c r="H18" s="710"/>
      <c r="J18" s="420">
        <v>12000000</v>
      </c>
      <c r="K18" t="s">
        <v>661</v>
      </c>
    </row>
    <row r="19" spans="1:12" x14ac:dyDescent="0.3">
      <c r="A19" s="21"/>
      <c r="B19" s="711" t="s">
        <v>283</v>
      </c>
      <c r="C19" s="712" t="s">
        <v>277</v>
      </c>
      <c r="D19" s="712" t="s">
        <v>277</v>
      </c>
      <c r="E19" s="712" t="s">
        <v>277</v>
      </c>
      <c r="F19" s="712" t="s">
        <v>277</v>
      </c>
      <c r="G19" s="700"/>
      <c r="H19" s="714"/>
    </row>
    <row r="20" spans="1:12" x14ac:dyDescent="0.3">
      <c r="A20" s="21">
        <v>4</v>
      </c>
      <c r="B20" s="701" t="s">
        <v>228</v>
      </c>
      <c r="C20" s="702" t="s">
        <v>277</v>
      </c>
      <c r="D20" s="702" t="s">
        <v>294</v>
      </c>
      <c r="E20" s="702" t="s">
        <v>302</v>
      </c>
      <c r="F20" s="702" t="s">
        <v>277</v>
      </c>
      <c r="G20" s="702" t="s">
        <v>256</v>
      </c>
      <c r="H20" s="698" t="s">
        <v>274</v>
      </c>
    </row>
    <row r="21" spans="1:12" x14ac:dyDescent="0.3">
      <c r="A21" s="21"/>
      <c r="B21" s="703" t="s">
        <v>275</v>
      </c>
      <c r="C21" s="704" t="s">
        <v>277</v>
      </c>
      <c r="D21" s="704"/>
      <c r="E21" s="704"/>
      <c r="F21" s="704" t="s">
        <v>277</v>
      </c>
      <c r="G21" s="704" t="s">
        <v>277</v>
      </c>
      <c r="H21" s="706">
        <f>5000/Currency!E13</f>
        <v>1.3553477957978797</v>
      </c>
    </row>
    <row r="22" spans="1:12" x14ac:dyDescent="0.3">
      <c r="A22" s="21"/>
      <c r="B22" s="711" t="s">
        <v>276</v>
      </c>
      <c r="C22" s="712" t="s">
        <v>277</v>
      </c>
      <c r="D22" s="712"/>
      <c r="E22" s="712"/>
      <c r="F22" s="712" t="s">
        <v>277</v>
      </c>
      <c r="G22" s="712">
        <f>8*30</f>
        <v>240</v>
      </c>
      <c r="H22" s="714" t="s">
        <v>277</v>
      </c>
    </row>
    <row r="23" spans="1:12" x14ac:dyDescent="0.3">
      <c r="A23" s="21">
        <v>5</v>
      </c>
      <c r="B23" s="701" t="s">
        <v>226</v>
      </c>
      <c r="C23" s="702" t="s">
        <v>280</v>
      </c>
      <c r="D23" s="702" t="s">
        <v>295</v>
      </c>
      <c r="E23" s="702" t="s">
        <v>277</v>
      </c>
      <c r="F23" s="702" t="s">
        <v>277</v>
      </c>
      <c r="G23" s="702" t="s">
        <v>257</v>
      </c>
      <c r="H23" s="698" t="s">
        <v>288</v>
      </c>
    </row>
    <row r="24" spans="1:12" x14ac:dyDescent="0.3">
      <c r="A24" s="21"/>
      <c r="B24" s="723"/>
      <c r="C24" s="712"/>
      <c r="D24" s="712"/>
      <c r="E24" s="712" t="s">
        <v>277</v>
      </c>
      <c r="F24" s="712" t="s">
        <v>277</v>
      </c>
      <c r="G24" s="712"/>
      <c r="H24" s="714"/>
    </row>
    <row r="25" spans="1:12" x14ac:dyDescent="0.3">
      <c r="A25" s="21">
        <v>6</v>
      </c>
      <c r="B25" s="724" t="s">
        <v>248</v>
      </c>
      <c r="C25" s="716" t="s">
        <v>277</v>
      </c>
      <c r="D25" s="716" t="s">
        <v>277</v>
      </c>
      <c r="E25" s="716" t="s">
        <v>311</v>
      </c>
      <c r="F25" s="716" t="s">
        <v>277</v>
      </c>
      <c r="G25" s="716" t="s">
        <v>277</v>
      </c>
      <c r="H25" s="717" t="s">
        <v>277</v>
      </c>
    </row>
    <row r="26" spans="1:12" x14ac:dyDescent="0.3">
      <c r="A26" s="21"/>
      <c r="B26" s="703" t="s">
        <v>724</v>
      </c>
      <c r="C26" s="702"/>
      <c r="D26" s="702"/>
      <c r="E26" s="718">
        <f>35/Currency!E10</f>
        <v>0.32286959112717462</v>
      </c>
      <c r="F26" s="702"/>
      <c r="G26" s="702"/>
      <c r="H26" s="698"/>
      <c r="J26" s="354" t="s">
        <v>725</v>
      </c>
    </row>
    <row r="27" spans="1:12" x14ac:dyDescent="0.3">
      <c r="A27" s="21">
        <v>7</v>
      </c>
      <c r="B27" s="701" t="s">
        <v>249</v>
      </c>
      <c r="C27" s="702" t="s">
        <v>277</v>
      </c>
      <c r="D27" s="702" t="s">
        <v>253</v>
      </c>
      <c r="E27" s="702" t="s">
        <v>277</v>
      </c>
      <c r="F27" s="702" t="s">
        <v>277</v>
      </c>
      <c r="G27" s="702" t="s">
        <v>277</v>
      </c>
      <c r="H27" s="698" t="s">
        <v>277</v>
      </c>
      <c r="K27">
        <f>2500*550</f>
        <v>1375000</v>
      </c>
      <c r="L27" t="s">
        <v>390</v>
      </c>
    </row>
    <row r="28" spans="1:12" x14ac:dyDescent="0.3">
      <c r="A28" s="21"/>
      <c r="B28" s="703" t="s">
        <v>309</v>
      </c>
      <c r="C28" s="704"/>
      <c r="D28" s="705">
        <f>6.36/Currency!E9</f>
        <v>0.17142857142857143</v>
      </c>
      <c r="E28" s="704"/>
      <c r="F28" s="704"/>
      <c r="G28" s="704"/>
      <c r="H28" s="710"/>
      <c r="K28" t="s">
        <v>656</v>
      </c>
    </row>
    <row r="29" spans="1:12" x14ac:dyDescent="0.3">
      <c r="A29" s="21"/>
      <c r="B29" s="703" t="s">
        <v>310</v>
      </c>
      <c r="C29" s="704"/>
      <c r="D29" s="705">
        <f>112.7/Currency!E9</f>
        <v>3.0377358490566038</v>
      </c>
      <c r="E29" s="704"/>
      <c r="F29" s="704"/>
      <c r="G29" s="704"/>
      <c r="H29" s="710"/>
      <c r="K29" t="s">
        <v>656</v>
      </c>
    </row>
    <row r="30" spans="1:12" x14ac:dyDescent="0.3">
      <c r="A30" s="21"/>
      <c r="B30" s="711" t="s">
        <v>329</v>
      </c>
      <c r="C30" s="712" t="s">
        <v>277</v>
      </c>
      <c r="D30" s="712">
        <f>AVERAGE(750000,1000000)</f>
        <v>875000</v>
      </c>
      <c r="E30" s="712" t="s">
        <v>277</v>
      </c>
      <c r="F30" s="712" t="s">
        <v>277</v>
      </c>
      <c r="G30" s="712" t="s">
        <v>277</v>
      </c>
      <c r="H30" s="714" t="s">
        <v>277</v>
      </c>
    </row>
    <row r="31" spans="1:12" x14ac:dyDescent="0.3">
      <c r="A31" s="21">
        <v>8</v>
      </c>
      <c r="B31" s="701" t="s">
        <v>250</v>
      </c>
      <c r="C31" s="702" t="s">
        <v>277</v>
      </c>
      <c r="D31" s="702" t="s">
        <v>296</v>
      </c>
      <c r="E31" s="702" t="s">
        <v>277</v>
      </c>
      <c r="F31" s="702" t="s">
        <v>277</v>
      </c>
      <c r="G31" s="702" t="s">
        <v>230</v>
      </c>
      <c r="H31" s="698" t="s">
        <v>284</v>
      </c>
    </row>
    <row r="32" spans="1:12" x14ac:dyDescent="0.3">
      <c r="A32" s="21"/>
      <c r="B32" s="703" t="s">
        <v>263</v>
      </c>
      <c r="C32" s="704" t="s">
        <v>277</v>
      </c>
      <c r="D32" s="705">
        <f>25/Currency!E9</f>
        <v>0.67385444743935308</v>
      </c>
      <c r="E32" s="704" t="s">
        <v>277</v>
      </c>
      <c r="F32" s="704" t="s">
        <v>277</v>
      </c>
      <c r="G32" s="705">
        <f>1200/Currency!E12</f>
        <v>0.51969199587711012</v>
      </c>
      <c r="H32" s="706">
        <f>2500/Currency!E13</f>
        <v>0.67767389789893984</v>
      </c>
    </row>
    <row r="33" spans="1:10" x14ac:dyDescent="0.3">
      <c r="A33" s="21"/>
      <c r="B33" s="703" t="s">
        <v>264</v>
      </c>
      <c r="C33" s="704" t="s">
        <v>277</v>
      </c>
      <c r="D33" s="705">
        <f>12/Currency!E9</f>
        <v>0.32345013477088946</v>
      </c>
      <c r="E33" s="704" t="s">
        <v>277</v>
      </c>
      <c r="F33" s="704" t="s">
        <v>277</v>
      </c>
      <c r="G33" s="705">
        <f>600/Currency!E12</f>
        <v>0.25984599793855506</v>
      </c>
      <c r="H33" s="706">
        <f>AVERAGE(500,2000)/Currency!E13</f>
        <v>0.33883694894946992</v>
      </c>
    </row>
    <row r="34" spans="1:10" x14ac:dyDescent="0.3">
      <c r="A34" s="21"/>
      <c r="B34" s="703" t="s">
        <v>306</v>
      </c>
      <c r="C34" s="704" t="s">
        <v>277</v>
      </c>
      <c r="D34" s="704"/>
      <c r="E34" s="704" t="s">
        <v>277</v>
      </c>
      <c r="F34" s="704" t="s">
        <v>277</v>
      </c>
      <c r="G34" s="719"/>
      <c r="H34" s="706">
        <f>5000/Currency!E13</f>
        <v>1.3553477957978797</v>
      </c>
    </row>
    <row r="35" spans="1:10" x14ac:dyDescent="0.3">
      <c r="A35" s="21"/>
      <c r="B35" s="703" t="s">
        <v>307</v>
      </c>
      <c r="C35" s="704"/>
      <c r="D35" s="704"/>
      <c r="E35" s="704"/>
      <c r="F35" s="704"/>
      <c r="G35" s="719"/>
      <c r="H35" s="706"/>
    </row>
    <row r="36" spans="1:10" x14ac:dyDescent="0.3">
      <c r="A36" s="21"/>
      <c r="B36" s="703" t="s">
        <v>293</v>
      </c>
      <c r="C36" s="704"/>
      <c r="D36" s="707">
        <v>550000</v>
      </c>
      <c r="E36" s="704" t="s">
        <v>277</v>
      </c>
      <c r="F36" s="704" t="s">
        <v>277</v>
      </c>
      <c r="G36" s="719"/>
      <c r="H36" s="706"/>
    </row>
    <row r="37" spans="1:10" x14ac:dyDescent="0.3">
      <c r="A37" s="21"/>
      <c r="B37" s="703" t="s">
        <v>308</v>
      </c>
      <c r="C37" s="712"/>
      <c r="D37" s="712"/>
      <c r="E37" s="712" t="s">
        <v>277</v>
      </c>
      <c r="F37" s="712" t="s">
        <v>277</v>
      </c>
      <c r="G37" s="720"/>
      <c r="H37" s="721"/>
    </row>
    <row r="38" spans="1:10" x14ac:dyDescent="0.3">
      <c r="A38" s="21">
        <v>9</v>
      </c>
      <c r="B38" s="701" t="s">
        <v>227</v>
      </c>
      <c r="C38" s="702" t="s">
        <v>277</v>
      </c>
      <c r="D38" s="702" t="s">
        <v>277</v>
      </c>
      <c r="E38" s="702" t="s">
        <v>301</v>
      </c>
      <c r="F38" s="702" t="s">
        <v>277</v>
      </c>
      <c r="G38" s="702" t="s">
        <v>277</v>
      </c>
      <c r="H38" s="698" t="s">
        <v>277</v>
      </c>
    </row>
    <row r="39" spans="1:10" x14ac:dyDescent="0.3">
      <c r="A39" s="21"/>
      <c r="B39" s="703" t="s">
        <v>304</v>
      </c>
      <c r="C39" s="704"/>
      <c r="D39" s="704"/>
      <c r="E39" s="705">
        <f>35000/2000/Currency!E10</f>
        <v>0.16143479556358731</v>
      </c>
      <c r="F39" s="704"/>
      <c r="G39" s="704"/>
      <c r="H39" s="710"/>
      <c r="J39" t="s">
        <v>641</v>
      </c>
    </row>
    <row r="40" spans="1:10" x14ac:dyDescent="0.3">
      <c r="A40" s="21"/>
      <c r="B40" s="703" t="s">
        <v>305</v>
      </c>
      <c r="C40" s="704"/>
      <c r="D40" s="704"/>
      <c r="E40" s="705">
        <f>375/Currency!E10</f>
        <v>3.4593170477911568</v>
      </c>
      <c r="F40" s="704"/>
      <c r="G40" s="704"/>
      <c r="H40" s="710"/>
      <c r="J40" t="s">
        <v>640</v>
      </c>
    </row>
    <row r="41" spans="1:10" x14ac:dyDescent="0.3">
      <c r="A41" s="21"/>
      <c r="B41" s="711" t="s">
        <v>300</v>
      </c>
      <c r="C41" s="712"/>
      <c r="D41" s="712"/>
      <c r="E41" s="722">
        <f>AVERAGE(8000,9000)*12</f>
        <v>102000</v>
      </c>
      <c r="F41" s="712"/>
      <c r="G41" s="712"/>
      <c r="H41" s="714"/>
    </row>
    <row r="42" spans="1:10" x14ac:dyDescent="0.3">
      <c r="A42" s="21">
        <v>10</v>
      </c>
      <c r="B42" s="701" t="s">
        <v>251</v>
      </c>
      <c r="C42" s="702" t="s">
        <v>279</v>
      </c>
      <c r="D42" s="702" t="s">
        <v>298</v>
      </c>
      <c r="E42" s="702" t="s">
        <v>303</v>
      </c>
      <c r="F42" s="702" t="s">
        <v>290</v>
      </c>
      <c r="G42" s="702" t="s">
        <v>255</v>
      </c>
      <c r="H42" s="698" t="s">
        <v>287</v>
      </c>
    </row>
    <row r="43" spans="1:10" x14ac:dyDescent="0.3">
      <c r="A43" s="21"/>
      <c r="B43" s="703" t="s">
        <v>261</v>
      </c>
      <c r="C43" s="705">
        <f>AVERAGE(500,550)/Currency!E8</f>
        <v>2.9504327301337532</v>
      </c>
      <c r="D43" s="705">
        <f>AVERAGE(30,40)/Currency!E9</f>
        <v>0.94339622641509435</v>
      </c>
      <c r="E43" s="704"/>
      <c r="F43" s="705">
        <f>220/Currency!E11</f>
        <v>0.22912821226974162</v>
      </c>
      <c r="G43" s="699">
        <f>AVERAGE(600,1000)/Currency!E12</f>
        <v>0.3464613305847401</v>
      </c>
      <c r="H43" s="706">
        <f>AVERAGE(600,2500)/Currency!E13</f>
        <v>0.4201578166973427</v>
      </c>
    </row>
    <row r="44" spans="1:10" x14ac:dyDescent="0.3">
      <c r="A44" s="21"/>
      <c r="B44" s="703" t="s">
        <v>254</v>
      </c>
      <c r="C44" s="704"/>
      <c r="D44" s="704"/>
      <c r="E44" s="704"/>
      <c r="F44" s="707">
        <f>AVERAGE(30000,60000)*360</f>
        <v>16200000</v>
      </c>
      <c r="G44" s="708">
        <f>((18000*11)+1500)*360</f>
        <v>71820000</v>
      </c>
      <c r="H44" s="710"/>
    </row>
    <row r="45" spans="1:10" x14ac:dyDescent="0.3">
      <c r="A45" s="21"/>
      <c r="B45" s="703" t="s">
        <v>262</v>
      </c>
      <c r="C45" s="705">
        <f>600/Currency!E8</f>
        <v>3.3719231201528608</v>
      </c>
      <c r="D45" s="705">
        <f>125/Currency!E9</f>
        <v>3.3692722371967654</v>
      </c>
      <c r="E45" s="704"/>
      <c r="F45" s="705">
        <f>AVERAGE(300,350)/Currency!E11</f>
        <v>0.33848485903484554</v>
      </c>
      <c r="G45" s="705">
        <f>2000/Currency!E12</f>
        <v>0.86615332646185028</v>
      </c>
      <c r="H45" s="706">
        <f>AVERAGE(2000,4000)/Currency!E13</f>
        <v>0.81320867747872783</v>
      </c>
    </row>
    <row r="46" spans="1:10" x14ac:dyDescent="0.3">
      <c r="A46" s="21"/>
      <c r="B46" s="703" t="s">
        <v>292</v>
      </c>
      <c r="C46" s="704"/>
      <c r="D46" s="704"/>
      <c r="E46" s="704"/>
      <c r="F46" s="704"/>
      <c r="G46" s="704"/>
      <c r="H46" s="710"/>
    </row>
    <row r="47" spans="1:10" x14ac:dyDescent="0.3">
      <c r="A47" s="21"/>
      <c r="B47" s="711" t="s">
        <v>291</v>
      </c>
      <c r="C47" s="712"/>
      <c r="D47" s="712"/>
      <c r="E47" s="712"/>
      <c r="F47" s="722">
        <f>90000*12</f>
        <v>1080000</v>
      </c>
      <c r="G47" s="712"/>
      <c r="H47" s="714"/>
    </row>
    <row r="48" spans="1:10" x14ac:dyDescent="0.3">
      <c r="A48" s="21"/>
      <c r="B48" s="725"/>
      <c r="C48" s="704"/>
      <c r="D48" s="704"/>
      <c r="E48" s="704"/>
      <c r="F48" s="707"/>
      <c r="G48" s="704"/>
      <c r="H48" s="704"/>
    </row>
    <row r="49" spans="2:8" x14ac:dyDescent="0.3">
      <c r="B49" s="359"/>
      <c r="C49" s="370" t="s">
        <v>867</v>
      </c>
      <c r="D49" s="68"/>
      <c r="E49" s="68"/>
      <c r="F49" s="86"/>
      <c r="G49" s="68"/>
      <c r="H49" s="68"/>
    </row>
    <row r="50" spans="2:8" x14ac:dyDescent="0.3">
      <c r="B50" s="46" t="s">
        <v>312</v>
      </c>
      <c r="C50" s="239">
        <f>AVERAGE(28,55)</f>
        <v>41.5</v>
      </c>
      <c r="D50" s="239">
        <v>0.69430000000000003</v>
      </c>
      <c r="E50" s="239">
        <v>15.6</v>
      </c>
      <c r="F50" s="86">
        <v>123</v>
      </c>
      <c r="G50" s="239">
        <v>292</v>
      </c>
      <c r="H50" s="239">
        <v>575.20000000000005</v>
      </c>
    </row>
    <row r="51" spans="2:8" x14ac:dyDescent="0.3">
      <c r="B51" s="46" t="s">
        <v>315</v>
      </c>
      <c r="C51" s="696">
        <f>C50/Currency!E8</f>
        <v>0.23322468247723951</v>
      </c>
      <c r="D51" s="690">
        <f>AVERAGE(0.04,0.06)</f>
        <v>0.05</v>
      </c>
      <c r="E51" s="696">
        <f>E50/Currency!E10</f>
        <v>0.14390758918811211</v>
      </c>
      <c r="F51" s="697">
        <f>F50/Currency!E11</f>
        <v>0.12810350049626462</v>
      </c>
      <c r="G51" s="696">
        <f>G50/Currency!E12</f>
        <v>0.12645838566343015</v>
      </c>
      <c r="H51" s="696">
        <f>H50/Currency!E13</f>
        <v>0.15591921042858808</v>
      </c>
    </row>
    <row r="52" spans="2:8" x14ac:dyDescent="0.3">
      <c r="B52" s="359"/>
      <c r="C52" s="362" t="s">
        <v>314</v>
      </c>
      <c r="D52" s="361" t="s">
        <v>316</v>
      </c>
      <c r="E52" s="361" t="s">
        <v>317</v>
      </c>
      <c r="F52" s="360" t="s">
        <v>313</v>
      </c>
      <c r="G52" s="361" t="s">
        <v>319</v>
      </c>
      <c r="H52" s="361" t="s">
        <v>318</v>
      </c>
    </row>
    <row r="53" spans="2:8" x14ac:dyDescent="0.3">
      <c r="B53" s="355"/>
      <c r="F53" s="79"/>
    </row>
    <row r="54" spans="2:8" x14ac:dyDescent="0.3">
      <c r="B54" s="46" t="s">
        <v>238</v>
      </c>
      <c r="C54" s="695">
        <v>0.25</v>
      </c>
      <c r="D54" s="695">
        <v>0.3</v>
      </c>
      <c r="E54" s="695">
        <v>0.25</v>
      </c>
      <c r="F54" s="695">
        <v>0.3</v>
      </c>
      <c r="G54" s="695">
        <v>0.3</v>
      </c>
      <c r="H54" s="695">
        <v>0.3</v>
      </c>
    </row>
    <row r="55" spans="2:8" x14ac:dyDescent="0.3">
      <c r="B55" s="46" t="s">
        <v>245</v>
      </c>
      <c r="C55" s="107" t="s">
        <v>237</v>
      </c>
      <c r="D55" s="107" t="s">
        <v>239</v>
      </c>
      <c r="E55" s="107" t="s">
        <v>244</v>
      </c>
      <c r="F55" s="107" t="s">
        <v>241</v>
      </c>
      <c r="G55" s="695" t="s">
        <v>203</v>
      </c>
      <c r="H55" s="695" t="s">
        <v>236</v>
      </c>
    </row>
    <row r="56" spans="2:8" x14ac:dyDescent="0.3">
      <c r="C56" s="354" t="s">
        <v>235</v>
      </c>
      <c r="D56" s="354" t="s">
        <v>240</v>
      </c>
      <c r="E56" s="354" t="s">
        <v>243</v>
      </c>
      <c r="F56" s="354" t="s">
        <v>242</v>
      </c>
      <c r="G56" s="354" t="s">
        <v>231</v>
      </c>
      <c r="H56" s="354" t="s">
        <v>233</v>
      </c>
    </row>
    <row r="57" spans="2:8" x14ac:dyDescent="0.3">
      <c r="G57" s="354" t="s">
        <v>232</v>
      </c>
      <c r="H57" s="354" t="s">
        <v>234</v>
      </c>
    </row>
    <row r="59" spans="2:8" x14ac:dyDescent="0.3">
      <c r="B59" s="46" t="s">
        <v>327</v>
      </c>
      <c r="C59" s="689">
        <f>35000/30</f>
        <v>1166.6666666666667</v>
      </c>
      <c r="D59" s="692">
        <f>2280/30</f>
        <v>76</v>
      </c>
      <c r="E59" s="693">
        <v>671.88</v>
      </c>
      <c r="F59" s="693">
        <f>179000/30</f>
        <v>5966.666666666667</v>
      </c>
      <c r="G59" s="689">
        <f>349000/30</f>
        <v>11633.333333333334</v>
      </c>
      <c r="H59" s="689">
        <f>684000/30</f>
        <v>22800</v>
      </c>
    </row>
    <row r="60" spans="2:8" x14ac:dyDescent="0.3">
      <c r="B60" s="46" t="s">
        <v>328</v>
      </c>
      <c r="C60" s="690">
        <f>C59/Currency!E8</f>
        <v>6.5565171780750067</v>
      </c>
      <c r="D60" s="694">
        <f>D59/Currency!E9</f>
        <v>2.0485175202156332</v>
      </c>
      <c r="E60" s="690">
        <f>E59/Currency!E10</f>
        <v>6.1979891681864601</v>
      </c>
      <c r="F60" s="690">
        <f>F59/Currency!E11</f>
        <v>6.2142348479217802</v>
      </c>
      <c r="G60" s="690">
        <f>G59/Currency!E12</f>
        <v>5.0381251822530961</v>
      </c>
      <c r="H60" s="690">
        <f>H59/Currency!E13</f>
        <v>6.1803859488383308</v>
      </c>
    </row>
    <row r="61" spans="2:8" x14ac:dyDescent="0.3">
      <c r="B61" s="46" t="s">
        <v>320</v>
      </c>
      <c r="C61" s="690">
        <f t="shared" ref="C61:H61" si="0">C60/8</f>
        <v>0.81956464725937583</v>
      </c>
      <c r="D61" s="690">
        <f t="shared" si="0"/>
        <v>0.25606469002695414</v>
      </c>
      <c r="E61" s="690">
        <f t="shared" si="0"/>
        <v>0.77474864602330751</v>
      </c>
      <c r="F61" s="690">
        <f t="shared" si="0"/>
        <v>0.77677935599022252</v>
      </c>
      <c r="G61" s="690">
        <f t="shared" si="0"/>
        <v>0.62976564778163702</v>
      </c>
      <c r="H61" s="690">
        <f t="shared" si="0"/>
        <v>0.77254824360479135</v>
      </c>
    </row>
    <row r="62" spans="2:8" x14ac:dyDescent="0.3">
      <c r="C62" s="354" t="s">
        <v>322</v>
      </c>
      <c r="D62" s="354" t="s">
        <v>326</v>
      </c>
      <c r="E62" s="354" t="s">
        <v>321</v>
      </c>
      <c r="F62" s="354" t="s">
        <v>325</v>
      </c>
      <c r="G62" s="354" t="s">
        <v>323</v>
      </c>
      <c r="H62" s="354" t="s">
        <v>324</v>
      </c>
    </row>
    <row r="64" spans="2:8" x14ac:dyDescent="0.3">
      <c r="B64" s="257"/>
    </row>
    <row r="65" spans="2:8" x14ac:dyDescent="0.3">
      <c r="B65" s="46" t="s">
        <v>512</v>
      </c>
      <c r="E65" s="690">
        <f>10000/Currency!E10</f>
        <v>92.248454607764188</v>
      </c>
    </row>
    <row r="66" spans="2:8" x14ac:dyDescent="0.3">
      <c r="B66" s="257"/>
      <c r="E66" s="354" t="s">
        <v>513</v>
      </c>
    </row>
    <row r="67" spans="2:8" x14ac:dyDescent="0.3">
      <c r="B67" s="257"/>
      <c r="E67" s="354"/>
    </row>
    <row r="68" spans="2:8" x14ac:dyDescent="0.3">
      <c r="B68" s="257" t="s">
        <v>520</v>
      </c>
      <c r="C68" s="107">
        <f>293000*12</f>
        <v>3516000</v>
      </c>
      <c r="D68" s="107">
        <v>227000</v>
      </c>
      <c r="E68" s="689">
        <f>165000*12</f>
        <v>1980000</v>
      </c>
      <c r="F68" s="689">
        <v>17500000</v>
      </c>
      <c r="G68" s="689">
        <v>34200000</v>
      </c>
      <c r="H68" s="689">
        <v>70200000</v>
      </c>
    </row>
    <row r="69" spans="2:8" x14ac:dyDescent="0.3">
      <c r="B69" s="257"/>
      <c r="C69" s="691">
        <f>C68/Currency!E8</f>
        <v>19759.469484095764</v>
      </c>
      <c r="D69" s="690">
        <f>D68/Currency!E9</f>
        <v>6118.5983827493255</v>
      </c>
      <c r="E69" s="690">
        <f>E68/Currency!E10</f>
        <v>18265.19401233731</v>
      </c>
      <c r="F69" s="690">
        <f>F68/Currency!E11</f>
        <v>18226.10779418399</v>
      </c>
      <c r="G69" s="690">
        <f>G68/Currency!E12</f>
        <v>14811.221882497641</v>
      </c>
      <c r="H69" s="690">
        <f>H68/Currency!E13</f>
        <v>19029.083053002229</v>
      </c>
    </row>
    <row r="70" spans="2:8" x14ac:dyDescent="0.3">
      <c r="B70" s="257"/>
      <c r="C70" s="354" t="s">
        <v>537</v>
      </c>
      <c r="D70" s="354" t="s">
        <v>535</v>
      </c>
      <c r="E70" s="354" t="s">
        <v>536</v>
      </c>
      <c r="F70" s="354" t="s">
        <v>518</v>
      </c>
      <c r="G70" s="354" t="s">
        <v>538</v>
      </c>
      <c r="H70" s="354" t="s">
        <v>539</v>
      </c>
    </row>
    <row r="71" spans="2:8" x14ac:dyDescent="0.3">
      <c r="B71" s="257"/>
    </row>
    <row r="72" spans="2:8" x14ac:dyDescent="0.3">
      <c r="B72" s="257" t="s">
        <v>522</v>
      </c>
      <c r="C72" s="107">
        <f>111000*12</f>
        <v>1332000</v>
      </c>
      <c r="D72" s="107">
        <f>9250*12</f>
        <v>111000</v>
      </c>
      <c r="E72" s="689">
        <f>71900*12</f>
        <v>862800</v>
      </c>
      <c r="F72" s="689">
        <v>6980000</v>
      </c>
      <c r="G72" s="689">
        <v>13800000</v>
      </c>
      <c r="H72" s="689">
        <v>27400000</v>
      </c>
    </row>
    <row r="73" spans="2:8" x14ac:dyDescent="0.3">
      <c r="B73" s="257"/>
      <c r="C73" s="690">
        <f>C72/Currency!E8</f>
        <v>7485.6693267393503</v>
      </c>
      <c r="D73" s="690">
        <f>D72/Currency!E9</f>
        <v>2991.9137466307275</v>
      </c>
      <c r="E73" s="690">
        <f>E72/Currency!E10</f>
        <v>7959.1966635578938</v>
      </c>
      <c r="F73" s="690">
        <f>F72/Currency!E11</f>
        <v>7269.6132801945296</v>
      </c>
      <c r="G73" s="690">
        <f>G72/Currency!E12</f>
        <v>5976.4579525867666</v>
      </c>
      <c r="H73" s="690">
        <f>H72/Currency!E13</f>
        <v>7427.3059209723806</v>
      </c>
    </row>
    <row r="74" spans="2:8" x14ac:dyDescent="0.3">
      <c r="B74" s="257"/>
      <c r="C74" s="354" t="s">
        <v>534</v>
      </c>
      <c r="E74" s="354" t="s">
        <v>533</v>
      </c>
      <c r="F74" s="392" t="s">
        <v>517</v>
      </c>
      <c r="G74" s="354" t="s">
        <v>532</v>
      </c>
      <c r="H74" s="354" t="s">
        <v>529</v>
      </c>
    </row>
    <row r="75" spans="2:8" x14ac:dyDescent="0.3">
      <c r="B75" s="257"/>
      <c r="F75" s="389"/>
    </row>
    <row r="76" spans="2:8" x14ac:dyDescent="0.3">
      <c r="B76" s="257" t="s">
        <v>530</v>
      </c>
      <c r="C76" s="107">
        <f>78900*12</f>
        <v>946800</v>
      </c>
      <c r="D76" s="107">
        <f>5040*12</f>
        <v>60480</v>
      </c>
      <c r="E76" s="107">
        <f>44200*12</f>
        <v>530400</v>
      </c>
      <c r="F76" s="689">
        <f>415000*12</f>
        <v>4980000</v>
      </c>
      <c r="G76" s="107">
        <f>1100000*12</f>
        <v>13200000</v>
      </c>
      <c r="H76" s="107">
        <f>1610000*12</f>
        <v>19320000</v>
      </c>
    </row>
    <row r="77" spans="2:8" x14ac:dyDescent="0.3">
      <c r="B77" s="257"/>
      <c r="C77" s="690">
        <f>C76/Currency!E8</f>
        <v>5320.8946836012137</v>
      </c>
      <c r="D77" s="690">
        <f>D76/Currency!E9</f>
        <v>1630.1886792452829</v>
      </c>
      <c r="E77" s="690">
        <f>E76/Currency!E10</f>
        <v>4892.8580323958122</v>
      </c>
      <c r="F77" s="690">
        <f>F76/Currency!E11</f>
        <v>5186.6295322877877</v>
      </c>
      <c r="G77" s="690">
        <f>G76/Currency!E12</f>
        <v>5716.6119546482123</v>
      </c>
      <c r="H77" s="690">
        <f>H76/Currency!E13</f>
        <v>5237.063882963007</v>
      </c>
    </row>
    <row r="78" spans="2:8" x14ac:dyDescent="0.3">
      <c r="B78" s="257"/>
      <c r="C78" s="354" t="s">
        <v>524</v>
      </c>
      <c r="D78" s="354" t="s">
        <v>542</v>
      </c>
      <c r="E78" s="354" t="s">
        <v>526</v>
      </c>
      <c r="F78" s="354" t="s">
        <v>519</v>
      </c>
      <c r="G78" s="354" t="s">
        <v>540</v>
      </c>
      <c r="H78" s="354" t="s">
        <v>541</v>
      </c>
    </row>
    <row r="79" spans="2:8" x14ac:dyDescent="0.3">
      <c r="B79" s="257"/>
    </row>
    <row r="80" spans="2:8" x14ac:dyDescent="0.3">
      <c r="B80" s="257" t="s">
        <v>531</v>
      </c>
      <c r="C80" s="689">
        <f>78900*12</f>
        <v>946800</v>
      </c>
      <c r="D80" s="107">
        <v>69200</v>
      </c>
      <c r="E80" s="107">
        <f>44200*12</f>
        <v>530400</v>
      </c>
      <c r="F80" s="689">
        <f>412000*12</f>
        <v>4944000</v>
      </c>
      <c r="G80" s="107">
        <v>10100000</v>
      </c>
      <c r="H80" s="107">
        <v>21300000</v>
      </c>
    </row>
    <row r="81" spans="2:8" x14ac:dyDescent="0.3">
      <c r="B81" s="257"/>
      <c r="C81" s="690">
        <f>C80/Currency!E8</f>
        <v>5320.8946836012137</v>
      </c>
      <c r="D81" s="690">
        <f>D80/Currency!E9</f>
        <v>1865.2291105121294</v>
      </c>
      <c r="E81" s="690">
        <f>E80/Currency!E10</f>
        <v>4892.8580323958122</v>
      </c>
      <c r="F81" s="690">
        <f>F80/Currency!E11</f>
        <v>5149.1358248254664</v>
      </c>
      <c r="G81" s="690">
        <f>G80/Currency!E12</f>
        <v>4374.0742986323439</v>
      </c>
      <c r="H81" s="690">
        <f>H80/Currency!E13</f>
        <v>5773.7816100989676</v>
      </c>
    </row>
    <row r="82" spans="2:8" x14ac:dyDescent="0.3">
      <c r="B82" s="257"/>
      <c r="C82" s="354" t="s">
        <v>524</v>
      </c>
      <c r="D82" s="354" t="s">
        <v>527</v>
      </c>
      <c r="E82" s="354" t="s">
        <v>526</v>
      </c>
      <c r="F82" s="354" t="s">
        <v>523</v>
      </c>
      <c r="G82" s="354" t="s">
        <v>528</v>
      </c>
      <c r="H82" s="354" t="s">
        <v>525</v>
      </c>
    </row>
    <row r="83" spans="2:8" x14ac:dyDescent="0.3">
      <c r="B83" s="257"/>
    </row>
    <row r="84" spans="2:8" x14ac:dyDescent="0.3">
      <c r="B84" s="257" t="s">
        <v>560</v>
      </c>
      <c r="C84" s="107">
        <v>0</v>
      </c>
      <c r="D84" s="107">
        <v>1000</v>
      </c>
      <c r="E84" s="107">
        <f>4000000/4046.86</f>
        <v>988.42065206110408</v>
      </c>
      <c r="F84" s="107">
        <v>8000</v>
      </c>
      <c r="G84" s="107">
        <v>5000</v>
      </c>
      <c r="H84" s="689">
        <f>10000000/(4046.86/4)</f>
        <v>9884.2065206110419</v>
      </c>
    </row>
    <row r="85" spans="2:8" x14ac:dyDescent="0.3">
      <c r="C85" s="107">
        <f>C84/Currency!E8</f>
        <v>0</v>
      </c>
      <c r="D85" s="690">
        <f>D84/Currency!E9</f>
        <v>26.954177897574123</v>
      </c>
      <c r="E85" s="690">
        <f>E84/Currency!E10</f>
        <v>9.1180277655035429</v>
      </c>
      <c r="F85" s="690">
        <f>F84/Currency!E11</f>
        <v>8.3319349916269676</v>
      </c>
      <c r="G85" s="690">
        <f>G84/Currency!E12</f>
        <v>2.1653833161546259</v>
      </c>
      <c r="H85" s="690">
        <f>H84/Currency!E13</f>
        <v>2.6793075041842411</v>
      </c>
    </row>
    <row r="86" spans="2:8" x14ac:dyDescent="0.3">
      <c r="C86" t="s">
        <v>562</v>
      </c>
      <c r="D86" t="s">
        <v>562</v>
      </c>
      <c r="E86" t="s">
        <v>565</v>
      </c>
      <c r="F86" s="354" t="s">
        <v>561</v>
      </c>
      <c r="G86" t="s">
        <v>562</v>
      </c>
      <c r="H86" t="s">
        <v>563</v>
      </c>
    </row>
  </sheetData>
  <hyperlinks>
    <hyperlink ref="G56" r:id="rId1" location=":~:text=What%20is%20Corporation%20tax%3F,usually%20paid%20in%20two%20stages." xr:uid="{CBD6EA9C-5994-4DEB-9263-FAC13CBC6EDE}"/>
    <hyperlink ref="G57" r:id="rId2" xr:uid="{D4AADA14-7039-4CE8-B063-DC26DFC14612}"/>
    <hyperlink ref="H56" r:id="rId3" location=":~:text=The%20income%20tax%20rate%20applicable,tax%20applies%20(see%20below)." xr:uid="{437A0E4D-BBAA-46B7-BBE3-A443601659EA}"/>
    <hyperlink ref="H57" r:id="rId4" xr:uid="{2A922543-485D-4461-949C-07BCE2E9BDFC}"/>
    <hyperlink ref="C56" r:id="rId5" location=":~:text=The%20tax%20rate%20on%20business%20profits%20is%2025%25." xr:uid="{E58ECD93-CD1B-416E-B5A5-F1D1628226A7}"/>
    <hyperlink ref="D56" r:id="rId6" xr:uid="{A94B6AA7-293E-44D1-8072-4D99F24AC96A}"/>
    <hyperlink ref="F56" r:id="rId7" location=":~:text=However%2C%20micro%2Denterprise%20companies%20(,rate%20of%203%25%20of%20turnover." xr:uid="{5CB465EF-3C1C-4D53-85F6-70A9CA35DDEF}"/>
    <hyperlink ref="E56" r:id="rId8" location=":~:text=The%20current%20corporate%20tax%20rate,Kenya%20is%20taxed%20at%2037.5%25." display="https://www.bdo-ea.com/en-gb/microsites/doing-business-and-investing-in-kenya/tax/page-elements/taxation-in-kenya/corporate-tax#:~:text=The%20current%20corporate%20tax%20rate,Kenya%20is%20taxed%20at%2037.5%25." xr:uid="{E834231F-EEEA-405B-B4DB-016917F4D9ED}"/>
    <hyperlink ref="F52" r:id="rId9" xr:uid="{CADA853E-F3EC-44DF-8BEF-894C521DB205}"/>
    <hyperlink ref="C52" r:id="rId10" display="http://country.eiu.com/article.aspx?articleid=1924116576&amp;Country=Djibouti&amp;topic=Economy&amp;subtopic=_3" xr:uid="{B441CC35-8F6E-413D-B577-1D4C472226CD}"/>
    <hyperlink ref="D62" r:id="rId11" xr:uid="{C75B9E68-2D62-4624-91C8-94EE4ABF5106}"/>
    <hyperlink ref="D52" r:id="rId12" display="https://core.ac.uk/download/pdf/157815645.pdf" xr:uid="{4A2FF906-B091-40A6-9722-D35C3ABA75B9}"/>
    <hyperlink ref="E52" r:id="rId13" xr:uid="{6EDC11B8-761A-4BB9-8153-BA102B3091B4}"/>
    <hyperlink ref="H52" r:id="rId14" xr:uid="{FF894C9A-0F3E-4725-B3BF-9A11B47904EC}"/>
    <hyperlink ref="G52" r:id="rId15" xr:uid="{7B68CCFB-02F0-4884-81F4-28C294CEBBD1}"/>
    <hyperlink ref="E62" r:id="rId16" xr:uid="{47E314BC-6062-4A19-A633-80FD1127E06D}"/>
    <hyperlink ref="C62" r:id="rId17" location=":~:text=Djibouti%20Compensation%20Laws&amp;text=Now%2C%20employers%20and%20employees%20set,or%20about%20%24198%20a%20month." xr:uid="{EE79188D-39C4-474B-AFC2-79233E413352}"/>
    <hyperlink ref="G62" r:id="rId18" xr:uid="{6A01E56A-8305-4135-AD18-3AB3778075F9}"/>
    <hyperlink ref="H62" r:id="rId19" xr:uid="{71552416-39E5-4CA6-9503-EC40A83EA8B9}"/>
    <hyperlink ref="F62" r:id="rId20" xr:uid="{C929D1D1-ABC0-46F6-A92E-C85801DB416B}"/>
    <hyperlink ref="E66" r:id="rId21" location="benefits" xr:uid="{3B47FF5B-9C9C-4B8A-AC68-F476B0DB80A9}"/>
    <hyperlink ref="F74" r:id="rId22" xr:uid="{C7D97EA0-DCF8-4350-BC81-1745493262A9}"/>
    <hyperlink ref="F70" r:id="rId23" location=":~:text=A%20person%20working%20as%20a,%2C%20transport%2C%20and%20other%20benefits." xr:uid="{86B7CD3B-2DB1-42D0-907D-4E1E72287456}"/>
    <hyperlink ref="F78" r:id="rId24" location=":~:text=The%20median%2C%20the%20maximum%2C%20the%20minimum%2C%20and%20the%20range&amp;text=Assistant%20Operations%20Manager%20salaries%20in,per%20month%20(maximum%20salary)." xr:uid="{94CB4633-09CF-4B8A-B263-93DFBEF16D04}"/>
    <hyperlink ref="F82" r:id="rId25" location=":~:text=A%20person%20working%20as%20a,%2C%20transport%2C%20and%20other%20benefits." xr:uid="{863AFCA0-10D4-46CD-9812-113917F1AD6F}"/>
    <hyperlink ref="C82" r:id="rId26" location=":~:text=A%20person%20working%20as%20a,%2C%20transport%2C%20and%20other%20benefits." xr:uid="{AA0EBEE1-4A3A-4BA1-ABEE-F9B76E6CA46E}"/>
    <hyperlink ref="H82" r:id="rId27" location=":~:text=A%20person%20working%20as%20a,%2C%20transport%2C%20and%20other%20benefits." xr:uid="{41AFE199-A358-4460-9816-2A0674538C99}"/>
    <hyperlink ref="E82" r:id="rId28" location=":~:text=A%20person%20working%20as%20a,%2C%20transport%2C%20and%20other%20benefits." xr:uid="{6F1223B8-C67E-4EDD-AFC3-E3BA8E2D9802}"/>
    <hyperlink ref="D82" r:id="rId29" location=":~:text=A%20person%20working%20as%20a,%2C%20transport%2C%20and%20other%20benefits." xr:uid="{1036F37C-DCBC-4E6D-8D5F-4F49F7416A40}"/>
    <hyperlink ref="G82" r:id="rId30" location=":~:text=A%20person%20working%20as%20a,%2C%20transport%2C%20and%20other%20benefits." xr:uid="{BB1295A1-3C6E-474E-8EFC-4EB0B4C65F16}"/>
    <hyperlink ref="H74" r:id="rId31" xr:uid="{F0147423-FC60-4B7B-8450-0A327C5EC7E4}"/>
    <hyperlink ref="G74" r:id="rId32" xr:uid="{1011D0AB-1F78-4DC1-9570-3E1E801B2C06}"/>
    <hyperlink ref="E74" r:id="rId33" xr:uid="{51EB031A-D2DB-497B-8A31-ADCA0307A486}"/>
    <hyperlink ref="C74" r:id="rId34" xr:uid="{6EA4A58F-8448-4576-879C-C30B3B1B9717}"/>
    <hyperlink ref="D70" r:id="rId35" location=":~:text=How%20much%20money%20does%20a%20Chief%20Executive%20Officer%20make%20in%20Ethiopia%3F&amp;text=A%20person%20working%20as%20a,%2C%20transport%2C%20and%20other%20benefits." display="http://www.salaryexplorer.com/salary-survey.php?loc=69&amp;loctype=1&amp;job=309&amp;jobtype=3#:~:text=How%20much%20money%20does%20a%20Chief%20Executive%20Officer%20make%20in%20Ethiopia%3F&amp;text=A%20person%20working%20as%20a,%2C%20transport%2C%20and%20other%20benefits." xr:uid="{130266CF-56A2-43F7-9EC8-178471AF088E}"/>
    <hyperlink ref="E70" r:id="rId36" xr:uid="{4B79B684-A59E-4FE6-B7C4-CB4AC98B49FC}"/>
    <hyperlink ref="C70" r:id="rId37" xr:uid="{24A5603E-5AA3-4E65-9AB3-082AADE568BC}"/>
    <hyperlink ref="G70" r:id="rId38" xr:uid="{8252CCBF-6A4B-47A5-8514-1B62F5C2CEDD}"/>
    <hyperlink ref="H70" r:id="rId39" xr:uid="{209EE384-B1EB-4F08-AB66-B217F72E2D89}"/>
    <hyperlink ref="G78" r:id="rId40" xr:uid="{FFF39C15-86FD-4F1B-A075-5D49C8C0C433}"/>
    <hyperlink ref="H78" r:id="rId41" xr:uid="{7C2AE0F0-BF4F-4B94-B9AA-53F1DE6C266D}"/>
    <hyperlink ref="D78" r:id="rId42" xr:uid="{F47E40D2-4EC4-4AE7-B015-9DDA8A9E6FB4}"/>
    <hyperlink ref="C78" r:id="rId43" location=":~:text=A%20person%20working%20as%20a,%2C%20transport%2C%20and%20other%20benefits." xr:uid="{33A54A13-F939-4E6E-8B89-30C8B12E912E}"/>
    <hyperlink ref="E78" r:id="rId44" location=":~:text=A%20person%20working%20as%20a,%2C%20transport%2C%20and%20other%20benefits." xr:uid="{9382C3AA-1D5B-4262-A8C7-0BFE3712DF25}"/>
    <hyperlink ref="F86" r:id="rId45" xr:uid="{8371E2E2-E307-474E-A84A-57F2C92EAE69}"/>
    <hyperlink ref="J26" r:id="rId46" display="https://olnjoropoultry.co.ke/kuroiler-improved-kienyeji-chicks-and-eggs-prices/" xr:uid="{10A71347-CAF0-4AA4-BA1E-C4CA8D95D894}"/>
  </hyperlinks>
  <pageMargins left="0.7" right="0.7" top="0.75" bottom="0.75" header="0.3" footer="0.3"/>
  <pageSetup orientation="portrait" r:id="rId47"/>
  <legacyDrawing r:id="rId48"/>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DDF4DA-2C2B-468F-99D2-D1000C168B0E}">
  <sheetPr>
    <tabColor rgb="FF7030A0"/>
  </sheetPr>
  <dimension ref="A1:Z43"/>
  <sheetViews>
    <sheetView zoomScale="80" zoomScaleNormal="80" workbookViewId="0"/>
  </sheetViews>
  <sheetFormatPr defaultRowHeight="14.4" x14ac:dyDescent="0.3"/>
  <cols>
    <col min="1" max="1" width="25.109375" bestFit="1" customWidth="1"/>
    <col min="2" max="2" width="15.109375" customWidth="1"/>
    <col min="3" max="3" width="18.5546875" customWidth="1"/>
    <col min="4" max="4" width="18.44140625" customWidth="1"/>
    <col min="5" max="5" width="14.33203125" customWidth="1"/>
    <col min="6" max="6" width="13.44140625" customWidth="1"/>
    <col min="7" max="7" width="18" customWidth="1"/>
    <col min="8" max="8" width="16.6640625" customWidth="1"/>
    <col min="9" max="10" width="10.88671875" customWidth="1"/>
  </cols>
  <sheetData>
    <row r="1" spans="1:26" x14ac:dyDescent="0.3">
      <c r="B1" s="257"/>
      <c r="C1" s="257" t="s">
        <v>420</v>
      </c>
      <c r="D1" s="257"/>
      <c r="E1" s="257"/>
      <c r="F1" s="257"/>
      <c r="G1" s="373" t="s">
        <v>419</v>
      </c>
    </row>
    <row r="2" spans="1:26" s="374" customFormat="1" x14ac:dyDescent="0.3">
      <c r="A2" s="387" t="s">
        <v>421</v>
      </c>
      <c r="B2" s="374" t="s">
        <v>422</v>
      </c>
      <c r="C2" s="374" t="s">
        <v>423</v>
      </c>
      <c r="D2" s="374" t="s">
        <v>503</v>
      </c>
      <c r="F2" s="374" t="s">
        <v>424</v>
      </c>
      <c r="G2" s="374" t="s">
        <v>423</v>
      </c>
      <c r="H2" s="374" t="s">
        <v>503</v>
      </c>
      <c r="L2" s="374" t="s">
        <v>425</v>
      </c>
    </row>
    <row r="3" spans="1:26" x14ac:dyDescent="0.3">
      <c r="A3" s="368" t="s">
        <v>426</v>
      </c>
      <c r="B3" s="375">
        <v>1</v>
      </c>
      <c r="C3" s="271">
        <v>105.9</v>
      </c>
      <c r="D3" s="376">
        <f>C3/Currency!$E$10</f>
        <v>0.97691113429622278</v>
      </c>
      <c r="E3" s="271"/>
      <c r="F3" s="271">
        <v>1</v>
      </c>
      <c r="G3" s="271">
        <v>750</v>
      </c>
      <c r="H3" s="376">
        <f>G3/Currency!$E$10</f>
        <v>6.9186340955823136</v>
      </c>
      <c r="L3" s="354" t="s">
        <v>427</v>
      </c>
      <c r="W3" s="354" t="s">
        <v>428</v>
      </c>
    </row>
    <row r="4" spans="1:26" x14ac:dyDescent="0.3">
      <c r="A4" s="377" t="s">
        <v>429</v>
      </c>
      <c r="B4" s="375">
        <v>1</v>
      </c>
      <c r="C4" s="271">
        <v>126.4</v>
      </c>
      <c r="D4" s="376">
        <f>C4/Currency!$E$10</f>
        <v>1.1660204662421394</v>
      </c>
      <c r="E4" s="271"/>
      <c r="F4" s="271">
        <v>1</v>
      </c>
      <c r="G4" s="271">
        <v>815.62</v>
      </c>
      <c r="H4" s="376">
        <f>G4/Currency!$E$10</f>
        <v>7.523968454718462</v>
      </c>
      <c r="L4" s="354" t="s">
        <v>430</v>
      </c>
      <c r="R4" s="354" t="s">
        <v>431</v>
      </c>
    </row>
    <row r="5" spans="1:26" x14ac:dyDescent="0.3">
      <c r="A5" s="368" t="s">
        <v>432</v>
      </c>
      <c r="B5" s="375">
        <v>1</v>
      </c>
      <c r="C5" s="271">
        <v>129.84</v>
      </c>
      <c r="D5" s="376">
        <f>C5/Currency!$E$10</f>
        <v>1.1977539346272101</v>
      </c>
      <c r="E5" s="271"/>
      <c r="F5" s="271">
        <v>1</v>
      </c>
      <c r="G5" s="271">
        <v>2600</v>
      </c>
      <c r="H5" s="376">
        <f>G5/Currency!$E$10</f>
        <v>23.984598198018688</v>
      </c>
      <c r="L5" s="354" t="s">
        <v>433</v>
      </c>
      <c r="Z5" s="354" t="s">
        <v>434</v>
      </c>
    </row>
    <row r="6" spans="1:26" x14ac:dyDescent="0.3">
      <c r="A6" s="368" t="s">
        <v>435</v>
      </c>
      <c r="B6" s="375">
        <v>1</v>
      </c>
      <c r="C6" s="271">
        <v>98.98</v>
      </c>
      <c r="D6" s="376">
        <f>C6/Currency!$E$10</f>
        <v>0.91307520370764994</v>
      </c>
      <c r="E6" s="271"/>
      <c r="F6" s="271">
        <v>1</v>
      </c>
      <c r="G6" s="271">
        <v>700</v>
      </c>
      <c r="H6" s="376">
        <f>G6/Currency!$E$10</f>
        <v>6.4573918225434923</v>
      </c>
      <c r="I6" s="378"/>
      <c r="J6" s="497" t="s">
        <v>764</v>
      </c>
      <c r="L6" s="354" t="s">
        <v>436</v>
      </c>
      <c r="V6" s="354" t="s">
        <v>437</v>
      </c>
    </row>
    <row r="7" spans="1:26" x14ac:dyDescent="0.3">
      <c r="A7" s="368" t="s">
        <v>438</v>
      </c>
      <c r="B7" s="375">
        <v>1</v>
      </c>
      <c r="C7" s="271">
        <v>100</v>
      </c>
      <c r="D7" s="376">
        <f>C7/Currency!$E$10</f>
        <v>0.92248454607764185</v>
      </c>
      <c r="E7" s="271"/>
      <c r="F7" s="271"/>
      <c r="G7" s="271"/>
      <c r="H7" s="271"/>
      <c r="L7" s="354" t="s">
        <v>439</v>
      </c>
    </row>
    <row r="8" spans="1:26" x14ac:dyDescent="0.3">
      <c r="A8" s="368"/>
      <c r="B8" s="375"/>
      <c r="C8" s="271"/>
      <c r="D8" s="376"/>
      <c r="E8" s="271"/>
      <c r="F8" s="271"/>
      <c r="G8" s="271"/>
      <c r="H8" s="271"/>
    </row>
    <row r="9" spans="1:26" x14ac:dyDescent="0.3">
      <c r="B9" s="271"/>
      <c r="C9" s="271"/>
      <c r="D9" s="376"/>
      <c r="E9" s="271"/>
      <c r="F9" s="271"/>
      <c r="G9" s="271"/>
      <c r="H9" s="271"/>
    </row>
    <row r="10" spans="1:26" s="374" customFormat="1" x14ac:dyDescent="0.3">
      <c r="A10" s="379" t="s">
        <v>440</v>
      </c>
      <c r="B10" s="380"/>
      <c r="C10" s="381"/>
      <c r="D10" s="382"/>
      <c r="E10" s="381"/>
      <c r="F10" s="381"/>
      <c r="G10" s="381"/>
      <c r="H10" s="381"/>
    </row>
    <row r="11" spans="1:26" x14ac:dyDescent="0.3">
      <c r="A11" s="368" t="s">
        <v>441</v>
      </c>
      <c r="B11" s="375">
        <v>1</v>
      </c>
      <c r="C11" s="271">
        <v>120.6</v>
      </c>
      <c r="D11" s="376">
        <f>C11/Currency!$E$10</f>
        <v>1.1125163625696359</v>
      </c>
      <c r="E11" s="271"/>
      <c r="F11" s="271">
        <v>1</v>
      </c>
      <c r="G11" s="271"/>
      <c r="H11" s="271"/>
      <c r="L11" s="354" t="s">
        <v>436</v>
      </c>
    </row>
    <row r="12" spans="1:26" x14ac:dyDescent="0.3">
      <c r="A12" s="368" t="s">
        <v>442</v>
      </c>
      <c r="B12" s="375">
        <v>1</v>
      </c>
      <c r="C12" s="271">
        <v>65</v>
      </c>
      <c r="D12" s="376">
        <f>C12/Currency!$E$10</f>
        <v>0.59961495495046713</v>
      </c>
      <c r="E12" s="271"/>
      <c r="F12" s="271">
        <v>1</v>
      </c>
      <c r="G12" s="271">
        <v>400</v>
      </c>
      <c r="H12" s="376">
        <f>G12/Currency!$E$10</f>
        <v>3.6899381843105674</v>
      </c>
      <c r="I12" s="378"/>
      <c r="J12" s="378"/>
      <c r="L12" s="354" t="s">
        <v>443</v>
      </c>
    </row>
    <row r="13" spans="1:26" x14ac:dyDescent="0.3">
      <c r="A13" s="368" t="s">
        <v>444</v>
      </c>
      <c r="B13" s="375">
        <v>1</v>
      </c>
      <c r="C13" s="271">
        <v>55.28</v>
      </c>
      <c r="D13" s="376">
        <f>C13/Currency!$E$10</f>
        <v>0.50994945707172046</v>
      </c>
      <c r="E13" s="271"/>
      <c r="F13" s="271">
        <v>1</v>
      </c>
      <c r="G13" s="271">
        <v>400</v>
      </c>
      <c r="H13" s="376">
        <f>G13/Currency!$E$10</f>
        <v>3.6899381843105674</v>
      </c>
      <c r="L13" s="354" t="s">
        <v>436</v>
      </c>
    </row>
    <row r="14" spans="1:26" x14ac:dyDescent="0.3">
      <c r="A14" s="368" t="s">
        <v>445</v>
      </c>
      <c r="B14" s="375">
        <v>1</v>
      </c>
      <c r="C14" s="271">
        <v>26</v>
      </c>
      <c r="D14" s="376">
        <f>C14/Currency!$E$10</f>
        <v>0.23984598198018686</v>
      </c>
      <c r="E14" s="271"/>
      <c r="F14" s="271">
        <v>1</v>
      </c>
      <c r="G14" s="271"/>
      <c r="H14" s="376">
        <f>G14/Currency!$E$10</f>
        <v>0</v>
      </c>
      <c r="L14" s="354" t="s">
        <v>446</v>
      </c>
    </row>
    <row r="15" spans="1:26" x14ac:dyDescent="0.3">
      <c r="A15" s="368" t="s">
        <v>447</v>
      </c>
      <c r="B15" s="375">
        <v>1</v>
      </c>
      <c r="C15" s="271">
        <v>127.78</v>
      </c>
      <c r="D15" s="376">
        <f>C15/Currency!$E$10</f>
        <v>1.1787507529780108</v>
      </c>
      <c r="E15" s="271"/>
      <c r="F15" s="271">
        <v>1</v>
      </c>
      <c r="G15" s="271"/>
      <c r="H15" s="376">
        <f>G15/Currency!$E$10</f>
        <v>0</v>
      </c>
      <c r="L15" s="354" t="s">
        <v>430</v>
      </c>
    </row>
    <row r="16" spans="1:26" x14ac:dyDescent="0.3">
      <c r="A16" s="368" t="s">
        <v>448</v>
      </c>
      <c r="B16" s="375">
        <v>1</v>
      </c>
      <c r="C16" s="271">
        <v>20</v>
      </c>
      <c r="D16" s="376">
        <f>C16/Currency!$E$10</f>
        <v>0.18449690921552836</v>
      </c>
      <c r="E16" s="271"/>
      <c r="F16" s="271">
        <v>1</v>
      </c>
      <c r="G16" s="271"/>
      <c r="H16" s="376">
        <f>G16/Currency!$E$10</f>
        <v>0</v>
      </c>
      <c r="L16" s="354" t="s">
        <v>446</v>
      </c>
    </row>
    <row r="17" spans="1:14" x14ac:dyDescent="0.3">
      <c r="A17" s="368" t="s">
        <v>449</v>
      </c>
      <c r="B17" s="375">
        <v>1</v>
      </c>
      <c r="C17" s="271">
        <v>60</v>
      </c>
      <c r="D17" s="376">
        <f>C17/Currency!$E$10</f>
        <v>0.55349072764658513</v>
      </c>
      <c r="E17" s="271"/>
      <c r="F17" s="271">
        <v>1</v>
      </c>
      <c r="G17" s="271">
        <v>300</v>
      </c>
      <c r="H17" s="376">
        <f>G17/Currency!$E$10</f>
        <v>2.7674536382329253</v>
      </c>
      <c r="I17" s="378"/>
      <c r="J17" s="378"/>
      <c r="L17" s="354" t="s">
        <v>450</v>
      </c>
    </row>
    <row r="18" spans="1:14" x14ac:dyDescent="0.3">
      <c r="A18" s="368" t="s">
        <v>451</v>
      </c>
      <c r="B18" s="375">
        <v>1</v>
      </c>
      <c r="C18" s="271">
        <v>39.4</v>
      </c>
      <c r="D18" s="376">
        <f>C18/Currency!$E$10</f>
        <v>0.36345891115459084</v>
      </c>
      <c r="E18" s="271"/>
      <c r="F18" s="271">
        <v>1</v>
      </c>
      <c r="G18" s="271">
        <v>400</v>
      </c>
      <c r="H18" s="376">
        <f>G18/Currency!$E$10</f>
        <v>3.6899381843105674</v>
      </c>
      <c r="L18" s="354" t="s">
        <v>452</v>
      </c>
    </row>
    <row r="19" spans="1:14" x14ac:dyDescent="0.3">
      <c r="A19" s="368" t="s">
        <v>453</v>
      </c>
      <c r="B19" s="375">
        <v>1</v>
      </c>
      <c r="C19" s="271">
        <v>80</v>
      </c>
      <c r="D19" s="376">
        <f>C19/Currency!$E$10</f>
        <v>0.73798763686211344</v>
      </c>
      <c r="E19" s="271"/>
      <c r="F19" s="271">
        <v>1</v>
      </c>
      <c r="G19" s="271"/>
      <c r="H19" s="376">
        <f>G19/Currency!$E$10</f>
        <v>0</v>
      </c>
      <c r="L19" s="354" t="s">
        <v>454</v>
      </c>
    </row>
    <row r="20" spans="1:14" x14ac:dyDescent="0.3">
      <c r="A20" s="368" t="s">
        <v>455</v>
      </c>
      <c r="B20" s="375">
        <v>1</v>
      </c>
      <c r="C20" s="271">
        <v>110.6</v>
      </c>
      <c r="D20" s="376">
        <f>C20/Currency!$E$10</f>
        <v>1.0202679079618717</v>
      </c>
      <c r="E20" s="271"/>
      <c r="F20" s="271">
        <v>1</v>
      </c>
      <c r="G20" s="271"/>
      <c r="H20" s="376">
        <f>G20/Currency!$E$10</f>
        <v>0</v>
      </c>
      <c r="L20" s="354" t="s">
        <v>436</v>
      </c>
    </row>
    <row r="21" spans="1:14" x14ac:dyDescent="0.3">
      <c r="A21" s="368" t="s">
        <v>457</v>
      </c>
      <c r="B21" s="375">
        <v>1</v>
      </c>
      <c r="C21" s="383">
        <v>40</v>
      </c>
      <c r="D21" s="376">
        <f>C21/Currency!$E$10</f>
        <v>0.36899381843105672</v>
      </c>
      <c r="E21" s="271"/>
      <c r="F21" s="271">
        <v>1</v>
      </c>
      <c r="G21" s="271">
        <v>400</v>
      </c>
      <c r="H21" s="376">
        <f>G21/Currency!$E$10</f>
        <v>3.6899381843105674</v>
      </c>
      <c r="I21" s="378"/>
      <c r="J21" s="378"/>
      <c r="L21" s="354" t="s">
        <v>458</v>
      </c>
    </row>
    <row r="22" spans="1:14" x14ac:dyDescent="0.3">
      <c r="A22" s="368" t="s">
        <v>459</v>
      </c>
      <c r="B22" s="375">
        <v>1</v>
      </c>
      <c r="C22" s="271">
        <v>120</v>
      </c>
      <c r="D22" s="376">
        <f>C22/Currency!$E$10</f>
        <v>1.1069814552931703</v>
      </c>
      <c r="E22" s="271"/>
      <c r="F22" s="271">
        <v>1</v>
      </c>
      <c r="G22" s="271"/>
      <c r="H22" s="376">
        <f>G22/Currency!$E$10</f>
        <v>0</v>
      </c>
      <c r="L22" s="354" t="s">
        <v>460</v>
      </c>
    </row>
    <row r="23" spans="1:14" x14ac:dyDescent="0.3">
      <c r="A23" s="368" t="s">
        <v>461</v>
      </c>
      <c r="B23" s="375">
        <v>1</v>
      </c>
      <c r="C23" s="271">
        <v>80</v>
      </c>
      <c r="D23" s="376">
        <f>C23/Currency!$E$10</f>
        <v>0.73798763686211344</v>
      </c>
      <c r="E23" s="271"/>
      <c r="F23" s="271">
        <v>1</v>
      </c>
      <c r="G23" s="271"/>
      <c r="H23" s="376">
        <f>G23/Currency!$E$10</f>
        <v>0</v>
      </c>
      <c r="L23" s="354" t="s">
        <v>460</v>
      </c>
    </row>
    <row r="24" spans="1:14" x14ac:dyDescent="0.3">
      <c r="A24" s="368" t="s">
        <v>462</v>
      </c>
      <c r="B24" s="375">
        <v>1</v>
      </c>
      <c r="C24" s="271">
        <v>30</v>
      </c>
      <c r="D24" s="376">
        <f>C24/Currency!$E$10</f>
        <v>0.27674536382329257</v>
      </c>
      <c r="E24" s="271"/>
      <c r="F24" s="271">
        <v>1</v>
      </c>
      <c r="G24" s="271">
        <v>400</v>
      </c>
      <c r="H24" s="376">
        <f>G24/Currency!$E$10</f>
        <v>3.6899381843105674</v>
      </c>
      <c r="I24" s="378"/>
      <c r="J24" s="378"/>
      <c r="L24" s="354" t="s">
        <v>463</v>
      </c>
    </row>
    <row r="25" spans="1:14" x14ac:dyDescent="0.3">
      <c r="A25" s="368"/>
      <c r="B25" s="375">
        <v>1</v>
      </c>
      <c r="C25" s="271"/>
      <c r="D25" s="271"/>
      <c r="E25" s="271"/>
      <c r="F25" s="271"/>
      <c r="G25" s="271"/>
      <c r="H25" s="271"/>
    </row>
    <row r="26" spans="1:14" x14ac:dyDescent="0.3">
      <c r="B26" s="271"/>
      <c r="C26" s="271"/>
      <c r="D26" s="271"/>
      <c r="E26" s="271"/>
      <c r="F26" s="271"/>
      <c r="G26" s="271"/>
      <c r="H26" s="271"/>
    </row>
    <row r="27" spans="1:14" s="374" customFormat="1" x14ac:dyDescent="0.3">
      <c r="A27" s="379" t="s">
        <v>464</v>
      </c>
      <c r="B27" s="381"/>
      <c r="C27" s="381"/>
      <c r="D27" s="381"/>
      <c r="E27" s="381"/>
      <c r="F27" s="381"/>
      <c r="G27" s="381"/>
      <c r="H27" s="381"/>
    </row>
    <row r="28" spans="1:14" x14ac:dyDescent="0.3">
      <c r="A28" s="368" t="s">
        <v>465</v>
      </c>
      <c r="B28" s="271">
        <v>1</v>
      </c>
      <c r="C28" s="271"/>
      <c r="D28" s="271"/>
      <c r="E28" s="271"/>
      <c r="F28" s="271"/>
      <c r="G28" s="271"/>
      <c r="H28" s="271"/>
      <c r="N28" s="354"/>
    </row>
    <row r="29" spans="1:14" x14ac:dyDescent="0.3">
      <c r="A29" t="s">
        <v>402</v>
      </c>
      <c r="B29" s="271">
        <v>1</v>
      </c>
      <c r="C29" s="271" t="s">
        <v>408</v>
      </c>
      <c r="D29" s="271"/>
      <c r="E29" s="271"/>
      <c r="F29" s="271"/>
      <c r="G29" s="271"/>
      <c r="H29" s="271"/>
      <c r="L29" s="354" t="s">
        <v>414</v>
      </c>
    </row>
    <row r="30" spans="1:14" x14ac:dyDescent="0.3">
      <c r="A30" t="s">
        <v>403</v>
      </c>
      <c r="B30" s="271">
        <v>1</v>
      </c>
      <c r="C30" s="271" t="s">
        <v>409</v>
      </c>
      <c r="D30" s="271"/>
      <c r="E30" s="271"/>
      <c r="F30" s="271"/>
      <c r="G30" s="271"/>
      <c r="H30" s="271"/>
      <c r="L30" s="354" t="s">
        <v>416</v>
      </c>
    </row>
    <row r="31" spans="1:14" x14ac:dyDescent="0.3">
      <c r="A31" t="s">
        <v>404</v>
      </c>
      <c r="B31" s="271">
        <v>1</v>
      </c>
      <c r="C31" s="271" t="s">
        <v>410</v>
      </c>
      <c r="D31" s="271"/>
      <c r="E31" s="271"/>
      <c r="F31" s="271"/>
      <c r="G31" s="271"/>
      <c r="H31" s="271"/>
      <c r="L31" s="354" t="s">
        <v>466</v>
      </c>
    </row>
    <row r="32" spans="1:14" x14ac:dyDescent="0.3">
      <c r="A32" t="s">
        <v>405</v>
      </c>
      <c r="B32" s="271">
        <v>1</v>
      </c>
      <c r="C32" s="271" t="s">
        <v>411</v>
      </c>
      <c r="D32" s="271"/>
      <c r="E32" s="271"/>
      <c r="F32" s="271"/>
      <c r="G32" s="271"/>
      <c r="H32" s="271"/>
      <c r="L32" s="354" t="s">
        <v>415</v>
      </c>
    </row>
    <row r="33" spans="1:12" x14ac:dyDescent="0.3">
      <c r="A33" t="s">
        <v>406</v>
      </c>
      <c r="B33" s="271">
        <v>1</v>
      </c>
      <c r="C33" s="271" t="s">
        <v>412</v>
      </c>
      <c r="D33" s="271"/>
      <c r="E33" s="271"/>
      <c r="F33" s="271"/>
      <c r="G33" s="271"/>
      <c r="H33" s="271"/>
      <c r="L33" s="354" t="s">
        <v>417</v>
      </c>
    </row>
    <row r="34" spans="1:12" x14ac:dyDescent="0.3">
      <c r="A34" t="s">
        <v>407</v>
      </c>
      <c r="B34" s="271">
        <v>1</v>
      </c>
      <c r="C34" s="271" t="s">
        <v>413</v>
      </c>
      <c r="D34" s="271"/>
      <c r="E34" s="271"/>
      <c r="F34" s="271"/>
      <c r="G34" s="271"/>
      <c r="H34" s="271"/>
      <c r="L34" s="354" t="s">
        <v>418</v>
      </c>
    </row>
    <row r="35" spans="1:12" x14ac:dyDescent="0.3">
      <c r="A35" t="s">
        <v>467</v>
      </c>
      <c r="B35" s="271">
        <v>1</v>
      </c>
      <c r="C35" s="271" t="s">
        <v>468</v>
      </c>
      <c r="D35" s="271"/>
      <c r="E35" s="271"/>
      <c r="F35" s="271"/>
      <c r="G35" s="271"/>
      <c r="H35" s="271"/>
      <c r="L35" s="354" t="s">
        <v>469</v>
      </c>
    </row>
    <row r="36" spans="1:12" x14ac:dyDescent="0.3">
      <c r="A36" t="s">
        <v>470</v>
      </c>
      <c r="B36" s="271" t="s">
        <v>471</v>
      </c>
      <c r="C36" s="384">
        <v>0.3</v>
      </c>
      <c r="D36" s="384"/>
      <c r="E36" s="384"/>
      <c r="F36" s="271"/>
      <c r="G36" s="271"/>
      <c r="H36" s="271"/>
      <c r="L36" s="354" t="s">
        <v>469</v>
      </c>
    </row>
    <row r="37" spans="1:12" x14ac:dyDescent="0.3">
      <c r="A37" t="s">
        <v>472</v>
      </c>
      <c r="B37" s="271">
        <v>1</v>
      </c>
      <c r="C37" s="271" t="s">
        <v>473</v>
      </c>
      <c r="D37" s="271"/>
      <c r="E37" s="271"/>
      <c r="F37" s="271"/>
      <c r="G37" s="271"/>
      <c r="H37" s="271"/>
      <c r="L37" s="354" t="s">
        <v>474</v>
      </c>
    </row>
    <row r="38" spans="1:12" x14ac:dyDescent="0.3">
      <c r="A38" t="s">
        <v>475</v>
      </c>
      <c r="B38" s="271" t="s">
        <v>476</v>
      </c>
      <c r="C38" s="385">
        <v>0.15</v>
      </c>
      <c r="D38" s="385"/>
      <c r="E38" s="385"/>
      <c r="F38" s="271"/>
      <c r="G38" s="271"/>
      <c r="H38" s="271"/>
      <c r="L38" s="354" t="s">
        <v>477</v>
      </c>
    </row>
    <row r="39" spans="1:12" x14ac:dyDescent="0.3">
      <c r="B39" s="271"/>
      <c r="C39" s="271"/>
      <c r="D39" s="271"/>
      <c r="E39" s="271"/>
      <c r="F39" s="271"/>
      <c r="G39" s="271"/>
      <c r="H39" s="271"/>
    </row>
    <row r="40" spans="1:12" x14ac:dyDescent="0.3">
      <c r="B40" s="271"/>
      <c r="C40" s="271"/>
      <c r="D40" s="271"/>
      <c r="E40" s="271"/>
      <c r="F40" s="271"/>
      <c r="G40" s="271"/>
      <c r="H40" s="271"/>
    </row>
    <row r="41" spans="1:12" x14ac:dyDescent="0.3">
      <c r="B41" s="271"/>
      <c r="C41" s="271"/>
      <c r="D41" s="271"/>
      <c r="E41" s="271"/>
      <c r="F41" s="271"/>
      <c r="G41" s="271"/>
      <c r="H41" s="271"/>
    </row>
    <row r="42" spans="1:12" x14ac:dyDescent="0.3">
      <c r="B42" s="271"/>
      <c r="C42" s="271"/>
      <c r="D42" s="271"/>
      <c r="E42" s="271"/>
      <c r="F42" s="271"/>
      <c r="G42" s="271"/>
      <c r="H42" s="271"/>
    </row>
    <row r="43" spans="1:12" x14ac:dyDescent="0.3">
      <c r="B43" s="271"/>
      <c r="C43" s="271"/>
      <c r="D43" s="271"/>
      <c r="E43" s="271"/>
      <c r="F43" s="271"/>
      <c r="G43" s="271"/>
      <c r="H43" s="271"/>
    </row>
  </sheetData>
  <hyperlinks>
    <hyperlink ref="L5" r:id="rId1" xr:uid="{A78B922D-395A-4272-951C-6073423D011E}"/>
    <hyperlink ref="L7" r:id="rId2" display="https://www.google.com/amp/s/sokodirectory.com/2018/10/a-loot-at-the-market-prices-of-fruits-in-selected-towns-across-kenya/amp/ " xr:uid="{AB394BB5-8A54-4AF7-B768-6657766C4F9E}"/>
    <hyperlink ref="L16" r:id="rId3" xr:uid="{39243FC7-FACE-4DE3-A4D5-301204D0BAF0}"/>
    <hyperlink ref="L11" r:id="rId4" xr:uid="{A2676856-A2CC-4B2D-813B-0C7B1E2ECDFF}"/>
    <hyperlink ref="L14" r:id="rId5" xr:uid="{F9F82D71-CA3D-400C-85FF-79F846626CA2}"/>
    <hyperlink ref="L3" r:id="rId6" xr:uid="{922811F5-E068-4A32-A985-57C489ABECC1}"/>
    <hyperlink ref="L18" r:id="rId7" xr:uid="{02975F0F-5636-4462-BB68-06E51634354F}"/>
    <hyperlink ref="L13" r:id="rId8" xr:uid="{1E01A3E3-6141-4A9E-96AA-EBA16565B37F}"/>
    <hyperlink ref="L6" r:id="rId9" xr:uid="{17A5B73C-87DF-421A-A84F-B85E723E3EB6}"/>
    <hyperlink ref="L20" r:id="rId10" xr:uid="{75D4ACDA-EDEE-4889-85DA-30AC5D217C02}"/>
    <hyperlink ref="L15" r:id="rId11" xr:uid="{AE302B6B-F82F-44AE-B6BE-F10994071CE3}"/>
    <hyperlink ref="L4" r:id="rId12" xr:uid="{7B2C9368-9656-497C-A6B6-6AAF000EBA69}"/>
    <hyperlink ref="L17" r:id="rId13" xr:uid="{8F805829-4EB4-4EE2-8676-BCE5BBF41688}"/>
    <hyperlink ref="L12" r:id="rId14" xr:uid="{3DD2A647-19B7-4BA4-8CC4-61BE796578FA}"/>
    <hyperlink ref="L19" r:id="rId15" xr:uid="{5D9E982C-DBB5-4720-8933-6C1DA2184FC7}"/>
    <hyperlink ref="L23" r:id="rId16" xr:uid="{C5213D3D-DE02-4408-BD40-3598D1D10806}"/>
    <hyperlink ref="L22" r:id="rId17" xr:uid="{18010A19-E35E-4AE3-9088-1BB3685D7FEA}"/>
    <hyperlink ref="L24" r:id="rId18" xr:uid="{03EA19D5-3299-441C-9E48-B8338C6F168B}"/>
    <hyperlink ref="L21" r:id="rId19" xr:uid="{AEB541C5-7736-4FE3-93F0-4B44D10414B6}"/>
    <hyperlink ref="W3" r:id="rId20" xr:uid="{3EFB912C-BA4F-4F8E-B501-ADFE98902E62}"/>
    <hyperlink ref="Z5" r:id="rId21" xr:uid="{9B08DE78-C216-4E8C-A065-2825718B267D}"/>
    <hyperlink ref="V6" r:id="rId22" xr:uid="{AE68DBC1-5601-4CB3-8B67-913116B4B293}"/>
    <hyperlink ref="L37" r:id="rId23" xr:uid="{8FF68599-9AD9-43D5-B7CB-F03D7FA41A26}"/>
    <hyperlink ref="L35" r:id="rId24" xr:uid="{66E2596D-6B6C-49E1-AB6C-F1191F832E50}"/>
    <hyperlink ref="L36" r:id="rId25" xr:uid="{5DA2C64D-29EC-4284-8B85-BA695C7FA62A}"/>
    <hyperlink ref="L31" r:id="rId26" xr:uid="{4D413837-F645-46C0-A97B-EFD995BAA1C4}"/>
    <hyperlink ref="L30" r:id="rId27" xr:uid="{7E81F120-BBAA-4CE1-B2D1-118B3DF5463B}"/>
    <hyperlink ref="L32" r:id="rId28" xr:uid="{B1923071-5BF7-43C5-AD3F-8CE102BA3F78}"/>
    <hyperlink ref="L33" r:id="rId29" xr:uid="{5A956888-F909-435D-B4C7-5D63C5C1E2C7}"/>
    <hyperlink ref="L29" r:id="rId30" xr:uid="{F00921AE-DF95-49A7-8D41-C48350B5EC7D}"/>
    <hyperlink ref="L34" r:id="rId31" xr:uid="{BF83040B-C9E2-42F1-AE9A-473A6E9D3299}"/>
    <hyperlink ref="L38" r:id="rId32" xr:uid="{34DD9F54-B03A-4EEB-839E-6040C59125E0}"/>
    <hyperlink ref="J6" r:id="rId33" xr:uid="{D892306B-C6BF-4379-8C55-B1CBD6B5D95D}"/>
  </hyperlinks>
  <pageMargins left="0.7" right="0.7" top="0.75" bottom="0.75" header="0.3" footer="0.3"/>
  <pageSetup orientation="portrait" r:id="rId3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FFDCE6-F771-45CA-8674-16F05206333D}">
  <sheetPr>
    <tabColor rgb="FF7030A0"/>
  </sheetPr>
  <dimension ref="B2:E12"/>
  <sheetViews>
    <sheetView zoomScale="80" zoomScaleNormal="80" workbookViewId="0"/>
  </sheetViews>
  <sheetFormatPr defaultRowHeight="14.4" x14ac:dyDescent="0.3"/>
  <cols>
    <col min="1" max="1" width="3.44140625" customWidth="1"/>
    <col min="2" max="2" width="24.44140625" customWidth="1"/>
    <col min="3" max="3" width="14.88671875" customWidth="1"/>
    <col min="4" max="4" width="18" customWidth="1"/>
  </cols>
  <sheetData>
    <row r="2" spans="2:5" x14ac:dyDescent="0.3">
      <c r="B2" s="257" t="s">
        <v>865</v>
      </c>
      <c r="C2" s="257" t="s">
        <v>504</v>
      </c>
    </row>
    <row r="3" spans="2:5" x14ac:dyDescent="0.3">
      <c r="B3" s="257" t="s">
        <v>505</v>
      </c>
      <c r="C3" s="389">
        <f>AVERAGE(8.51,10.94)</f>
        <v>9.7249999999999996</v>
      </c>
      <c r="D3" t="s">
        <v>506</v>
      </c>
      <c r="E3" s="354" t="s">
        <v>507</v>
      </c>
    </row>
    <row r="4" spans="2:5" x14ac:dyDescent="0.3">
      <c r="B4" s="257" t="s">
        <v>509</v>
      </c>
      <c r="C4" s="389">
        <v>11.045999999999999</v>
      </c>
      <c r="D4" t="s">
        <v>508</v>
      </c>
      <c r="E4" s="354" t="s">
        <v>510</v>
      </c>
    </row>
    <row r="5" spans="2:5" x14ac:dyDescent="0.3">
      <c r="B5" s="257"/>
    </row>
    <row r="6" spans="2:5" x14ac:dyDescent="0.3">
      <c r="B6" s="257"/>
    </row>
    <row r="7" spans="2:5" x14ac:dyDescent="0.3">
      <c r="B7" s="257"/>
    </row>
    <row r="8" spans="2:5" x14ac:dyDescent="0.3">
      <c r="B8" s="257"/>
    </row>
    <row r="9" spans="2:5" x14ac:dyDescent="0.3">
      <c r="B9" s="257"/>
    </row>
    <row r="10" spans="2:5" x14ac:dyDescent="0.3">
      <c r="B10" s="257"/>
    </row>
    <row r="11" spans="2:5" x14ac:dyDescent="0.3">
      <c r="B11" s="257"/>
    </row>
    <row r="12" spans="2:5" x14ac:dyDescent="0.3">
      <c r="B12" s="257"/>
    </row>
  </sheetData>
  <hyperlinks>
    <hyperlink ref="E3" r:id="rId1" xr:uid="{2502E89D-EDF6-4CFB-978D-C90EFD94B1D7}"/>
    <hyperlink ref="E4" r:id="rId2" xr:uid="{EEFE6C75-F820-4607-A12B-DC4A6D055EC3}"/>
  </hyperlinks>
  <pageMargins left="0.7" right="0.7" top="0.75" bottom="0.75" header="0.3" footer="0.3"/>
  <pageSetup orientation="portrait"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BE134D-7820-4F62-9407-9AC2B3ADD72D}">
  <sheetPr>
    <tabColor theme="7"/>
  </sheetPr>
  <dimension ref="B2:BV56"/>
  <sheetViews>
    <sheetView showGridLines="0" zoomScale="80" zoomScaleNormal="80" workbookViewId="0"/>
  </sheetViews>
  <sheetFormatPr defaultRowHeight="14.4" x14ac:dyDescent="0.3"/>
  <cols>
    <col min="1" max="1" width="3.44140625" customWidth="1"/>
    <col min="2" max="2" width="41.6640625" customWidth="1"/>
    <col min="3" max="3" width="18.6640625" customWidth="1"/>
    <col min="5" max="5" width="20" customWidth="1"/>
    <col min="6" max="6" width="25.88671875" customWidth="1"/>
    <col min="7" max="7" width="17" customWidth="1"/>
    <col min="8" max="8" width="14.109375" customWidth="1"/>
    <col min="9" max="9" width="32.44140625" customWidth="1"/>
    <col min="10" max="10" width="11.6640625" customWidth="1"/>
    <col min="11" max="11" width="6.109375" customWidth="1"/>
    <col min="12" max="12" width="45.88671875" customWidth="1"/>
    <col min="13" max="13" width="21.6640625" customWidth="1"/>
    <col min="14" max="14" width="20" customWidth="1"/>
    <col min="15" max="15" width="18.6640625" customWidth="1"/>
    <col min="17" max="17" width="14" customWidth="1"/>
    <col min="24" max="24" width="10.6640625" customWidth="1"/>
    <col min="25" max="31" width="13.109375" bestFit="1" customWidth="1"/>
  </cols>
  <sheetData>
    <row r="2" spans="2:33" ht="15" x14ac:dyDescent="0.3">
      <c r="S2" s="365" t="s">
        <v>330</v>
      </c>
    </row>
    <row r="3" spans="2:33" x14ac:dyDescent="0.3">
      <c r="S3" s="366" t="s">
        <v>331</v>
      </c>
    </row>
    <row r="4" spans="2:33" x14ac:dyDescent="0.3">
      <c r="S4" s="366" t="s">
        <v>332</v>
      </c>
    </row>
    <row r="5" spans="2:33" x14ac:dyDescent="0.3">
      <c r="S5" s="366" t="s">
        <v>333</v>
      </c>
    </row>
    <row r="6" spans="2:33" x14ac:dyDescent="0.3">
      <c r="B6" s="19" t="s">
        <v>20</v>
      </c>
      <c r="C6" s="20"/>
      <c r="D6" s="21"/>
      <c r="F6" s="590" t="s">
        <v>19</v>
      </c>
      <c r="G6" s="317">
        <v>44197</v>
      </c>
      <c r="I6" s="321" t="s">
        <v>67</v>
      </c>
      <c r="J6" s="320" t="s">
        <v>34</v>
      </c>
      <c r="L6" s="330" t="s">
        <v>16</v>
      </c>
      <c r="M6" s="11" t="s">
        <v>17</v>
      </c>
      <c r="N6" s="325" t="s">
        <v>173</v>
      </c>
      <c r="O6" s="12" t="s">
        <v>172</v>
      </c>
      <c r="Q6" s="1" t="s">
        <v>0</v>
      </c>
      <c r="S6" s="366" t="s">
        <v>334</v>
      </c>
    </row>
    <row r="7" spans="2:33" x14ac:dyDescent="0.3">
      <c r="B7" s="49" t="s">
        <v>21</v>
      </c>
      <c r="C7" s="22" t="s">
        <v>22</v>
      </c>
      <c r="D7" s="23"/>
      <c r="I7" s="56" t="s">
        <v>349</v>
      </c>
      <c r="J7" s="308">
        <f>' Nairobi Fruit_Veg Prices'!H6</f>
        <v>6.4573918225434923</v>
      </c>
      <c r="K7" s="107"/>
      <c r="L7" s="331" t="s">
        <v>353</v>
      </c>
      <c r="M7" s="332" t="s">
        <v>171</v>
      </c>
      <c r="N7" s="13">
        <f>IF(D9="Djibouti",'Data Sources'!D32,IF(D9="Ethiopia",'Data Sources'!D32,IF(D9="Kenya",'Data Sources'!H32,IF(D9="Rwanda",'Data Sources'!H32,IF(D9="Tanzania",'Data Sources'!G32,IF(D9="Uganda",'Data Sources'!H32,0))))))</f>
        <v>0.67767389789893984</v>
      </c>
      <c r="O7" s="504">
        <f>N7*G25*(1+$R$12)</f>
        <v>169418.47447473495</v>
      </c>
      <c r="Q7" s="2" t="s">
        <v>1</v>
      </c>
      <c r="S7" s="354"/>
    </row>
    <row r="8" spans="2:33" x14ac:dyDescent="0.3">
      <c r="B8" s="509" t="s">
        <v>23</v>
      </c>
      <c r="C8" s="15" t="s">
        <v>344</v>
      </c>
      <c r="D8" s="24"/>
      <c r="F8" s="19" t="s">
        <v>168</v>
      </c>
      <c r="G8" s="26"/>
      <c r="I8" s="322" t="s">
        <v>350</v>
      </c>
      <c r="J8" s="14">
        <f>'Export Prices'!C3</f>
        <v>9.7249999999999996</v>
      </c>
      <c r="K8" s="107"/>
      <c r="L8" s="310" t="s">
        <v>25</v>
      </c>
      <c r="M8" s="333" t="s">
        <v>201</v>
      </c>
      <c r="N8" s="363">
        <f>IF(D9="Djibouti",'Data Sources'!C51,IF(D9="Ethiopia",'Data Sources'!D51,IF(D9="Kenya",'Data Sources'!E51,IF(D9="Rwanda",'Data Sources'!F51,IF(D9="Tanzania",'Data Sources'!G51,IF(D9="Uganda",'Data Sources'!H51,0))))))</f>
        <v>0.15591921042858808</v>
      </c>
      <c r="O8" s="505">
        <f>N8*G32*G25*(1+$R$12)</f>
        <v>7795.9605214294043</v>
      </c>
      <c r="Q8" s="3" t="s">
        <v>2</v>
      </c>
      <c r="S8" s="354"/>
    </row>
    <row r="9" spans="2:33" x14ac:dyDescent="0.3">
      <c r="B9" s="509" t="s">
        <v>24</v>
      </c>
      <c r="C9" s="22" t="s">
        <v>392</v>
      </c>
      <c r="D9" s="25" t="s">
        <v>48</v>
      </c>
      <c r="F9" s="500" t="s">
        <v>169</v>
      </c>
      <c r="G9" s="303" t="str">
        <f>VLOOKUP(D9,Currency!B8:F13,2,0)</f>
        <v>U Shilling</v>
      </c>
      <c r="I9" s="322" t="s">
        <v>351</v>
      </c>
      <c r="J9" s="47">
        <v>0.5</v>
      </c>
      <c r="L9" s="310" t="s">
        <v>77</v>
      </c>
      <c r="M9" s="333" t="s">
        <v>18</v>
      </c>
      <c r="N9" s="364">
        <v>0.1</v>
      </c>
      <c r="O9" s="505">
        <f>N9*C29*(1+$R$12)</f>
        <v>27680.965375209213</v>
      </c>
      <c r="Q9" s="4" t="s">
        <v>3</v>
      </c>
      <c r="S9" s="354"/>
    </row>
    <row r="10" spans="2:33" x14ac:dyDescent="0.3">
      <c r="F10" s="509" t="s">
        <v>170</v>
      </c>
      <c r="G10" s="304" t="str">
        <f>VLOOKUP(D9,Currency!B8:F13,3,0)</f>
        <v xml:space="preserve"> UGX</v>
      </c>
      <c r="I10" s="322" t="s">
        <v>352</v>
      </c>
      <c r="J10" s="47">
        <v>0.5</v>
      </c>
      <c r="L10" s="310" t="s">
        <v>183</v>
      </c>
      <c r="M10" s="333" t="s">
        <v>190</v>
      </c>
      <c r="N10" s="363">
        <f>IF(D9="Djibouti",'Data Sources'!C61,IF(D9="Ethiopia",'Data Sources'!D61,IF(D9="Kenya",'Data Sources'!E61,IF(D9="Rwanda",'Data Sources'!F61,IF(D9="Tanzania",'Data Sources'!G61,IF(D9="Uganda",'Data Sources'!H61,0))))))</f>
        <v>0.77254824360479135</v>
      </c>
      <c r="O10" s="505">
        <f>N10*M45*(1+$R$12)</f>
        <v>19885.39179038733</v>
      </c>
    </row>
    <row r="11" spans="2:33" x14ac:dyDescent="0.3">
      <c r="B11" s="71" t="s">
        <v>12</v>
      </c>
      <c r="C11" s="72"/>
      <c r="F11" s="49" t="str">
        <f>"Exchng Rate " &amp; "(" &amp; G10 &amp; "/USD" &amp;")"</f>
        <v>Exchng Rate ( UGX/USD)</v>
      </c>
      <c r="G11" s="304">
        <f>VLOOKUP(D9,Currency!B8:F13,4,0)</f>
        <v>3689.09</v>
      </c>
      <c r="I11" s="499" t="s">
        <v>176</v>
      </c>
      <c r="J11" s="309">
        <v>0.01</v>
      </c>
      <c r="L11" s="310" t="s">
        <v>79</v>
      </c>
      <c r="M11" s="333" t="s">
        <v>174</v>
      </c>
      <c r="N11" s="337" t="s">
        <v>203</v>
      </c>
      <c r="O11" s="505">
        <f>O35*(1+$R$12)</f>
        <v>18438.151414034357</v>
      </c>
      <c r="Q11" s="9" t="s">
        <v>13</v>
      </c>
      <c r="R11" s="489">
        <v>0</v>
      </c>
      <c r="W11" s="781" t="s">
        <v>755</v>
      </c>
      <c r="X11" s="782"/>
      <c r="Y11" s="782"/>
      <c r="Z11" s="782"/>
      <c r="AA11" s="782"/>
      <c r="AB11" s="782"/>
      <c r="AC11" s="782"/>
      <c r="AD11" s="782"/>
      <c r="AE11" s="783"/>
    </row>
    <row r="12" spans="2:33" x14ac:dyDescent="0.3">
      <c r="B12" s="1" t="s">
        <v>13</v>
      </c>
      <c r="C12" s="72" t="s">
        <v>14</v>
      </c>
      <c r="L12" s="310" t="s">
        <v>76</v>
      </c>
      <c r="M12" s="333" t="s">
        <v>174</v>
      </c>
      <c r="N12" s="307">
        <f>'Data Sources'!E65</f>
        <v>92.248454607764188</v>
      </c>
      <c r="O12" s="505">
        <f>N12*(1+$R$12)</f>
        <v>92.248454607764188</v>
      </c>
      <c r="Q12" s="9" t="s">
        <v>756</v>
      </c>
      <c r="R12" s="489">
        <v>0</v>
      </c>
    </row>
    <row r="13" spans="2:33" x14ac:dyDescent="0.3">
      <c r="B13" s="331" t="s">
        <v>83</v>
      </c>
      <c r="C13" s="312">
        <f>20000</f>
        <v>20000</v>
      </c>
      <c r="D13" s="107"/>
      <c r="E13" s="53" t="s">
        <v>157</v>
      </c>
      <c r="F13" s="72" t="s">
        <v>158</v>
      </c>
      <c r="G13" s="285" t="s">
        <v>74</v>
      </c>
      <c r="I13" s="16" t="s">
        <v>165</v>
      </c>
      <c r="J13" s="26"/>
      <c r="L13" s="310" t="s">
        <v>78</v>
      </c>
      <c r="M13" s="333" t="s">
        <v>174</v>
      </c>
      <c r="N13" s="307">
        <v>0</v>
      </c>
      <c r="O13" s="505">
        <f>N13*(1+$R$12)</f>
        <v>0</v>
      </c>
      <c r="Q13" s="9" t="s">
        <v>757</v>
      </c>
      <c r="R13" s="489">
        <v>0</v>
      </c>
      <c r="Y13" s="781" t="s">
        <v>13</v>
      </c>
      <c r="Z13" s="782"/>
      <c r="AA13" s="782"/>
      <c r="AB13" s="782"/>
      <c r="AC13" s="782"/>
      <c r="AD13" s="782"/>
      <c r="AE13" s="783"/>
    </row>
    <row r="14" spans="2:33" x14ac:dyDescent="0.3">
      <c r="B14" s="310" t="s">
        <v>84</v>
      </c>
      <c r="C14" s="307">
        <v>3500</v>
      </c>
      <c r="D14" s="107"/>
      <c r="E14" s="500" t="s">
        <v>159</v>
      </c>
      <c r="F14" s="48">
        <v>0.7</v>
      </c>
      <c r="G14" s="286">
        <f>$C$29*F14</f>
        <v>193766.75762646444</v>
      </c>
      <c r="I14" s="16" t="s">
        <v>166</v>
      </c>
      <c r="J14" s="315">
        <f>IF(D9="Djibouti",'Data Sources'!C54,IF(D9="Ethiopia",'Data Sources'!D54,IF(D9="Kenya",'Data Sources'!E54,IF(D9="Rwanda",'Data Sources'!F54,IF(D9="Tanzania",'Data Sources'!G54,IF(D9="Uganda",'Data Sources'!H54,0))))))</f>
        <v>0.3</v>
      </c>
      <c r="K14" s="107"/>
      <c r="L14" s="310" t="s">
        <v>389</v>
      </c>
      <c r="M14" s="333" t="s">
        <v>566</v>
      </c>
      <c r="N14" s="364">
        <v>5.0000000000000001E-3</v>
      </c>
      <c r="O14" s="505">
        <f>N14*Fruit_CashFlows!$P$12*(1+$R$12)</f>
        <v>1590.9313960538072</v>
      </c>
      <c r="Y14" s="652">
        <f t="shared" ref="Y14:AE14" si="0">SUM($C$13:$C$28)*(1+Y$15)</f>
        <v>165283.60758450252</v>
      </c>
      <c r="Z14" s="653">
        <f t="shared" si="0"/>
        <v>220378.14344600338</v>
      </c>
      <c r="AA14" s="653">
        <f t="shared" si="0"/>
        <v>275472.67930750421</v>
      </c>
      <c r="AB14" s="653">
        <f t="shared" si="0"/>
        <v>330567.21516900504</v>
      </c>
      <c r="AC14" s="653">
        <f t="shared" si="0"/>
        <v>385661.75103050587</v>
      </c>
      <c r="AD14" s="653">
        <f t="shared" si="0"/>
        <v>440756.28689200676</v>
      </c>
      <c r="AE14" s="654">
        <f t="shared" si="0"/>
        <v>495850.82275350759</v>
      </c>
    </row>
    <row r="15" spans="2:33" ht="15" customHeight="1" x14ac:dyDescent="0.3">
      <c r="B15" s="310" t="s">
        <v>85</v>
      </c>
      <c r="C15" s="307">
        <v>30000</v>
      </c>
      <c r="D15" s="107"/>
      <c r="E15" s="501" t="s">
        <v>160</v>
      </c>
      <c r="F15" s="48">
        <v>0.3</v>
      </c>
      <c r="G15" s="286">
        <f>$C$29*F15</f>
        <v>83042.896125627623</v>
      </c>
      <c r="L15" s="310" t="s">
        <v>543</v>
      </c>
      <c r="M15" s="333" t="s">
        <v>566</v>
      </c>
      <c r="N15" s="364">
        <v>5.0000000000000001E-3</v>
      </c>
      <c r="O15" s="505">
        <f>N15*Fruit_CashFlows!$P$12*(1+$R$12)</f>
        <v>1590.9313960538072</v>
      </c>
      <c r="Q15" s="741" t="s">
        <v>871</v>
      </c>
      <c r="R15" s="742">
        <f>J7*(1+$R$13)</f>
        <v>6.4573918225434923</v>
      </c>
      <c r="W15" s="778" t="s">
        <v>761</v>
      </c>
      <c r="X15" s="490">
        <f>Fruit_CashFlows!BP4</f>
        <v>0.20523381936067775</v>
      </c>
      <c r="Y15" s="524">
        <v>-0.4</v>
      </c>
      <c r="Z15" s="524">
        <v>-0.2</v>
      </c>
      <c r="AA15" s="524">
        <v>0</v>
      </c>
      <c r="AB15" s="524">
        <v>0.2</v>
      </c>
      <c r="AC15" s="524">
        <v>0.4</v>
      </c>
      <c r="AD15" s="524">
        <v>0.6</v>
      </c>
      <c r="AE15" s="525">
        <v>0.8</v>
      </c>
    </row>
    <row r="16" spans="2:33" x14ac:dyDescent="0.3">
      <c r="B16" s="310" t="s">
        <v>86</v>
      </c>
      <c r="C16" s="307">
        <v>3000</v>
      </c>
      <c r="D16" s="107"/>
      <c r="E16" s="49" t="s">
        <v>161</v>
      </c>
      <c r="F16" s="48">
        <v>0</v>
      </c>
      <c r="G16" s="286">
        <f>$C$29*F16</f>
        <v>0</v>
      </c>
      <c r="I16" s="56" t="s">
        <v>70</v>
      </c>
      <c r="J16" s="21"/>
      <c r="L16" s="310" t="s">
        <v>559</v>
      </c>
      <c r="M16" s="333" t="s">
        <v>567</v>
      </c>
      <c r="N16" s="313">
        <v>2</v>
      </c>
      <c r="O16" s="505">
        <f>N16*10.7639*G42*G41*(1+$R$12)</f>
        <v>3582.2259199999999</v>
      </c>
      <c r="Q16" s="741" t="s">
        <v>872</v>
      </c>
      <c r="R16" s="742">
        <f>J8*(1+$R$13)</f>
        <v>9.7249999999999996</v>
      </c>
      <c r="W16" s="779"/>
      <c r="X16" s="492">
        <v>100000</v>
      </c>
      <c r="Y16" s="520" t="str">
        <f t="dataTable" ref="Y16:AE22" dt2D="1" dtr="1" r1="R11" r2="G25"/>
        <v>NEG IRR</v>
      </c>
      <c r="Z16" s="520" t="str">
        <v>NEG IRR</v>
      </c>
      <c r="AA16" s="520" t="str">
        <v>NEG IRR</v>
      </c>
      <c r="AB16" s="520" t="str">
        <v>NEG IRR</v>
      </c>
      <c r="AC16" s="520" t="str">
        <v>NEG IRR</v>
      </c>
      <c r="AD16" s="520" t="str">
        <v>NEG IRR</v>
      </c>
      <c r="AE16" s="521" t="str">
        <v>NEG IRR</v>
      </c>
      <c r="AG16" s="495">
        <v>0.1</v>
      </c>
    </row>
    <row r="17" spans="2:33" x14ac:dyDescent="0.3">
      <c r="B17" s="310" t="s">
        <v>87</v>
      </c>
      <c r="C17" s="307">
        <v>45000</v>
      </c>
      <c r="D17" s="107"/>
      <c r="E17" s="16" t="s">
        <v>162</v>
      </c>
      <c r="F17" s="400">
        <f>SUM(F14:F16)</f>
        <v>1</v>
      </c>
      <c r="G17" s="10">
        <f>SUM(G14:G16)</f>
        <v>276809.65375209204</v>
      </c>
      <c r="I17" s="16" t="s">
        <v>192</v>
      </c>
      <c r="J17" s="55">
        <v>25</v>
      </c>
      <c r="L17" s="310" t="s">
        <v>75</v>
      </c>
      <c r="M17" s="333" t="s">
        <v>171</v>
      </c>
      <c r="N17" s="363">
        <v>4.5999999999999999E-2</v>
      </c>
      <c r="O17" s="505">
        <f>N17*G29*(1+$R$12)</f>
        <v>1827.2222222222219</v>
      </c>
      <c r="W17" s="779"/>
      <c r="X17" s="493">
        <f>X16+50000</f>
        <v>150000</v>
      </c>
      <c r="Y17" s="520">
        <v>5.9860597347331179E-2</v>
      </c>
      <c r="Z17" s="520">
        <v>-1.6617315432856605E-2</v>
      </c>
      <c r="AA17" s="520">
        <v>-6.9098690136007446E-2</v>
      </c>
      <c r="AB17" s="520">
        <v>-0.13898704405427775</v>
      </c>
      <c r="AC17" s="520" t="str">
        <v>NEG IRR</v>
      </c>
      <c r="AD17" s="520" t="str">
        <v>NEG IRR</v>
      </c>
      <c r="AE17" s="521" t="str">
        <v>NEG IRR</v>
      </c>
      <c r="AG17" s="496">
        <v>0.14990000000000001</v>
      </c>
    </row>
    <row r="18" spans="2:33" x14ac:dyDescent="0.3">
      <c r="B18" s="310" t="s">
        <v>614</v>
      </c>
      <c r="C18" s="307">
        <f>60000</f>
        <v>60000</v>
      </c>
      <c r="D18" s="107"/>
      <c r="I18" s="508" t="s">
        <v>72</v>
      </c>
      <c r="J18" s="54">
        <f>C29</f>
        <v>276809.6537520921</v>
      </c>
      <c r="L18" s="310" t="s">
        <v>4</v>
      </c>
      <c r="M18" s="333" t="s">
        <v>174</v>
      </c>
      <c r="N18" s="307">
        <v>0</v>
      </c>
      <c r="O18" s="505">
        <f>N18*(1+$R$12)</f>
        <v>0</v>
      </c>
      <c r="W18" s="779"/>
      <c r="X18" s="493">
        <f t="shared" ref="X18:X21" si="1">X17+50000</f>
        <v>200000</v>
      </c>
      <c r="Y18" s="520">
        <v>0.31549169186546688</v>
      </c>
      <c r="Z18" s="520">
        <v>0.14887491313024248</v>
      </c>
      <c r="AA18" s="520">
        <v>6.5004570505352133E-2</v>
      </c>
      <c r="AB18" s="520">
        <v>1.3701595564752811E-2</v>
      </c>
      <c r="AC18" s="520">
        <v>-2.3685825585096798E-2</v>
      </c>
      <c r="AD18" s="520">
        <v>-5.4764398153657412E-2</v>
      </c>
      <c r="AE18" s="521">
        <v>-8.5535402292263529E-2</v>
      </c>
    </row>
    <row r="19" spans="2:33" x14ac:dyDescent="0.3">
      <c r="B19" s="310" t="s">
        <v>623</v>
      </c>
      <c r="C19" s="307">
        <f>65000</f>
        <v>65000</v>
      </c>
      <c r="D19" s="107"/>
      <c r="E19" s="53" t="s">
        <v>164</v>
      </c>
      <c r="F19" s="276"/>
      <c r="I19" s="508" t="s">
        <v>73</v>
      </c>
      <c r="J19" s="55">
        <v>0</v>
      </c>
      <c r="L19" s="310" t="s">
        <v>5</v>
      </c>
      <c r="M19" s="333" t="s">
        <v>174</v>
      </c>
      <c r="N19" s="307">
        <v>0</v>
      </c>
      <c r="O19" s="505">
        <f>N19*(1+$R$12)</f>
        <v>0</v>
      </c>
      <c r="W19" s="779"/>
      <c r="X19" s="493">
        <f t="shared" si="1"/>
        <v>250000</v>
      </c>
      <c r="Y19" s="520">
        <v>0.67740952787425157</v>
      </c>
      <c r="Z19" s="520">
        <v>0.36085987765668714</v>
      </c>
      <c r="AA19" s="520">
        <v>0.20523381936067775</v>
      </c>
      <c r="AB19" s="520">
        <v>0.12263395347591333</v>
      </c>
      <c r="AC19" s="520">
        <v>6.7193824728506879E-2</v>
      </c>
      <c r="AD19" s="520">
        <v>2.8364015166796319E-2</v>
      </c>
      <c r="AE19" s="521">
        <v>-1.6116891704034408E-3</v>
      </c>
    </row>
    <row r="20" spans="2:33" x14ac:dyDescent="0.3">
      <c r="B20" s="310" t="s">
        <v>873</v>
      </c>
      <c r="C20" s="740">
        <f>IF(D9="Djibouti",'Data Sources'!C85,IF(D9="Ethiopia",'Data Sources'!D85,IF(D9="Kenya",'Data Sources'!E85,IF(D9="Rwanda",'Data Sources'!F85,IF(D9="Tanzania",'Data Sources'!G85,IF(D9="Uganda",'Data Sources'!H85,0))))))</f>
        <v>2.6793075041842411</v>
      </c>
      <c r="D20" s="107"/>
      <c r="E20" s="502" t="s">
        <v>182</v>
      </c>
      <c r="F20" s="275"/>
      <c r="G20" s="302">
        <f>IF(D9="Djibouti",Currency!Q8,IF(D9="Ethiopia",Currency!Q9,IF(D9="Kenya",Currency!Q10,IF(D9="Rwanda",Currency!Q11,IF(D9="Tanzania",Currency!Q12,IF(D9="Uganda",Currency!Q13,0))))))</f>
        <v>0.23089999999999999</v>
      </c>
      <c r="L20" s="310" t="s">
        <v>6</v>
      </c>
      <c r="M20" s="333" t="s">
        <v>174</v>
      </c>
      <c r="N20" s="307">
        <v>0</v>
      </c>
      <c r="O20" s="505">
        <f>N20*(1+$R$12)</f>
        <v>0</v>
      </c>
      <c r="W20" s="779"/>
      <c r="X20" s="493">
        <f t="shared" si="1"/>
        <v>300000</v>
      </c>
      <c r="Y20" s="520">
        <v>1.0599471595605512</v>
      </c>
      <c r="Z20" s="520">
        <v>0.6344469893413256</v>
      </c>
      <c r="AA20" s="520">
        <v>0.38910535923173151</v>
      </c>
      <c r="AB20" s="520">
        <v>0.24743093251364789</v>
      </c>
      <c r="AC20" s="520">
        <v>0.16528892482689117</v>
      </c>
      <c r="AD20" s="520">
        <v>0.10969475343915547</v>
      </c>
      <c r="AE20" s="521">
        <v>6.8409326762575162E-2</v>
      </c>
    </row>
    <row r="21" spans="2:33" x14ac:dyDescent="0.3">
      <c r="B21" s="7" t="s">
        <v>402</v>
      </c>
      <c r="C21" s="8">
        <v>3500</v>
      </c>
      <c r="D21" s="107"/>
      <c r="E21" s="503" t="s">
        <v>68</v>
      </c>
      <c r="F21" s="498"/>
      <c r="G21" s="52">
        <v>10</v>
      </c>
      <c r="L21" s="310" t="s">
        <v>7</v>
      </c>
      <c r="M21" s="333" t="s">
        <v>174</v>
      </c>
      <c r="N21" s="307">
        <v>0</v>
      </c>
      <c r="O21" s="505">
        <f>N21*(1+$R$12)</f>
        <v>0</v>
      </c>
      <c r="W21" s="779"/>
      <c r="X21" s="493">
        <f t="shared" si="1"/>
        <v>350000</v>
      </c>
      <c r="Y21" s="520">
        <v>1.4429227907767794</v>
      </c>
      <c r="Z21" s="520">
        <v>0.92072522731463136</v>
      </c>
      <c r="AA21" s="520">
        <v>0.60877858715924726</v>
      </c>
      <c r="AB21" s="520">
        <v>0.4082935199367963</v>
      </c>
      <c r="AC21" s="520">
        <v>0.27997555233927729</v>
      </c>
      <c r="AD21" s="520">
        <v>0.1986916129594869</v>
      </c>
      <c r="AE21" s="521">
        <v>0.14448907326768978</v>
      </c>
    </row>
    <row r="22" spans="2:33" x14ac:dyDescent="0.3">
      <c r="B22" s="7" t="s">
        <v>403</v>
      </c>
      <c r="C22" s="8">
        <v>1500</v>
      </c>
      <c r="D22" s="107"/>
      <c r="L22" s="323" t="s">
        <v>8</v>
      </c>
      <c r="M22" s="334" t="s">
        <v>174</v>
      </c>
      <c r="N22" s="318">
        <v>0</v>
      </c>
      <c r="O22" s="506">
        <f>N22*(1+$R$12)</f>
        <v>0</v>
      </c>
      <c r="W22" s="780"/>
      <c r="X22" s="494">
        <f>X21+50000</f>
        <v>400000</v>
      </c>
      <c r="Y22" s="522">
        <v>1.8255443035204642</v>
      </c>
      <c r="Z22" s="522">
        <v>1.2080123130412548</v>
      </c>
      <c r="AA22" s="522">
        <v>0.83726972226623975</v>
      </c>
      <c r="AB22" s="522">
        <v>0.59172275459662571</v>
      </c>
      <c r="AC22" s="522">
        <v>0.42215336698556238</v>
      </c>
      <c r="AD22" s="522">
        <v>0.30564867076462177</v>
      </c>
      <c r="AE22" s="523">
        <v>0.22667351156515503</v>
      </c>
    </row>
    <row r="23" spans="2:33" x14ac:dyDescent="0.3">
      <c r="B23" s="7" t="s">
        <v>405</v>
      </c>
      <c r="C23" s="8">
        <v>3000</v>
      </c>
      <c r="D23" s="107"/>
      <c r="L23" s="49" t="s">
        <v>175</v>
      </c>
      <c r="M23" s="507"/>
      <c r="N23" s="18">
        <v>0.01</v>
      </c>
      <c r="W23" s="68"/>
      <c r="X23" s="68"/>
      <c r="Y23" s="781" t="s">
        <v>756</v>
      </c>
      <c r="Z23" s="782"/>
      <c r="AA23" s="782"/>
      <c r="AB23" s="782"/>
      <c r="AC23" s="782"/>
      <c r="AD23" s="782"/>
      <c r="AE23" s="783"/>
    </row>
    <row r="24" spans="2:33" x14ac:dyDescent="0.3">
      <c r="B24" s="7" t="s">
        <v>516</v>
      </c>
      <c r="C24" s="8">
        <v>30000</v>
      </c>
      <c r="D24" s="107"/>
      <c r="E24" s="277" t="s">
        <v>177</v>
      </c>
      <c r="F24" s="66"/>
      <c r="G24" s="311" t="s">
        <v>195</v>
      </c>
      <c r="H24" s="401" t="s">
        <v>17</v>
      </c>
      <c r="Y24" s="652">
        <f t="shared" ref="Y24:AE24" si="2">SUM($O$7:$O$22)*(1+Y$25)</f>
        <v>151141.50177883971</v>
      </c>
      <c r="Z24" s="653">
        <f t="shared" si="2"/>
        <v>201522.00237178631</v>
      </c>
      <c r="AA24" s="653">
        <f t="shared" si="2"/>
        <v>251902.50296473288</v>
      </c>
      <c r="AB24" s="653">
        <f t="shared" si="2"/>
        <v>302283.00355767942</v>
      </c>
      <c r="AC24" s="653">
        <f t="shared" si="2"/>
        <v>352663.50415062602</v>
      </c>
      <c r="AD24" s="653">
        <f t="shared" si="2"/>
        <v>403044.00474357262</v>
      </c>
      <c r="AE24" s="654">
        <f t="shared" si="2"/>
        <v>453424.50533651921</v>
      </c>
    </row>
    <row r="25" spans="2:33" ht="15" customHeight="1" x14ac:dyDescent="0.3">
      <c r="B25" s="7" t="s">
        <v>407</v>
      </c>
      <c r="C25" s="8">
        <v>10970</v>
      </c>
      <c r="D25" s="107"/>
      <c r="E25" s="65" t="s">
        <v>345</v>
      </c>
      <c r="F25" s="357"/>
      <c r="G25" s="324">
        <v>250000</v>
      </c>
      <c r="H25" s="306" t="s">
        <v>196</v>
      </c>
      <c r="L25" s="19" t="s">
        <v>79</v>
      </c>
      <c r="M25" s="63"/>
      <c r="N25" s="63"/>
      <c r="O25" s="276"/>
      <c r="W25" s="778" t="s">
        <v>761</v>
      </c>
      <c r="X25" s="490">
        <f>Fruit_CashFlows!BP4</f>
        <v>0.20523381936067775</v>
      </c>
      <c r="Y25" s="524">
        <v>-0.4</v>
      </c>
      <c r="Z25" s="524">
        <v>-0.2</v>
      </c>
      <c r="AA25" s="524">
        <v>0</v>
      </c>
      <c r="AB25" s="524">
        <v>0.2</v>
      </c>
      <c r="AC25" s="524">
        <v>0.4</v>
      </c>
      <c r="AD25" s="524">
        <v>0.6</v>
      </c>
      <c r="AE25" s="525">
        <v>0.8</v>
      </c>
    </row>
    <row r="26" spans="2:33" x14ac:dyDescent="0.3">
      <c r="B26" s="310" t="s">
        <v>4</v>
      </c>
      <c r="C26" s="307">
        <v>0</v>
      </c>
      <c r="D26" s="107"/>
      <c r="E26" s="61" t="s">
        <v>346</v>
      </c>
      <c r="F26" s="275"/>
      <c r="G26" s="471">
        <v>0.85699999999999998</v>
      </c>
      <c r="H26" s="305" t="s">
        <v>155</v>
      </c>
      <c r="L26" s="64"/>
      <c r="M26" s="325" t="s">
        <v>80</v>
      </c>
      <c r="N26" s="72" t="s">
        <v>185</v>
      </c>
      <c r="O26" s="325" t="s">
        <v>185</v>
      </c>
      <c r="W26" s="779"/>
      <c r="X26" s="492">
        <v>100000</v>
      </c>
      <c r="Y26" s="520">
        <f t="dataTable" ref="Y26:AE32" dt2D="1" dtr="1" r1="R12" r2="G25" ca="1"/>
        <v>8.0208841666009167E-2</v>
      </c>
      <c r="Z26" s="520">
        <v>-5.8241834769472312E-2</v>
      </c>
      <c r="AA26" s="520" t="str">
        <v>NEG IRR</v>
      </c>
      <c r="AB26" s="520" t="str">
        <v>NEG IRR</v>
      </c>
      <c r="AC26" s="520" t="str">
        <v>NEG IRR</v>
      </c>
      <c r="AD26" s="520" t="str">
        <v>NEG IRR</v>
      </c>
      <c r="AE26" s="521" t="str">
        <v>NEG IRR</v>
      </c>
    </row>
    <row r="27" spans="2:33" x14ac:dyDescent="0.3">
      <c r="B27" s="310" t="s">
        <v>5</v>
      </c>
      <c r="C27" s="307">
        <v>0</v>
      </c>
      <c r="D27" s="107"/>
      <c r="E27" s="61" t="s">
        <v>347</v>
      </c>
      <c r="F27" s="275"/>
      <c r="G27" s="471">
        <v>0.1</v>
      </c>
      <c r="H27" s="305" t="s">
        <v>155</v>
      </c>
      <c r="L27" s="310" t="s">
        <v>82</v>
      </c>
      <c r="M27" s="327" t="s">
        <v>69</v>
      </c>
      <c r="N27" s="324">
        <f>IF(D9="Djibouti",'Data Sources'!C69,IF(D9="Ethiopia",'Data Sources'!D69,IF(D9="Kenya",'Data Sources'!E69,IF(D9="Rwanda",'Data Sources'!F69,IF(D9="Tanzania",'Data Sources'!G69,IF(D9="Uganda",'Data Sources'!H69,0))))))</f>
        <v>19029.083053002229</v>
      </c>
      <c r="O27" s="67">
        <f>IF(M27="Y",N27,0)</f>
        <v>0</v>
      </c>
      <c r="W27" s="779"/>
      <c r="X27" s="493">
        <f>X26+50000</f>
        <v>150000</v>
      </c>
      <c r="Y27" s="520">
        <v>0.31746603828199138</v>
      </c>
      <c r="Z27" s="520">
        <v>0.10876762135215601</v>
      </c>
      <c r="AA27" s="520">
        <v>-6.9098690136007446E-2</v>
      </c>
      <c r="AB27" s="520" t="str">
        <v>NEG IRR</v>
      </c>
      <c r="AC27" s="520" t="str">
        <v>NEG IRR</v>
      </c>
      <c r="AD27" s="520" t="str">
        <v>NEG IRR</v>
      </c>
      <c r="AE27" s="521" t="str">
        <v>NEG IRR</v>
      </c>
    </row>
    <row r="28" spans="2:33" x14ac:dyDescent="0.3">
      <c r="B28" s="323" t="s">
        <v>6</v>
      </c>
      <c r="C28" s="318">
        <v>0</v>
      </c>
      <c r="D28" s="107"/>
      <c r="E28" s="61" t="s">
        <v>198</v>
      </c>
      <c r="F28" s="275"/>
      <c r="G28" s="409">
        <f>G25*(G26-G27)*100/(100-100*G27)</f>
        <v>210277.77777777778</v>
      </c>
      <c r="H28" s="305" t="s">
        <v>196</v>
      </c>
      <c r="L28" s="310" t="s">
        <v>521</v>
      </c>
      <c r="M28" s="328" t="s">
        <v>81</v>
      </c>
      <c r="N28" s="319">
        <f>IF(D9="Djibouti",'Data Sources'!C73,IF(D9="Ethiopia",'Data Sources'!D73,IF(D9="Kenya",'Data Sources'!E73,IF(D9="Rwanda",'Data Sources'!F73,IF(D9="Tanzania",'Data Sources'!G73,IF(D9="Uganda",'Data Sources'!H73,0))))))</f>
        <v>7427.3059209723806</v>
      </c>
      <c r="O28" s="69">
        <f t="shared" ref="O28:O34" si="3">IF(M28="Y",N28,0)</f>
        <v>7427.3059209723806</v>
      </c>
      <c r="W28" s="779"/>
      <c r="X28" s="493">
        <f t="shared" ref="X28:X31" si="4">X27+50000</f>
        <v>200000</v>
      </c>
      <c r="Y28" s="520">
        <v>0.64856376390697457</v>
      </c>
      <c r="Z28" s="520">
        <v>0.30744271441911453</v>
      </c>
      <c r="AA28" s="520">
        <v>6.5004570505352133E-2</v>
      </c>
      <c r="AB28" s="520" t="str">
        <v>NEG IRR</v>
      </c>
      <c r="AC28" s="520" t="str">
        <v>NEG IRR</v>
      </c>
      <c r="AD28" s="520" t="str">
        <v>NEG IRR</v>
      </c>
      <c r="AE28" s="521" t="str">
        <v>NEG IRR</v>
      </c>
    </row>
    <row r="29" spans="2:33" x14ac:dyDescent="0.3">
      <c r="B29" s="9" t="s">
        <v>15</v>
      </c>
      <c r="C29" s="10">
        <f>(SUM(C13:C19)+SUM(C21:C28)+(C20*G43))*(1+$R$11)</f>
        <v>276809.6537520921</v>
      </c>
      <c r="E29" s="61" t="s">
        <v>348</v>
      </c>
      <c r="F29" s="275"/>
      <c r="G29" s="410">
        <f>G25-G28</f>
        <v>39722.222222222219</v>
      </c>
      <c r="H29" s="305" t="s">
        <v>196</v>
      </c>
      <c r="L29" s="310" t="s">
        <v>387</v>
      </c>
      <c r="M29" s="328" t="s">
        <v>81</v>
      </c>
      <c r="N29" s="319">
        <f>IF(D9="Djibouti",'Data Sources'!C77,IF(D9="Ethiopia",'Data Sources'!D77,IF(D9="Kenya",'Data Sources'!E77,IF(D9="Rwanda",'Data Sources'!F77,IF(D9="Tanzania",'Data Sources'!G77,IF(D9="Uganda",'Data Sources'!H77,0))))))</f>
        <v>5237.063882963007</v>
      </c>
      <c r="O29" s="69">
        <f t="shared" si="3"/>
        <v>5237.063882963007</v>
      </c>
      <c r="W29" s="779"/>
      <c r="X29" s="493">
        <f t="shared" si="4"/>
        <v>250000</v>
      </c>
      <c r="Y29" s="520">
        <v>1.0003517292873525</v>
      </c>
      <c r="Z29" s="520">
        <v>0.57637989965592706</v>
      </c>
      <c r="AA29" s="520">
        <v>0.20523381936067775</v>
      </c>
      <c r="AB29" s="520">
        <v>-5.0656768510092154E-2</v>
      </c>
      <c r="AC29" s="520" t="str">
        <v>NEG IRR</v>
      </c>
      <c r="AD29" s="520" t="str">
        <v>NEG IRR</v>
      </c>
      <c r="AE29" s="521" t="str">
        <v>NEG IRR</v>
      </c>
    </row>
    <row r="30" spans="2:33" x14ac:dyDescent="0.3">
      <c r="E30" s="61" t="s">
        <v>617</v>
      </c>
      <c r="F30" s="275"/>
      <c r="G30" s="472">
        <v>0.01</v>
      </c>
      <c r="H30" s="305" t="s">
        <v>155</v>
      </c>
      <c r="L30" s="310" t="s">
        <v>184</v>
      </c>
      <c r="M30" s="328" t="s">
        <v>69</v>
      </c>
      <c r="N30" s="319">
        <v>0</v>
      </c>
      <c r="O30" s="69">
        <f t="shared" si="3"/>
        <v>0</v>
      </c>
      <c r="W30" s="779"/>
      <c r="X30" s="493">
        <f t="shared" si="4"/>
        <v>300000</v>
      </c>
      <c r="Y30" s="520">
        <v>1.3531540932687682</v>
      </c>
      <c r="Z30" s="520">
        <v>0.86567324008491608</v>
      </c>
      <c r="AA30" s="520">
        <v>0.38910535923173151</v>
      </c>
      <c r="AB30" s="520">
        <v>4.6625768875166118E-2</v>
      </c>
      <c r="AC30" s="520" t="str">
        <v>NEG IRR</v>
      </c>
      <c r="AD30" s="520" t="str">
        <v>NEG IRR</v>
      </c>
      <c r="AE30" s="521" t="str">
        <v>NEG IRR</v>
      </c>
    </row>
    <row r="31" spans="2:33" x14ac:dyDescent="0.3">
      <c r="B31" s="356" t="s">
        <v>880</v>
      </c>
      <c r="E31" s="61" t="s">
        <v>618</v>
      </c>
      <c r="F31" s="275"/>
      <c r="G31" s="410">
        <f>(1-G30)*G29</f>
        <v>39325</v>
      </c>
      <c r="H31" s="305" t="s">
        <v>196</v>
      </c>
      <c r="L31" s="310" t="s">
        <v>386</v>
      </c>
      <c r="M31" s="328" t="s">
        <v>81</v>
      </c>
      <c r="N31" s="319">
        <f>IF(D9="Djibouti",'Data Sources'!C81,IF(D9="Ethiopia",'Data Sources'!D81,IF(D9="Kenya",'Data Sources'!E81,IF(D9="Rwanda",'Data Sources'!F81,IF(D9="Tanzania",'Data Sources'!G81,IF(D9="Uganda",'Data Sources'!H81,0))))))</f>
        <v>5773.7816100989676</v>
      </c>
      <c r="O31" s="69">
        <f t="shared" si="3"/>
        <v>5773.7816100989676</v>
      </c>
      <c r="W31" s="779"/>
      <c r="X31" s="493">
        <f t="shared" si="4"/>
        <v>350000</v>
      </c>
      <c r="Y31" s="520">
        <v>1.7057420740910909</v>
      </c>
      <c r="Z31" s="520">
        <v>1.1569523617507658</v>
      </c>
      <c r="AA31" s="520">
        <v>0.60877858715924726</v>
      </c>
      <c r="AB31" s="520">
        <v>0.14648033538041627</v>
      </c>
      <c r="AC31" s="520" t="str">
        <v>NEG IRR</v>
      </c>
      <c r="AD31" s="520" t="str">
        <v>NEG IRR</v>
      </c>
      <c r="AE31" s="521" t="str">
        <v>NEG IRR</v>
      </c>
    </row>
    <row r="32" spans="2:33" x14ac:dyDescent="0.3">
      <c r="B32" s="766" t="s">
        <v>881</v>
      </c>
      <c r="C32" s="767">
        <v>6.0000000000000001E-3</v>
      </c>
      <c r="E32" s="61" t="s">
        <v>199</v>
      </c>
      <c r="F32" s="275"/>
      <c r="G32" s="411">
        <v>0.2</v>
      </c>
      <c r="H32" s="305" t="s">
        <v>200</v>
      </c>
      <c r="L32" s="310" t="s">
        <v>388</v>
      </c>
      <c r="M32" s="328" t="s">
        <v>69</v>
      </c>
      <c r="N32" s="319">
        <v>0</v>
      </c>
      <c r="O32" s="69">
        <f t="shared" si="3"/>
        <v>0</v>
      </c>
      <c r="W32" s="780"/>
      <c r="X32" s="494">
        <f>X31+50000</f>
        <v>400000</v>
      </c>
      <c r="Y32" s="522">
        <v>2.0581553064492346</v>
      </c>
      <c r="Z32" s="522">
        <v>1.4481797206614297</v>
      </c>
      <c r="AA32" s="522">
        <v>0.83726972226623975</v>
      </c>
      <c r="AB32" s="522">
        <v>0.25991661784936682</v>
      </c>
      <c r="AC32" s="522" t="str">
        <v>NEG IRR</v>
      </c>
      <c r="AD32" s="522" t="str">
        <v>NEG IRR</v>
      </c>
      <c r="AE32" s="523" t="str">
        <v>NEG IRR</v>
      </c>
    </row>
    <row r="33" spans="2:74" x14ac:dyDescent="0.3">
      <c r="B33" s="726" t="s">
        <v>882</v>
      </c>
      <c r="C33" s="407">
        <v>1000</v>
      </c>
      <c r="E33" s="61" t="s">
        <v>544</v>
      </c>
      <c r="F33" s="275"/>
      <c r="G33" s="412">
        <v>8.8000000000000007</v>
      </c>
      <c r="H33" s="305" t="s">
        <v>547</v>
      </c>
      <c r="L33" s="310" t="s">
        <v>4</v>
      </c>
      <c r="M33" s="328" t="s">
        <v>69</v>
      </c>
      <c r="N33" s="319">
        <v>0</v>
      </c>
      <c r="O33" s="69">
        <f t="shared" si="3"/>
        <v>0</v>
      </c>
      <c r="W33" s="68"/>
      <c r="X33" s="68"/>
      <c r="Y33" s="781" t="s">
        <v>757</v>
      </c>
      <c r="Z33" s="782"/>
      <c r="AA33" s="782"/>
      <c r="AB33" s="782"/>
      <c r="AC33" s="782"/>
      <c r="AD33" s="782"/>
      <c r="AE33" s="783"/>
    </row>
    <row r="34" spans="2:74" x14ac:dyDescent="0.3">
      <c r="B34" s="726" t="s">
        <v>883</v>
      </c>
      <c r="C34" s="767">
        <v>4.1870000000000003</v>
      </c>
      <c r="E34" s="61" t="s">
        <v>619</v>
      </c>
      <c r="F34" s="275"/>
      <c r="G34" s="412">
        <v>2.2000000000000002</v>
      </c>
      <c r="H34" s="305" t="s">
        <v>547</v>
      </c>
      <c r="L34" s="323" t="s">
        <v>5</v>
      </c>
      <c r="M34" s="329" t="s">
        <v>69</v>
      </c>
      <c r="N34" s="319">
        <v>0</v>
      </c>
      <c r="O34" s="70">
        <f t="shared" si="3"/>
        <v>0</v>
      </c>
      <c r="Y34" s="649">
        <f t="shared" ref="Y34:AE34" si="5">AVERAGE($R$15:$R$16)*(1+Y$35)</f>
        <v>4.8547175467630481</v>
      </c>
      <c r="Z34" s="650">
        <f t="shared" si="5"/>
        <v>6.4729567290173975</v>
      </c>
      <c r="AA34" s="650">
        <f t="shared" si="5"/>
        <v>8.0911959112717469</v>
      </c>
      <c r="AB34" s="650">
        <f t="shared" si="5"/>
        <v>9.7094350935260962</v>
      </c>
      <c r="AC34" s="650">
        <f t="shared" si="5"/>
        <v>11.327674275780446</v>
      </c>
      <c r="AD34" s="650">
        <f t="shared" si="5"/>
        <v>12.945913458034795</v>
      </c>
      <c r="AE34" s="651">
        <f t="shared" si="5"/>
        <v>14.564152640289144</v>
      </c>
    </row>
    <row r="35" spans="2:74" ht="15" customHeight="1" x14ac:dyDescent="0.3">
      <c r="B35" s="726" t="s">
        <v>884</v>
      </c>
      <c r="C35" s="407">
        <v>160</v>
      </c>
      <c r="E35" s="61" t="s">
        <v>555</v>
      </c>
      <c r="F35" s="275"/>
      <c r="G35" s="413">
        <f>G38*G37*(G33+G34)</f>
        <v>5148</v>
      </c>
      <c r="H35" s="305" t="s">
        <v>545</v>
      </c>
      <c r="L35" s="16" t="s">
        <v>162</v>
      </c>
      <c r="M35" s="326"/>
      <c r="N35" s="63"/>
      <c r="O35" s="402">
        <f>SUM(O27:O34)</f>
        <v>18438.151414034357</v>
      </c>
      <c r="W35" s="778" t="s">
        <v>761</v>
      </c>
      <c r="X35" s="491">
        <f>Fruit_CashFlows!BP4</f>
        <v>0.20523381936067775</v>
      </c>
      <c r="Y35" s="524">
        <v>-0.4</v>
      </c>
      <c r="Z35" s="524">
        <v>-0.2</v>
      </c>
      <c r="AA35" s="524">
        <v>0</v>
      </c>
      <c r="AB35" s="524">
        <v>0.2</v>
      </c>
      <c r="AC35" s="524">
        <v>0.4</v>
      </c>
      <c r="AD35" s="524">
        <v>0.6</v>
      </c>
      <c r="AE35" s="525">
        <v>0.8</v>
      </c>
    </row>
    <row r="36" spans="2:74" x14ac:dyDescent="0.3">
      <c r="B36" s="726" t="s">
        <v>885</v>
      </c>
      <c r="C36" s="407">
        <v>100</v>
      </c>
      <c r="E36" s="61" t="s">
        <v>620</v>
      </c>
      <c r="F36" s="275"/>
      <c r="G36" s="412">
        <v>1000</v>
      </c>
      <c r="H36" s="305" t="s">
        <v>548</v>
      </c>
      <c r="W36" s="779"/>
      <c r="X36" s="492">
        <v>100000</v>
      </c>
      <c r="Y36" s="520" t="str">
        <f t="dataTable" ref="Y36:AE42" dt2D="1" dtr="1" r1="R13" r2="G25" ca="1"/>
        <v>NEG IRR</v>
      </c>
      <c r="Z36" s="520" t="str">
        <v>NEG IRR</v>
      </c>
      <c r="AA36" s="520" t="str">
        <v>NEG IRR</v>
      </c>
      <c r="AB36" s="520">
        <v>-8.1816607509072492E-2</v>
      </c>
      <c r="AC36" s="520">
        <v>4.7709406807338484E-2</v>
      </c>
      <c r="AD36" s="520">
        <v>0.17390981667905026</v>
      </c>
      <c r="AE36" s="521">
        <v>0.3313368650623465</v>
      </c>
    </row>
    <row r="37" spans="2:74" x14ac:dyDescent="0.3">
      <c r="B37" s="726" t="s">
        <v>886</v>
      </c>
      <c r="C37" s="768">
        <f>C35-C36</f>
        <v>60</v>
      </c>
      <c r="E37" s="61" t="s">
        <v>600</v>
      </c>
      <c r="F37" s="275"/>
      <c r="G37" s="414">
        <f>M42*M43</f>
        <v>234</v>
      </c>
      <c r="H37" s="305" t="s">
        <v>601</v>
      </c>
      <c r="L37" s="277" t="s">
        <v>186</v>
      </c>
      <c r="M37" s="278"/>
      <c r="W37" s="779"/>
      <c r="X37" s="493">
        <f>X36+50000</f>
        <v>150000</v>
      </c>
      <c r="Y37" s="520" t="str">
        <v>NEG IRR</v>
      </c>
      <c r="Z37" s="520" t="str">
        <v>NEG IRR</v>
      </c>
      <c r="AA37" s="520">
        <v>-6.9098690136007446E-2</v>
      </c>
      <c r="AB37" s="520">
        <v>0.11843857189800966</v>
      </c>
      <c r="AC37" s="520">
        <v>0.34540459297365134</v>
      </c>
      <c r="AD37" s="520">
        <v>0.64844374858415676</v>
      </c>
      <c r="AE37" s="521">
        <v>0.96690024805610686</v>
      </c>
    </row>
    <row r="38" spans="2:74" x14ac:dyDescent="0.3">
      <c r="B38" s="769" t="s">
        <v>887</v>
      </c>
      <c r="C38" s="403">
        <f>C32*C33*C34*C37</f>
        <v>1507.32</v>
      </c>
      <c r="E38" s="61" t="s">
        <v>602</v>
      </c>
      <c r="F38" s="275"/>
      <c r="G38" s="412">
        <v>2</v>
      </c>
      <c r="H38" s="305" t="s">
        <v>603</v>
      </c>
      <c r="I38" s="390"/>
      <c r="L38" s="510" t="s">
        <v>609</v>
      </c>
      <c r="M38" s="6">
        <v>200</v>
      </c>
      <c r="W38" s="779"/>
      <c r="X38" s="493">
        <f t="shared" ref="X38:X41" si="6">X37+50000</f>
        <v>200000</v>
      </c>
      <c r="Y38" s="520" t="str">
        <v>NEG IRR</v>
      </c>
      <c r="Z38" s="520" t="str">
        <v>NEG IRR</v>
      </c>
      <c r="AA38" s="520">
        <v>6.5004570505352133E-2</v>
      </c>
      <c r="AB38" s="520">
        <v>0.35973352809217185</v>
      </c>
      <c r="AC38" s="520">
        <v>0.77080299934946583</v>
      </c>
      <c r="AD38" s="520">
        <v>1.1965404361117922</v>
      </c>
      <c r="AE38" s="521">
        <v>1.6221918082145357</v>
      </c>
    </row>
    <row r="39" spans="2:74" x14ac:dyDescent="0.3">
      <c r="E39" s="61" t="s">
        <v>599</v>
      </c>
      <c r="F39" s="275"/>
      <c r="G39" s="414">
        <f>G37*G38</f>
        <v>468</v>
      </c>
      <c r="H39" s="305" t="s">
        <v>546</v>
      </c>
      <c r="I39" s="390"/>
      <c r="L39" s="511" t="s">
        <v>610</v>
      </c>
      <c r="M39" s="403">
        <f>G36/M38</f>
        <v>5</v>
      </c>
      <c r="W39" s="779"/>
      <c r="X39" s="493">
        <f t="shared" si="6"/>
        <v>250000</v>
      </c>
      <c r="Y39" s="520" t="str">
        <v>NEG IRR</v>
      </c>
      <c r="Z39" s="520" t="str">
        <v>NEG IRR</v>
      </c>
      <c r="AA39" s="520">
        <v>0.20523381936067775</v>
      </c>
      <c r="AB39" s="520">
        <v>0.68135673651999928</v>
      </c>
      <c r="AC39" s="520">
        <v>1.2132451490687672</v>
      </c>
      <c r="AD39" s="520">
        <v>1.7452705047414248</v>
      </c>
      <c r="AE39" s="521">
        <v>2.276834100692299</v>
      </c>
    </row>
    <row r="40" spans="2:74" x14ac:dyDescent="0.3">
      <c r="E40" s="61" t="s">
        <v>622</v>
      </c>
      <c r="F40" s="275"/>
      <c r="G40" s="409">
        <f>G39*G36</f>
        <v>468000</v>
      </c>
      <c r="H40" s="305" t="s">
        <v>196</v>
      </c>
      <c r="L40" s="511" t="s">
        <v>612</v>
      </c>
      <c r="M40" s="8">
        <f>G38</f>
        <v>2</v>
      </c>
      <c r="W40" s="779"/>
      <c r="X40" s="493">
        <f t="shared" si="6"/>
        <v>300000</v>
      </c>
      <c r="Y40" s="520" t="str">
        <v>NEG IRR</v>
      </c>
      <c r="Z40" s="520">
        <v>-3.91299898647266E-2</v>
      </c>
      <c r="AA40" s="520">
        <v>0.38910535923173151</v>
      </c>
      <c r="AB40" s="520">
        <v>1.0169401870424624</v>
      </c>
      <c r="AC40" s="520">
        <v>1.65563738603255</v>
      </c>
      <c r="AD40" s="520">
        <v>2.293571320221222</v>
      </c>
      <c r="AE40" s="521">
        <v>2.9311893186622546</v>
      </c>
    </row>
    <row r="41" spans="2:74" x14ac:dyDescent="0.3">
      <c r="B41" s="356" t="s">
        <v>896</v>
      </c>
      <c r="E41" s="61" t="s">
        <v>597</v>
      </c>
      <c r="F41" s="275"/>
      <c r="G41" s="415">
        <f>ROUNDUP(G25/G40,0)</f>
        <v>1</v>
      </c>
      <c r="H41" s="305" t="s">
        <v>598</v>
      </c>
      <c r="L41" s="512" t="s">
        <v>547</v>
      </c>
      <c r="M41" s="395">
        <f>G33+G34</f>
        <v>11</v>
      </c>
      <c r="N41" s="405"/>
      <c r="W41" s="779"/>
      <c r="X41" s="493">
        <f t="shared" si="6"/>
        <v>350000</v>
      </c>
      <c r="Y41" s="520" t="str">
        <v>NEG IRR</v>
      </c>
      <c r="Z41" s="520">
        <v>3.1362951292153385E-2</v>
      </c>
      <c r="AA41" s="520">
        <v>0.60877858715924726</v>
      </c>
      <c r="AB41" s="520">
        <v>1.3531328146144186</v>
      </c>
      <c r="AC41" s="520">
        <v>2.0977110014703753</v>
      </c>
      <c r="AD41" s="520">
        <v>2.8416780408268028</v>
      </c>
      <c r="AE41" s="521">
        <v>3.5854243245334425</v>
      </c>
    </row>
    <row r="42" spans="2:74" x14ac:dyDescent="0.3">
      <c r="B42" s="766" t="s">
        <v>889</v>
      </c>
      <c r="C42" s="407">
        <v>24</v>
      </c>
      <c r="E42" s="61" t="s">
        <v>606</v>
      </c>
      <c r="F42" s="275"/>
      <c r="G42" s="412">
        <v>166.4</v>
      </c>
      <c r="H42" s="305" t="s">
        <v>554</v>
      </c>
      <c r="I42" s="390"/>
      <c r="L42" s="511" t="s">
        <v>205</v>
      </c>
      <c r="M42" s="397">
        <v>6</v>
      </c>
      <c r="W42" s="780"/>
      <c r="X42" s="494">
        <f>X41+50000</f>
        <v>400000</v>
      </c>
      <c r="Y42" s="522" t="str">
        <v>NEG IRR</v>
      </c>
      <c r="Z42" s="522">
        <v>0.10168705078011908</v>
      </c>
      <c r="AA42" s="522">
        <v>0.83726972226623975</v>
      </c>
      <c r="AB42" s="522">
        <v>1.6890884899959535</v>
      </c>
      <c r="AC42" s="522">
        <v>2.5396167912093386</v>
      </c>
      <c r="AD42" s="522">
        <v>3.3896913309592662</v>
      </c>
      <c r="AE42" s="523">
        <v>4.2395998859327149</v>
      </c>
    </row>
    <row r="43" spans="2:74" x14ac:dyDescent="0.3">
      <c r="B43" s="726" t="s">
        <v>890</v>
      </c>
      <c r="C43" s="407">
        <v>60</v>
      </c>
      <c r="E43" s="61" t="s">
        <v>553</v>
      </c>
      <c r="F43" s="275"/>
      <c r="G43" s="416">
        <v>500</v>
      </c>
      <c r="H43" s="305" t="s">
        <v>554</v>
      </c>
      <c r="L43" s="511" t="s">
        <v>204</v>
      </c>
      <c r="M43" s="397">
        <f>52*9/12</f>
        <v>39</v>
      </c>
    </row>
    <row r="44" spans="2:74" x14ac:dyDescent="0.3">
      <c r="B44" s="726" t="s">
        <v>891</v>
      </c>
      <c r="C44" s="770">
        <f>AVERAGE(C42:C43)</f>
        <v>42</v>
      </c>
      <c r="E44" s="60" t="s">
        <v>715</v>
      </c>
      <c r="F44" s="498"/>
      <c r="G44" s="475">
        <v>5.0000000000000001E-4</v>
      </c>
      <c r="H44" s="316" t="s">
        <v>155</v>
      </c>
      <c r="L44" s="511" t="s">
        <v>607</v>
      </c>
      <c r="M44" s="404">
        <f>M40*M41*M39*G41</f>
        <v>110</v>
      </c>
    </row>
    <row r="45" spans="2:74" x14ac:dyDescent="0.3">
      <c r="B45" s="726" t="s">
        <v>892</v>
      </c>
      <c r="C45" s="771">
        <f>C34*(597-0.56*C44)</f>
        <v>2401.1607600000002</v>
      </c>
      <c r="L45" s="513" t="s">
        <v>608</v>
      </c>
      <c r="M45" s="336">
        <f>M44*M43*M42</f>
        <v>25740</v>
      </c>
    </row>
    <row r="46" spans="2:74" x14ac:dyDescent="0.3">
      <c r="B46" s="726" t="s">
        <v>893</v>
      </c>
      <c r="C46" s="772">
        <f>G28*C45</f>
        <v>504910748.70000005</v>
      </c>
    </row>
    <row r="47" spans="2:74" x14ac:dyDescent="0.3">
      <c r="B47" s="726" t="s">
        <v>894</v>
      </c>
      <c r="C47" s="770">
        <f>C46/(M43*M42*G33*M40*3600)</f>
        <v>34.055212157634031</v>
      </c>
      <c r="BV47" s="299" t="s">
        <v>31</v>
      </c>
    </row>
    <row r="48" spans="2:74" x14ac:dyDescent="0.3">
      <c r="B48" s="769" t="s">
        <v>895</v>
      </c>
      <c r="C48" s="408" t="str">
        <f>IF(C38-C47&gt;0,"YES","NO")</f>
        <v>YES</v>
      </c>
      <c r="BV48" s="27" t="s">
        <v>35</v>
      </c>
    </row>
    <row r="49" spans="74:74" x14ac:dyDescent="0.3">
      <c r="BV49" s="27" t="s">
        <v>39</v>
      </c>
    </row>
    <row r="50" spans="74:74" x14ac:dyDescent="0.3">
      <c r="BV50" s="27" t="s">
        <v>42</v>
      </c>
    </row>
    <row r="51" spans="74:74" x14ac:dyDescent="0.3">
      <c r="BV51" s="27" t="s">
        <v>45</v>
      </c>
    </row>
    <row r="52" spans="74:74" x14ac:dyDescent="0.3">
      <c r="BV52" s="30" t="s">
        <v>48</v>
      </c>
    </row>
    <row r="55" spans="74:74" x14ac:dyDescent="0.3">
      <c r="BV55" t="s">
        <v>81</v>
      </c>
    </row>
    <row r="56" spans="74:74" x14ac:dyDescent="0.3">
      <c r="BV56" t="s">
        <v>69</v>
      </c>
    </row>
  </sheetData>
  <mergeCells count="7">
    <mergeCell ref="W35:W42"/>
    <mergeCell ref="W11:AE11"/>
    <mergeCell ref="Y13:AE13"/>
    <mergeCell ref="W15:W22"/>
    <mergeCell ref="Y23:AE23"/>
    <mergeCell ref="W25:W32"/>
    <mergeCell ref="Y33:AE33"/>
  </mergeCells>
  <conditionalFormatting sqref="Y16:AE22">
    <cfRule type="containsText" dxfId="170" priority="13" operator="containsText" text="NEG IRR">
      <formula>NOT(ISERROR(SEARCH("NEG IRR",Y16)))</formula>
    </cfRule>
    <cfRule type="containsText" dxfId="169" priority="14" operator="containsText" text="ERROR">
      <formula>NOT(ISERROR(SEARCH("ERROR",Y16)))</formula>
    </cfRule>
    <cfRule type="cellIs" dxfId="168" priority="15" operator="between">
      <formula>$AG$16</formula>
      <formula>$AG$17</formula>
    </cfRule>
    <cfRule type="cellIs" dxfId="167" priority="16" operator="greaterThan">
      <formula>$AG$17</formula>
    </cfRule>
    <cfRule type="cellIs" dxfId="166" priority="17" operator="lessThan">
      <formula>$AG$16</formula>
    </cfRule>
  </conditionalFormatting>
  <conditionalFormatting sqref="Y26:AE32">
    <cfRule type="containsText" dxfId="165" priority="8" operator="containsText" text="NEG IRR">
      <formula>NOT(ISERROR(SEARCH("NEG IRR",Y26)))</formula>
    </cfRule>
    <cfRule type="containsText" dxfId="164" priority="9" operator="containsText" text="ERROR">
      <formula>NOT(ISERROR(SEARCH("ERROR",Y26)))</formula>
    </cfRule>
    <cfRule type="cellIs" dxfId="163" priority="10" operator="between">
      <formula>$AG$16</formula>
      <formula>$AG$17</formula>
    </cfRule>
    <cfRule type="cellIs" dxfId="162" priority="11" operator="greaterThan">
      <formula>$AG$17</formula>
    </cfRule>
    <cfRule type="cellIs" dxfId="161" priority="12" operator="lessThan">
      <formula>$AG$16</formula>
    </cfRule>
  </conditionalFormatting>
  <conditionalFormatting sqref="Y36:AE42">
    <cfRule type="containsText" dxfId="160" priority="3" operator="containsText" text="NEG IRR">
      <formula>NOT(ISERROR(SEARCH("NEG IRR",Y36)))</formula>
    </cfRule>
    <cfRule type="containsText" dxfId="159" priority="4" operator="containsText" text="ERROR">
      <formula>NOT(ISERROR(SEARCH("ERROR",Y36)))</formula>
    </cfRule>
    <cfRule type="cellIs" dxfId="158" priority="5" operator="between">
      <formula>$AG$16</formula>
      <formula>$AG$17</formula>
    </cfRule>
    <cfRule type="cellIs" dxfId="157" priority="6" operator="greaterThan">
      <formula>$AG$17</formula>
    </cfRule>
    <cfRule type="cellIs" dxfId="156" priority="7" operator="lessThan">
      <formula>$AG$16</formula>
    </cfRule>
  </conditionalFormatting>
  <conditionalFormatting sqref="C48">
    <cfRule type="containsText" dxfId="155" priority="1" operator="containsText" text="NO">
      <formula>NOT(ISERROR(SEARCH("NO",C48)))</formula>
    </cfRule>
    <cfRule type="containsText" dxfId="154" priority="2" operator="containsText" text="YES">
      <formula>NOT(ISERROR(SEARCH("YES",C48)))</formula>
    </cfRule>
  </conditionalFormatting>
  <dataValidations count="2">
    <dataValidation type="list" allowBlank="1" showInputMessage="1" showErrorMessage="1" sqref="D9" xr:uid="{E3D24EA7-D8DD-4347-9ACC-7542F2B70220}">
      <formula1>$BV$47:$BV$52</formula1>
    </dataValidation>
    <dataValidation type="list" allowBlank="1" showInputMessage="1" showErrorMessage="1" sqref="M27:M34" xr:uid="{27B15585-60CF-4352-B1DD-F7E9EB1CAE4A}">
      <formula1>$BV$55:$BV$56</formula1>
    </dataValidation>
  </dataValidations>
  <hyperlinks>
    <hyperlink ref="S3" r:id="rId1" xr:uid="{D9F7333C-7BB6-4347-AB70-9A47FCF5D5C8}"/>
    <hyperlink ref="S4" r:id="rId2" xr:uid="{7180E95B-5CB7-4A0E-88BC-C944DCA799F1}"/>
    <hyperlink ref="S5" r:id="rId3" xr:uid="{3F331B2D-74D1-4FDC-9021-1158367118BE}"/>
    <hyperlink ref="S6" r:id="rId4" xr:uid="{918AC54C-4D95-42DD-9D5A-627AC6479C87}"/>
  </hyperlinks>
  <pageMargins left="0.7" right="0.7" top="0.75" bottom="0.75" header="0.3" footer="0.3"/>
  <pageSetup orientation="portrait" r:id="rId5"/>
  <drawing r:id="rId6"/>
  <legacyDrawing r:id="rId7"/>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D3E1B5-CDA9-404A-A3F2-8F0D49C45AC4}">
  <sheetPr>
    <tabColor rgb="FF7030A0"/>
  </sheetPr>
  <dimension ref="A1:Y44"/>
  <sheetViews>
    <sheetView zoomScale="80" zoomScaleNormal="80" workbookViewId="0"/>
  </sheetViews>
  <sheetFormatPr defaultRowHeight="14.4" x14ac:dyDescent="0.3"/>
  <cols>
    <col min="1" max="1" width="32.33203125" customWidth="1"/>
    <col min="2" max="2" width="14.5546875" customWidth="1"/>
    <col min="3" max="4" width="16.44140625" customWidth="1"/>
    <col min="5" max="5" width="14.44140625" customWidth="1"/>
    <col min="6" max="6" width="16.33203125" customWidth="1"/>
    <col min="7" max="7" width="13.5546875" customWidth="1"/>
  </cols>
  <sheetData>
    <row r="1" spans="1:25" x14ac:dyDescent="0.3">
      <c r="B1" s="257" t="s">
        <v>478</v>
      </c>
      <c r="E1" s="257" t="s">
        <v>479</v>
      </c>
    </row>
    <row r="2" spans="1:25" s="374" customFormat="1" x14ac:dyDescent="0.3">
      <c r="A2" s="387" t="s">
        <v>421</v>
      </c>
      <c r="B2" s="381" t="s">
        <v>422</v>
      </c>
      <c r="C2" s="374" t="s">
        <v>480</v>
      </c>
      <c r="D2" s="374" t="s">
        <v>503</v>
      </c>
      <c r="E2" s="381" t="s">
        <v>422</v>
      </c>
      <c r="F2" s="374" t="s">
        <v>480</v>
      </c>
      <c r="G2" s="374" t="s">
        <v>503</v>
      </c>
    </row>
    <row r="3" spans="1:25" x14ac:dyDescent="0.3">
      <c r="A3" s="368" t="s">
        <v>426</v>
      </c>
      <c r="B3" s="271">
        <v>1</v>
      </c>
      <c r="C3" s="271">
        <v>2300</v>
      </c>
      <c r="D3" s="388">
        <f>C3/Currency!$E$11</f>
        <v>2.3954313100927531</v>
      </c>
      <c r="E3" s="271"/>
      <c r="F3" s="271"/>
      <c r="G3" s="388">
        <f>F3/Currency!$E$11</f>
        <v>0</v>
      </c>
      <c r="J3" s="354" t="s">
        <v>481</v>
      </c>
    </row>
    <row r="4" spans="1:25" x14ac:dyDescent="0.3">
      <c r="A4" s="377" t="s">
        <v>429</v>
      </c>
      <c r="B4" s="271">
        <v>1</v>
      </c>
      <c r="C4" s="271">
        <v>150</v>
      </c>
      <c r="D4" s="388">
        <f>C4/Currency!$E$11</f>
        <v>0.15622378109300564</v>
      </c>
      <c r="E4" s="271">
        <v>1</v>
      </c>
      <c r="F4" s="271">
        <v>3211.68</v>
      </c>
      <c r="G4" s="388">
        <f>F4/Currency!$E$11</f>
        <v>3.3449386217385624</v>
      </c>
      <c r="J4" s="354" t="s">
        <v>481</v>
      </c>
      <c r="Y4" s="354" t="s">
        <v>482</v>
      </c>
    </row>
    <row r="5" spans="1:25" x14ac:dyDescent="0.3">
      <c r="A5" s="368" t="s">
        <v>432</v>
      </c>
      <c r="B5" s="271">
        <v>1</v>
      </c>
      <c r="C5" s="271">
        <f>AVERAGE(400,600)</f>
        <v>500</v>
      </c>
      <c r="D5" s="388">
        <f>C5/Currency!$E$11</f>
        <v>0.52074593697668548</v>
      </c>
      <c r="E5" s="271">
        <v>1</v>
      </c>
      <c r="F5" s="271">
        <v>14234</v>
      </c>
      <c r="G5" s="388">
        <f>F5/Currency!$E$11</f>
        <v>14.824595333852283</v>
      </c>
      <c r="J5" s="354" t="s">
        <v>483</v>
      </c>
      <c r="S5" s="354" t="s">
        <v>484</v>
      </c>
    </row>
    <row r="6" spans="1:25" x14ac:dyDescent="0.3">
      <c r="A6" s="368" t="s">
        <v>435</v>
      </c>
      <c r="B6" s="271">
        <v>1</v>
      </c>
      <c r="C6" s="271">
        <f>AVERAGE(1400,1600)</f>
        <v>1500</v>
      </c>
      <c r="D6" s="388">
        <f>C6/Currency!$E$11</f>
        <v>1.5622378109300565</v>
      </c>
      <c r="E6" s="271">
        <v>1</v>
      </c>
      <c r="F6" s="271">
        <v>8770.3700000000008</v>
      </c>
      <c r="G6" s="388">
        <f>F6/Currency!$E$11</f>
        <v>9.1342690865644265</v>
      </c>
      <c r="J6" s="354" t="s">
        <v>483</v>
      </c>
      <c r="S6" s="354" t="s">
        <v>482</v>
      </c>
    </row>
    <row r="7" spans="1:25" x14ac:dyDescent="0.3">
      <c r="A7" s="368" t="s">
        <v>438</v>
      </c>
      <c r="B7" s="271">
        <v>1</v>
      </c>
      <c r="C7" s="271">
        <v>1400</v>
      </c>
      <c r="D7" s="388">
        <f>C7/Currency!$E$11</f>
        <v>1.4580886235347195</v>
      </c>
      <c r="E7" s="271"/>
      <c r="F7" s="271"/>
      <c r="J7" s="354" t="s">
        <v>483</v>
      </c>
    </row>
    <row r="8" spans="1:25" x14ac:dyDescent="0.3">
      <c r="A8" s="368" t="s">
        <v>485</v>
      </c>
      <c r="B8" s="271">
        <v>1</v>
      </c>
      <c r="C8" s="271">
        <f>AVERAGE(1100,1300)</f>
        <v>1200</v>
      </c>
      <c r="D8" s="388">
        <f>C8/Currency!$E$11</f>
        <v>1.2497902487440451</v>
      </c>
      <c r="E8" s="271"/>
      <c r="F8" s="271"/>
      <c r="J8" s="354" t="s">
        <v>481</v>
      </c>
    </row>
    <row r="9" spans="1:25" x14ac:dyDescent="0.3">
      <c r="A9" s="368" t="s">
        <v>486</v>
      </c>
      <c r="B9" s="271">
        <v>1</v>
      </c>
      <c r="C9" s="271">
        <f>AVERAGE(1000,5000)</f>
        <v>3000</v>
      </c>
      <c r="D9" s="388">
        <f>C9/Currency!$E$11</f>
        <v>3.1244756218601131</v>
      </c>
      <c r="E9" s="271"/>
      <c r="F9" s="271"/>
      <c r="J9" s="354" t="s">
        <v>481</v>
      </c>
    </row>
    <row r="10" spans="1:25" x14ac:dyDescent="0.3">
      <c r="A10" s="368" t="s">
        <v>487</v>
      </c>
      <c r="B10" s="271">
        <v>1</v>
      </c>
      <c r="C10" s="271">
        <v>300</v>
      </c>
      <c r="D10" s="388">
        <f>C10/Currency!$E$11</f>
        <v>0.31244756218601127</v>
      </c>
      <c r="E10" s="271"/>
      <c r="F10" s="271"/>
      <c r="J10" s="354" t="s">
        <v>481</v>
      </c>
    </row>
    <row r="11" spans="1:25" x14ac:dyDescent="0.3">
      <c r="A11" s="368" t="s">
        <v>488</v>
      </c>
      <c r="B11" s="271">
        <v>1</v>
      </c>
      <c r="C11" s="271">
        <v>1000</v>
      </c>
      <c r="D11" s="388">
        <f>C11/Currency!$E$11</f>
        <v>1.041491873953371</v>
      </c>
      <c r="E11" s="271"/>
      <c r="F11" s="271"/>
      <c r="J11" s="354" t="s">
        <v>489</v>
      </c>
    </row>
    <row r="12" spans="1:25" x14ac:dyDescent="0.3">
      <c r="A12" s="368"/>
      <c r="B12" s="271"/>
      <c r="C12" s="271"/>
      <c r="D12" s="388">
        <f>C12/Currency!$E$11</f>
        <v>0</v>
      </c>
      <c r="E12" s="271"/>
      <c r="F12" s="271"/>
      <c r="J12" s="354"/>
    </row>
    <row r="13" spans="1:25" x14ac:dyDescent="0.3">
      <c r="A13" s="379" t="s">
        <v>440</v>
      </c>
      <c r="B13" s="271"/>
      <c r="C13" s="271"/>
      <c r="D13" s="388">
        <f>C13/Currency!$E$11</f>
        <v>0</v>
      </c>
      <c r="E13" s="271"/>
      <c r="F13" s="271"/>
    </row>
    <row r="14" spans="1:25" x14ac:dyDescent="0.3">
      <c r="A14" s="368" t="s">
        <v>441</v>
      </c>
      <c r="B14" s="271">
        <v>1</v>
      </c>
      <c r="C14" s="271">
        <f>AVERAGE(100,400)</f>
        <v>250</v>
      </c>
      <c r="D14" s="388">
        <f>C14/Currency!$E$11</f>
        <v>0.26037296848834274</v>
      </c>
      <c r="E14" s="271"/>
      <c r="F14" s="271"/>
      <c r="J14" s="354" t="s">
        <v>490</v>
      </c>
    </row>
    <row r="15" spans="1:25" x14ac:dyDescent="0.3">
      <c r="A15" s="368" t="s">
        <v>442</v>
      </c>
      <c r="B15" s="271">
        <v>1</v>
      </c>
      <c r="C15" s="271">
        <v>700</v>
      </c>
      <c r="D15" s="388">
        <f>C15/Currency!$E$11</f>
        <v>0.72904431176735973</v>
      </c>
      <c r="E15" s="271"/>
      <c r="F15" s="271"/>
      <c r="J15" s="354" t="s">
        <v>481</v>
      </c>
    </row>
    <row r="16" spans="1:25" x14ac:dyDescent="0.3">
      <c r="A16" s="368" t="s">
        <v>444</v>
      </c>
      <c r="B16" s="271"/>
      <c r="C16" s="271"/>
      <c r="D16" s="388">
        <f>C16/Currency!$E$11</f>
        <v>0</v>
      </c>
      <c r="E16" s="271"/>
      <c r="F16" s="271"/>
    </row>
    <row r="17" spans="1:10" x14ac:dyDescent="0.3">
      <c r="A17" s="368" t="s">
        <v>445</v>
      </c>
      <c r="B17" s="271">
        <v>1</v>
      </c>
      <c r="C17" s="271">
        <v>400</v>
      </c>
      <c r="D17" s="388">
        <f>C17/Currency!$E$11</f>
        <v>0.4165967495813484</v>
      </c>
      <c r="E17" s="271"/>
      <c r="F17" s="271"/>
      <c r="J17" s="354" t="s">
        <v>481</v>
      </c>
    </row>
    <row r="18" spans="1:10" x14ac:dyDescent="0.3">
      <c r="A18" s="368" t="s">
        <v>447</v>
      </c>
      <c r="B18" s="271">
        <v>1</v>
      </c>
      <c r="C18" s="271">
        <v>250</v>
      </c>
      <c r="D18" s="388">
        <f>C18/Currency!$E$11</f>
        <v>0.26037296848834274</v>
      </c>
      <c r="E18" s="271"/>
      <c r="F18" s="271"/>
      <c r="J18" s="354" t="s">
        <v>483</v>
      </c>
    </row>
    <row r="19" spans="1:10" x14ac:dyDescent="0.3">
      <c r="A19" s="368" t="s">
        <v>448</v>
      </c>
      <c r="B19" s="271">
        <v>1</v>
      </c>
      <c r="C19" s="271">
        <v>200</v>
      </c>
      <c r="D19" s="388">
        <f>C19/Currency!$E$11</f>
        <v>0.2082983747906742</v>
      </c>
      <c r="E19" s="271"/>
      <c r="F19" s="271"/>
      <c r="J19" s="354" t="s">
        <v>481</v>
      </c>
    </row>
    <row r="20" spans="1:10" x14ac:dyDescent="0.3">
      <c r="A20" s="368" t="s">
        <v>449</v>
      </c>
      <c r="B20" s="271"/>
      <c r="C20" s="271"/>
      <c r="D20" s="388">
        <f>C20/Currency!$E$11</f>
        <v>0</v>
      </c>
      <c r="E20" s="271"/>
      <c r="F20" s="271"/>
    </row>
    <row r="21" spans="1:10" x14ac:dyDescent="0.3">
      <c r="A21" s="368" t="s">
        <v>453</v>
      </c>
      <c r="B21" s="271">
        <v>1</v>
      </c>
      <c r="C21" s="271">
        <v>500</v>
      </c>
      <c r="D21" s="388">
        <f>C21/Currency!$E$11</f>
        <v>0.52074593697668548</v>
      </c>
      <c r="E21" s="271"/>
      <c r="F21" s="271"/>
      <c r="J21" s="354" t="s">
        <v>481</v>
      </c>
    </row>
    <row r="22" spans="1:10" x14ac:dyDescent="0.3">
      <c r="A22" s="368" t="s">
        <v>455</v>
      </c>
      <c r="B22" s="271">
        <v>1</v>
      </c>
      <c r="C22" s="271">
        <v>1300</v>
      </c>
      <c r="D22" s="388">
        <f>C22/Currency!$E$11</f>
        <v>1.3539394361393822</v>
      </c>
      <c r="E22" s="271"/>
      <c r="F22" s="271"/>
      <c r="J22" s="354" t="s">
        <v>483</v>
      </c>
    </row>
    <row r="23" spans="1:10" x14ac:dyDescent="0.3">
      <c r="A23" s="368" t="s">
        <v>491</v>
      </c>
      <c r="B23" s="271">
        <v>1</v>
      </c>
      <c r="C23" s="271">
        <f>AVERAGE(1200,1500)</f>
        <v>1350</v>
      </c>
      <c r="D23" s="388">
        <f>C23/Currency!$E$11</f>
        <v>1.4060140298370509</v>
      </c>
      <c r="E23" s="271"/>
      <c r="F23" s="271"/>
      <c r="J23" s="354" t="s">
        <v>492</v>
      </c>
    </row>
    <row r="24" spans="1:10" x14ac:dyDescent="0.3">
      <c r="A24" s="368" t="s">
        <v>461</v>
      </c>
      <c r="B24" s="271">
        <v>1</v>
      </c>
      <c r="C24" s="271">
        <v>500</v>
      </c>
      <c r="D24" s="388">
        <f>C24/Currency!$E$11</f>
        <v>0.52074593697668548</v>
      </c>
      <c r="E24" s="271"/>
      <c r="F24" s="271"/>
      <c r="J24" s="354" t="s">
        <v>481</v>
      </c>
    </row>
    <row r="25" spans="1:10" x14ac:dyDescent="0.3">
      <c r="A25" s="368" t="s">
        <v>493</v>
      </c>
      <c r="B25" s="271">
        <v>1</v>
      </c>
      <c r="C25" s="271">
        <f>AVERAGE(60,100)</f>
        <v>80</v>
      </c>
      <c r="D25" s="388">
        <f>C25/Currency!$E$11</f>
        <v>8.3319349916269672E-2</v>
      </c>
      <c r="E25" s="271"/>
      <c r="F25" s="271"/>
      <c r="J25" s="354" t="s">
        <v>494</v>
      </c>
    </row>
    <row r="26" spans="1:10" x14ac:dyDescent="0.3">
      <c r="B26" s="271"/>
      <c r="C26" s="271"/>
      <c r="D26" s="271"/>
      <c r="E26" s="271"/>
      <c r="F26" s="271"/>
    </row>
    <row r="27" spans="1:10" x14ac:dyDescent="0.3">
      <c r="B27" s="271"/>
      <c r="C27" s="271"/>
      <c r="D27" s="271"/>
      <c r="E27" s="271"/>
      <c r="F27" s="271"/>
    </row>
    <row r="28" spans="1:10" x14ac:dyDescent="0.3">
      <c r="B28" s="271"/>
      <c r="C28" s="271"/>
      <c r="D28" s="271"/>
      <c r="E28" s="271"/>
      <c r="F28" s="271"/>
    </row>
    <row r="29" spans="1:10" s="374" customFormat="1" x14ac:dyDescent="0.3">
      <c r="A29" s="379" t="s">
        <v>464</v>
      </c>
      <c r="B29" s="381"/>
      <c r="C29" s="381"/>
      <c r="D29" s="381"/>
      <c r="E29" s="381"/>
      <c r="F29" s="381"/>
    </row>
    <row r="30" spans="1:10" x14ac:dyDescent="0.3">
      <c r="A30" s="368" t="s">
        <v>465</v>
      </c>
      <c r="B30" s="271">
        <v>1</v>
      </c>
      <c r="C30" s="271" t="s">
        <v>495</v>
      </c>
      <c r="D30" s="271"/>
      <c r="E30" s="271"/>
      <c r="F30" s="271"/>
      <c r="J30" s="354" t="s">
        <v>496</v>
      </c>
    </row>
    <row r="31" spans="1:10" x14ac:dyDescent="0.3">
      <c r="A31" t="s">
        <v>402</v>
      </c>
      <c r="B31" s="271">
        <v>1</v>
      </c>
      <c r="C31" s="271" t="s">
        <v>408</v>
      </c>
      <c r="D31" s="271"/>
      <c r="E31" s="271"/>
      <c r="F31" s="271"/>
      <c r="J31" s="354" t="s">
        <v>414</v>
      </c>
    </row>
    <row r="32" spans="1:10" x14ac:dyDescent="0.3">
      <c r="A32" t="s">
        <v>403</v>
      </c>
      <c r="B32" s="271">
        <v>1</v>
      </c>
      <c r="C32" s="271" t="s">
        <v>409</v>
      </c>
      <c r="D32" s="271"/>
      <c r="E32" s="271"/>
      <c r="F32" s="271"/>
      <c r="J32" s="354" t="s">
        <v>416</v>
      </c>
    </row>
    <row r="33" spans="1:10" x14ac:dyDescent="0.3">
      <c r="A33" t="s">
        <v>405</v>
      </c>
      <c r="B33" s="271">
        <v>1</v>
      </c>
      <c r="C33" s="271" t="s">
        <v>411</v>
      </c>
      <c r="D33" s="271"/>
      <c r="E33" s="271"/>
      <c r="F33" s="271"/>
      <c r="J33" s="354" t="s">
        <v>415</v>
      </c>
    </row>
    <row r="34" spans="1:10" x14ac:dyDescent="0.3">
      <c r="A34" t="s">
        <v>406</v>
      </c>
      <c r="B34" s="271">
        <v>1</v>
      </c>
      <c r="C34" s="271" t="s">
        <v>412</v>
      </c>
      <c r="D34" s="271"/>
      <c r="E34" s="271"/>
      <c r="F34" s="271"/>
      <c r="J34" s="354" t="s">
        <v>417</v>
      </c>
    </row>
    <row r="35" spans="1:10" x14ac:dyDescent="0.3">
      <c r="A35" t="s">
        <v>407</v>
      </c>
      <c r="B35" s="271">
        <v>1</v>
      </c>
      <c r="C35" s="271" t="s">
        <v>413</v>
      </c>
      <c r="D35" s="271"/>
      <c r="E35" s="271"/>
      <c r="F35" s="271"/>
      <c r="J35" s="354" t="s">
        <v>418</v>
      </c>
    </row>
    <row r="36" spans="1:10" x14ac:dyDescent="0.3">
      <c r="A36" t="s">
        <v>497</v>
      </c>
      <c r="B36" s="271">
        <v>1</v>
      </c>
      <c r="C36" s="271" t="s">
        <v>498</v>
      </c>
      <c r="D36" s="271"/>
      <c r="E36" s="271"/>
      <c r="F36" s="271"/>
      <c r="J36" s="354" t="s">
        <v>469</v>
      </c>
    </row>
    <row r="37" spans="1:10" x14ac:dyDescent="0.3">
      <c r="A37" t="s">
        <v>499</v>
      </c>
      <c r="B37" s="271">
        <v>1</v>
      </c>
      <c r="C37" s="271" t="s">
        <v>468</v>
      </c>
      <c r="D37" s="271"/>
      <c r="E37" s="271"/>
      <c r="F37" s="271"/>
      <c r="J37" s="354" t="s">
        <v>469</v>
      </c>
    </row>
    <row r="38" spans="1:10" x14ac:dyDescent="0.3">
      <c r="A38" t="s">
        <v>470</v>
      </c>
      <c r="B38" s="271" t="s">
        <v>471</v>
      </c>
      <c r="C38" s="384">
        <v>0.3</v>
      </c>
      <c r="D38" s="384"/>
      <c r="E38" s="271"/>
      <c r="F38" s="271"/>
      <c r="J38" s="354" t="s">
        <v>469</v>
      </c>
    </row>
    <row r="39" spans="1:10" x14ac:dyDescent="0.3">
      <c r="A39" t="s">
        <v>472</v>
      </c>
      <c r="B39" s="271">
        <v>1</v>
      </c>
      <c r="C39" s="386">
        <v>364497</v>
      </c>
      <c r="D39" s="386"/>
      <c r="E39" s="271"/>
      <c r="F39" s="271"/>
      <c r="J39" s="354" t="s">
        <v>500</v>
      </c>
    </row>
    <row r="40" spans="1:10" x14ac:dyDescent="0.3">
      <c r="A40" t="s">
        <v>501</v>
      </c>
      <c r="B40" s="271" t="s">
        <v>476</v>
      </c>
      <c r="C40" s="271" t="s">
        <v>502</v>
      </c>
      <c r="D40" s="271"/>
      <c r="E40" s="271"/>
      <c r="F40" s="271"/>
      <c r="J40" s="354" t="s">
        <v>477</v>
      </c>
    </row>
    <row r="41" spans="1:10" x14ac:dyDescent="0.3">
      <c r="B41" s="271"/>
      <c r="C41" s="271"/>
      <c r="D41" s="271"/>
      <c r="E41" s="271"/>
      <c r="F41" s="271"/>
    </row>
    <row r="44" spans="1:10" x14ac:dyDescent="0.3">
      <c r="E44" t="s">
        <v>456</v>
      </c>
    </row>
  </sheetData>
  <hyperlinks>
    <hyperlink ref="J5" r:id="rId1" xr:uid="{AB277875-B1B1-4EC5-8BE7-4B17D8F10A1E}"/>
    <hyperlink ref="J6" r:id="rId2" xr:uid="{E02A5CE9-203C-4F92-8EE5-A3EC0B29AF01}"/>
    <hyperlink ref="J7" r:id="rId3" xr:uid="{C66B7503-58F1-4B97-911F-B2CBCEB01046}"/>
    <hyperlink ref="J18" r:id="rId4" xr:uid="{014DE2F0-4ED1-4CA8-89DD-50FC4AA4F835}"/>
    <hyperlink ref="J22" r:id="rId5" xr:uid="{AB12699D-534D-4648-8289-AF0F34FCF76E}"/>
    <hyperlink ref="S5" r:id="rId6" xr:uid="{13851166-C1C8-41B4-B059-AA30D0EF4D09}"/>
    <hyperlink ref="J4" r:id="rId7" xr:uid="{3D7CB49D-89C5-45FA-9B20-DD45F9F31EE4}"/>
    <hyperlink ref="J17" r:id="rId8" xr:uid="{89CFAC5B-154E-4648-8DF2-809E5341227A}"/>
    <hyperlink ref="J15" r:id="rId9" xr:uid="{5EAF997F-68CC-48DE-8453-F409DCAF1B3C}"/>
    <hyperlink ref="J24" r:id="rId10" xr:uid="{1A1EB722-C242-4F6C-A518-353B3A3DFD61}"/>
    <hyperlink ref="J19" r:id="rId11" xr:uid="{A72C6EAA-2FE1-4CF4-8E9A-9CFAE3223464}"/>
    <hyperlink ref="J21" r:id="rId12" xr:uid="{A911B1D8-2810-4D8A-8ECE-397CF7E57860}"/>
    <hyperlink ref="J3" r:id="rId13" xr:uid="{D3E651CE-1B3C-4653-916E-3FD21C59FFA6}"/>
    <hyperlink ref="J9" r:id="rId14" xr:uid="{64F1BDEF-F9EA-4A38-8010-C21020A858C8}"/>
    <hyperlink ref="J10" r:id="rId15" xr:uid="{612E9660-68F0-4CF5-9388-1EB6CBC66FB1}"/>
    <hyperlink ref="J14" r:id="rId16" xr:uid="{86DCE154-2880-44AC-8003-635973D8CBF9}"/>
    <hyperlink ref="J11" r:id="rId17" xr:uid="{E32EAB48-1E2B-4B73-9AF3-9419AAF9EC24}"/>
    <hyperlink ref="J23" r:id="rId18" xr:uid="{068152D9-15D6-45FA-9AD3-CFE896FE2C8A}"/>
    <hyperlink ref="J25" r:id="rId19" xr:uid="{95D1C08F-F3AE-4C6E-BB2A-57CF7A446603}"/>
    <hyperlink ref="J8" r:id="rId20" xr:uid="{267839CE-194A-458C-85C0-CF740FB50DEF}"/>
    <hyperlink ref="Y4" r:id="rId21" xr:uid="{26D7B4C7-718E-4A0B-87D9-F5C242BB2DAF}"/>
    <hyperlink ref="S6" r:id="rId22" xr:uid="{C087546C-A8FA-4DD5-B858-7B84104A5A6E}"/>
    <hyperlink ref="J30" r:id="rId23" xr:uid="{668C4FFE-CABA-41E9-A171-96EBECA9763F}"/>
    <hyperlink ref="J36" r:id="rId24" xr:uid="{9823CF7D-CB3C-40DF-853B-46B5B5722160}"/>
    <hyperlink ref="J37" r:id="rId25" xr:uid="{C2710F9A-B646-47AA-BFE1-775CDB91147A}"/>
    <hyperlink ref="J38" r:id="rId26" xr:uid="{D29746A8-515A-4A6E-99F1-A1978BD9D06C}"/>
    <hyperlink ref="J39" r:id="rId27" xr:uid="{D26E6E8E-1023-4D04-9631-F0F5B0180844}"/>
    <hyperlink ref="J32" r:id="rId28" xr:uid="{5D57E18D-5FB4-4992-867C-DB94FD668422}"/>
    <hyperlink ref="J33" r:id="rId29" xr:uid="{6AB467B0-41D4-43A0-AD98-A0C6F262494E}"/>
    <hyperlink ref="J34" r:id="rId30" xr:uid="{4D2BBB88-394A-44A0-A7F5-D4F285AEEB55}"/>
    <hyperlink ref="J31" r:id="rId31" xr:uid="{0F38EFFD-F875-4B51-99CE-727BC85CF3CB}"/>
    <hyperlink ref="J35" r:id="rId32" xr:uid="{7EB9DEF1-A6C8-416F-B326-C985C7496071}"/>
    <hyperlink ref="J40" r:id="rId33" xr:uid="{D66D3ABD-179E-449A-B052-8EFACD75C2A0}"/>
  </hyperlinks>
  <pageMargins left="0.7" right="0.7" top="0.75" bottom="0.75" header="0.3" footer="0.3"/>
  <pageSetup orientation="portrait" r:id="rId34"/>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6DA552-7CE3-410A-BCBE-E55B4CC42F4A}">
  <sheetPr>
    <tabColor rgb="FF7030A0"/>
  </sheetPr>
  <dimension ref="B2:G10"/>
  <sheetViews>
    <sheetView zoomScale="80" zoomScaleNormal="80" workbookViewId="0"/>
  </sheetViews>
  <sheetFormatPr defaultRowHeight="14.4" x14ac:dyDescent="0.3"/>
  <cols>
    <col min="1" max="1" width="2.88671875" customWidth="1"/>
    <col min="2" max="2" width="43.6640625" customWidth="1"/>
    <col min="3" max="3" width="14.5546875" customWidth="1"/>
    <col min="4" max="4" width="11.5546875" bestFit="1" customWidth="1"/>
    <col min="5" max="5" width="10.33203125" bestFit="1" customWidth="1"/>
  </cols>
  <sheetData>
    <row r="2" spans="2:7" ht="28.8" x14ac:dyDescent="0.3">
      <c r="B2" s="257" t="s">
        <v>582</v>
      </c>
      <c r="C2" s="33" t="s">
        <v>581</v>
      </c>
      <c r="D2" s="33" t="s">
        <v>580</v>
      </c>
      <c r="E2" s="33" t="s">
        <v>579</v>
      </c>
      <c r="F2" s="33" t="s">
        <v>578</v>
      </c>
      <c r="G2" s="257"/>
    </row>
    <row r="3" spans="2:7" x14ac:dyDescent="0.3">
      <c r="B3" t="s">
        <v>577</v>
      </c>
      <c r="C3">
        <v>9.7000000000000003E-3</v>
      </c>
      <c r="D3">
        <v>400</v>
      </c>
      <c r="E3">
        <v>200</v>
      </c>
      <c r="F3">
        <f t="shared" ref="F3:F8" si="0">C3*(D3+E3)</f>
        <v>5.82</v>
      </c>
    </row>
    <row r="4" spans="2:7" x14ac:dyDescent="0.3">
      <c r="B4" t="s">
        <v>576</v>
      </c>
      <c r="C4">
        <v>9.7000000000000003E-3</v>
      </c>
      <c r="D4">
        <v>100</v>
      </c>
      <c r="E4">
        <v>200</v>
      </c>
      <c r="F4">
        <f t="shared" si="0"/>
        <v>2.91</v>
      </c>
    </row>
    <row r="5" spans="2:7" x14ac:dyDescent="0.3">
      <c r="B5" t="s">
        <v>575</v>
      </c>
      <c r="C5">
        <v>9.7000000000000003E-3</v>
      </c>
      <c r="D5">
        <v>1000</v>
      </c>
      <c r="E5">
        <v>200</v>
      </c>
      <c r="F5">
        <f t="shared" si="0"/>
        <v>11.64</v>
      </c>
    </row>
    <row r="6" spans="2:7" x14ac:dyDescent="0.3">
      <c r="B6" t="s">
        <v>574</v>
      </c>
      <c r="C6">
        <v>9.7000000000000003E-3</v>
      </c>
      <c r="D6">
        <v>500</v>
      </c>
      <c r="E6">
        <v>200</v>
      </c>
      <c r="F6">
        <f t="shared" si="0"/>
        <v>6.79</v>
      </c>
    </row>
    <row r="7" spans="2:7" x14ac:dyDescent="0.3">
      <c r="B7" t="s">
        <v>573</v>
      </c>
      <c r="C7">
        <v>9.7000000000000003E-3</v>
      </c>
      <c r="D7">
        <v>1800</v>
      </c>
      <c r="E7">
        <v>200</v>
      </c>
      <c r="F7">
        <f t="shared" si="0"/>
        <v>19.400000000000002</v>
      </c>
    </row>
    <row r="8" spans="2:7" x14ac:dyDescent="0.3">
      <c r="B8" t="s">
        <v>572</v>
      </c>
      <c r="C8">
        <v>9.7000000000000003E-3</v>
      </c>
      <c r="D8">
        <v>850</v>
      </c>
      <c r="E8">
        <v>200</v>
      </c>
      <c r="F8">
        <f t="shared" si="0"/>
        <v>10.185</v>
      </c>
    </row>
    <row r="10" spans="2:7" x14ac:dyDescent="0.3">
      <c r="B10" t="s">
        <v>571</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1BE6D9-06C8-47BD-8889-E39129D6CDAB}">
  <sheetPr>
    <tabColor theme="9"/>
  </sheetPr>
  <dimension ref="B2:BV56"/>
  <sheetViews>
    <sheetView showGridLines="0" tabSelected="1" zoomScale="80" zoomScaleNormal="80" workbookViewId="0"/>
  </sheetViews>
  <sheetFormatPr defaultRowHeight="14.4" x14ac:dyDescent="0.3"/>
  <cols>
    <col min="1" max="1" width="3.44140625" customWidth="1"/>
    <col min="2" max="2" width="41.6640625" customWidth="1"/>
    <col min="3" max="3" width="18.6640625" customWidth="1"/>
    <col min="5" max="5" width="20" customWidth="1"/>
    <col min="6" max="6" width="25.88671875" customWidth="1"/>
    <col min="7" max="7" width="17" customWidth="1"/>
    <col min="8" max="8" width="14.109375" customWidth="1"/>
    <col min="9" max="9" width="32.44140625" customWidth="1"/>
    <col min="10" max="10" width="11.6640625" customWidth="1"/>
    <col min="11" max="11" width="6.109375" customWidth="1"/>
    <col min="12" max="12" width="45.88671875" customWidth="1"/>
    <col min="13" max="13" width="21.6640625" customWidth="1"/>
    <col min="14" max="14" width="20" customWidth="1"/>
    <col min="15" max="15" width="18.6640625" customWidth="1"/>
    <col min="17" max="17" width="14" customWidth="1"/>
    <col min="24" max="24" width="11.109375" customWidth="1"/>
    <col min="25" max="31" width="13.109375" bestFit="1" customWidth="1"/>
  </cols>
  <sheetData>
    <row r="2" spans="2:33" ht="15" x14ac:dyDescent="0.3">
      <c r="S2" s="365" t="s">
        <v>330</v>
      </c>
    </row>
    <row r="3" spans="2:33" x14ac:dyDescent="0.3">
      <c r="S3" s="366" t="s">
        <v>331</v>
      </c>
    </row>
    <row r="4" spans="2:33" x14ac:dyDescent="0.3">
      <c r="S4" s="366" t="s">
        <v>332</v>
      </c>
    </row>
    <row r="5" spans="2:33" x14ac:dyDescent="0.3">
      <c r="S5" s="366" t="s">
        <v>333</v>
      </c>
    </row>
    <row r="6" spans="2:33" x14ac:dyDescent="0.3">
      <c r="B6" s="19" t="s">
        <v>20</v>
      </c>
      <c r="C6" s="20"/>
      <c r="D6" s="21"/>
      <c r="F6" s="590" t="s">
        <v>19</v>
      </c>
      <c r="G6" s="317">
        <v>44197</v>
      </c>
      <c r="I6" s="321" t="s">
        <v>67</v>
      </c>
      <c r="J6" s="320" t="s">
        <v>34</v>
      </c>
      <c r="L6" s="330" t="s">
        <v>16</v>
      </c>
      <c r="M6" s="11" t="s">
        <v>17</v>
      </c>
      <c r="N6" s="325" t="s">
        <v>173</v>
      </c>
      <c r="O6" s="12" t="s">
        <v>172</v>
      </c>
      <c r="Q6" s="1" t="s">
        <v>0</v>
      </c>
      <c r="S6" s="366" t="s">
        <v>334</v>
      </c>
    </row>
    <row r="7" spans="2:33" x14ac:dyDescent="0.3">
      <c r="B7" s="49" t="s">
        <v>21</v>
      </c>
      <c r="C7" s="22" t="s">
        <v>22</v>
      </c>
      <c r="D7" s="23"/>
      <c r="I7" s="500" t="s">
        <v>359</v>
      </c>
      <c r="J7" s="13">
        <f>' Nairobi Fruit_Veg Prices'!H13</f>
        <v>3.6899381843105674</v>
      </c>
      <c r="K7" s="107"/>
      <c r="L7" s="331" t="s">
        <v>695</v>
      </c>
      <c r="M7" s="332" t="s">
        <v>171</v>
      </c>
      <c r="N7" s="13">
        <f>IF(D9="Djibouti",'Data Sources'!D33,IF(D9="Ethiopia",'Data Sources'!D33,IF(D9="Kenya",'Data Sources'!H33,IF(D9="Rwanda",'Data Sources'!H33,IF(D9="Tanzania",'Data Sources'!G33,IF(D9="Uganda",'Data Sources'!H33,0))))))</f>
        <v>0.32345013477088946</v>
      </c>
      <c r="O7" s="504">
        <f>N7*G25*(1+$R$12)</f>
        <v>177897.57412398921</v>
      </c>
      <c r="Q7" s="2" t="s">
        <v>1</v>
      </c>
      <c r="S7" s="354"/>
    </row>
    <row r="8" spans="2:33" x14ac:dyDescent="0.3">
      <c r="B8" s="509" t="s">
        <v>23</v>
      </c>
      <c r="C8" s="15" t="s">
        <v>354</v>
      </c>
      <c r="D8" s="24"/>
      <c r="F8" s="19" t="s">
        <v>168</v>
      </c>
      <c r="G8" s="26"/>
      <c r="I8" s="501" t="s">
        <v>360</v>
      </c>
      <c r="J8" s="399">
        <f>' Nairobi Fruit_Veg Prices'!H13</f>
        <v>3.6899381843105674</v>
      </c>
      <c r="K8" s="107"/>
      <c r="L8" s="310" t="s">
        <v>25</v>
      </c>
      <c r="M8" s="333" t="s">
        <v>201</v>
      </c>
      <c r="N8" s="363">
        <f>IF(D9="Djibouti",'Data Sources'!C51,IF(D9="Ethiopia",'Data Sources'!D51,IF(D9="Kenya",'Data Sources'!E51,IF(D9="Rwanda",'Data Sources'!F51,IF(D9="Tanzania",'Data Sources'!G51,IF(D9="Uganda",'Data Sources'!H51,0))))))</f>
        <v>0.05</v>
      </c>
      <c r="O8" s="505">
        <f>N8*G32*G25*(1+$R$12)</f>
        <v>5500.0000000000009</v>
      </c>
      <c r="Q8" s="3" t="s">
        <v>2</v>
      </c>
      <c r="S8" s="354"/>
    </row>
    <row r="9" spans="2:33" x14ac:dyDescent="0.3">
      <c r="B9" s="509" t="s">
        <v>24</v>
      </c>
      <c r="C9" s="22" t="s">
        <v>401</v>
      </c>
      <c r="D9" s="25" t="s">
        <v>35</v>
      </c>
      <c r="F9" s="500" t="s">
        <v>169</v>
      </c>
      <c r="G9" s="303" t="str">
        <f>VLOOKUP(D9,Currency!B8:F13,2,0)</f>
        <v>Birr</v>
      </c>
      <c r="I9" s="501" t="s">
        <v>361</v>
      </c>
      <c r="J9" s="48">
        <v>0.5</v>
      </c>
      <c r="L9" s="310" t="s">
        <v>77</v>
      </c>
      <c r="M9" s="333" t="s">
        <v>18</v>
      </c>
      <c r="N9" s="364">
        <v>0.1</v>
      </c>
      <c r="O9" s="505">
        <f>N9*C29*(1+$R$12)</f>
        <v>29068.563342318062</v>
      </c>
      <c r="Q9" s="4" t="s">
        <v>3</v>
      </c>
      <c r="S9" s="354"/>
    </row>
    <row r="10" spans="2:33" x14ac:dyDescent="0.3">
      <c r="F10" s="509" t="s">
        <v>170</v>
      </c>
      <c r="G10" s="304" t="str">
        <f>VLOOKUP(D9,Currency!B8:F13,3,0)</f>
        <v>ETB</v>
      </c>
      <c r="I10" s="501" t="s">
        <v>362</v>
      </c>
      <c r="J10" s="48">
        <v>0.5</v>
      </c>
      <c r="L10" s="310" t="s">
        <v>183</v>
      </c>
      <c r="M10" s="333" t="s">
        <v>190</v>
      </c>
      <c r="N10" s="363">
        <f>IF(D9="Djibouti",'Data Sources'!C61,IF(D9="Ethiopia",'Data Sources'!D61,IF(D9="Kenya",'Data Sources'!E61,IF(D9="Rwanda",'Data Sources'!F61,IF(D9="Tanzania",'Data Sources'!G61,IF(D9="Uganda",'Data Sources'!H61,0))))))</f>
        <v>0.25606469002695414</v>
      </c>
      <c r="O10" s="505">
        <f>N10*M45*(1+$R$12)</f>
        <v>5377.3584905660373</v>
      </c>
    </row>
    <row r="11" spans="2:33" x14ac:dyDescent="0.3">
      <c r="B11" s="71" t="s">
        <v>12</v>
      </c>
      <c r="C11" s="72"/>
      <c r="F11" s="49" t="str">
        <f>"Exchng Rate " &amp; "(" &amp; G10 &amp; "/USD" &amp;")"</f>
        <v>Exchng Rate (ETB/USD)</v>
      </c>
      <c r="G11" s="304">
        <f>VLOOKUP(D9,Currency!B8:F13,4,0)</f>
        <v>37.1</v>
      </c>
      <c r="I11" s="49" t="s">
        <v>176</v>
      </c>
      <c r="J11" s="18">
        <v>0.01</v>
      </c>
      <c r="L11" s="310" t="s">
        <v>79</v>
      </c>
      <c r="M11" s="333" t="s">
        <v>174</v>
      </c>
      <c r="N11" s="337" t="s">
        <v>203</v>
      </c>
      <c r="O11" s="505">
        <f>O35*(1+$R$12)</f>
        <v>6487.3315363881393</v>
      </c>
      <c r="Q11" s="9" t="s">
        <v>13</v>
      </c>
      <c r="R11" s="489">
        <v>0</v>
      </c>
      <c r="W11" s="781" t="s">
        <v>755</v>
      </c>
      <c r="X11" s="782"/>
      <c r="Y11" s="782"/>
      <c r="Z11" s="782"/>
      <c r="AA11" s="782"/>
      <c r="AB11" s="782"/>
      <c r="AC11" s="782"/>
      <c r="AD11" s="782"/>
      <c r="AE11" s="783"/>
    </row>
    <row r="12" spans="2:33" x14ac:dyDescent="0.3">
      <c r="B12" s="1" t="s">
        <v>13</v>
      </c>
      <c r="C12" s="72" t="s">
        <v>14</v>
      </c>
      <c r="L12" s="310" t="s">
        <v>76</v>
      </c>
      <c r="M12" s="333" t="s">
        <v>174</v>
      </c>
      <c r="N12" s="307">
        <f>'Data Sources'!E65</f>
        <v>92.248454607764188</v>
      </c>
      <c r="O12" s="505">
        <f>N12*(1+$R$12)</f>
        <v>92.248454607764188</v>
      </c>
      <c r="Q12" s="9" t="s">
        <v>756</v>
      </c>
      <c r="R12" s="489">
        <v>0</v>
      </c>
    </row>
    <row r="13" spans="2:33" x14ac:dyDescent="0.3">
      <c r="B13" s="331" t="s">
        <v>83</v>
      </c>
      <c r="C13" s="312">
        <v>20000</v>
      </c>
      <c r="E13" s="53" t="s">
        <v>157</v>
      </c>
      <c r="F13" s="72" t="s">
        <v>158</v>
      </c>
      <c r="G13" s="285" t="s">
        <v>74</v>
      </c>
      <c r="I13" s="16" t="s">
        <v>165</v>
      </c>
      <c r="J13" s="26"/>
      <c r="L13" s="310" t="s">
        <v>78</v>
      </c>
      <c r="M13" s="333" t="s">
        <v>174</v>
      </c>
      <c r="N13" s="307">
        <v>0</v>
      </c>
      <c r="O13" s="505">
        <f>N13*(1+$R$12)</f>
        <v>0</v>
      </c>
      <c r="Q13" s="9" t="s">
        <v>757</v>
      </c>
      <c r="R13" s="489">
        <v>0</v>
      </c>
      <c r="Y13" s="781" t="s">
        <v>13</v>
      </c>
      <c r="Z13" s="782"/>
      <c r="AA13" s="782"/>
      <c r="AB13" s="782"/>
      <c r="AC13" s="782"/>
      <c r="AD13" s="782"/>
      <c r="AE13" s="783"/>
    </row>
    <row r="14" spans="2:33" x14ac:dyDescent="0.3">
      <c r="B14" s="310" t="s">
        <v>84</v>
      </c>
      <c r="C14" s="307">
        <v>3500</v>
      </c>
      <c r="E14" s="500" t="s">
        <v>159</v>
      </c>
      <c r="F14" s="48">
        <v>0.7</v>
      </c>
      <c r="G14" s="286">
        <f>$C$29*F14</f>
        <v>203479.94339622642</v>
      </c>
      <c r="I14" s="16" t="s">
        <v>166</v>
      </c>
      <c r="J14" s="315">
        <f>IF(D9="Djibouti",'Data Sources'!C54,IF(D9="Ethiopia",'Data Sources'!D54,IF(D9="Kenya",'Data Sources'!E54,IF(D9="Rwanda",'Data Sources'!F54,IF(D9="Tanzania",'Data Sources'!G54,IF(D9="Uganda",'Data Sources'!H54,0))))))</f>
        <v>0.3</v>
      </c>
      <c r="K14" s="107"/>
      <c r="L14" s="310" t="s">
        <v>389</v>
      </c>
      <c r="M14" s="333" t="s">
        <v>566</v>
      </c>
      <c r="N14" s="364">
        <v>5.0000000000000001E-3</v>
      </c>
      <c r="O14" s="505">
        <f>N14*Veg_CashFlows!$P$12*(1+$R$12)</f>
        <v>1451.0681909801308</v>
      </c>
      <c r="Y14" s="652">
        <f>SUM($C$13:$C$28)*(1+Y$15)</f>
        <v>162298.17250673851</v>
      </c>
      <c r="Z14" s="653">
        <f t="shared" ref="Z14:AE14" si="0">SUM($C$13:$C$28)*(1+Z$15)</f>
        <v>216397.56334231806</v>
      </c>
      <c r="AA14" s="653">
        <f t="shared" si="0"/>
        <v>270496.95417789754</v>
      </c>
      <c r="AB14" s="653">
        <f t="shared" si="0"/>
        <v>324596.34501347702</v>
      </c>
      <c r="AC14" s="653">
        <f t="shared" si="0"/>
        <v>378695.73584905651</v>
      </c>
      <c r="AD14" s="653">
        <f t="shared" si="0"/>
        <v>432795.12668463611</v>
      </c>
      <c r="AE14" s="654">
        <f t="shared" si="0"/>
        <v>486894.5175202156</v>
      </c>
    </row>
    <row r="15" spans="2:33" ht="15" customHeight="1" x14ac:dyDescent="0.3">
      <c r="B15" s="310" t="s">
        <v>85</v>
      </c>
      <c r="C15" s="307">
        <v>30000</v>
      </c>
      <c r="E15" s="501" t="s">
        <v>160</v>
      </c>
      <c r="F15" s="48">
        <v>0.3</v>
      </c>
      <c r="G15" s="286">
        <f>$C$29*F15</f>
        <v>87205.69002695418</v>
      </c>
      <c r="L15" s="310" t="s">
        <v>543</v>
      </c>
      <c r="M15" s="333" t="s">
        <v>566</v>
      </c>
      <c r="N15" s="364">
        <v>5.0000000000000001E-3</v>
      </c>
      <c r="O15" s="505">
        <f>N15*Veg_CashFlows!$P$12*(1+$R$12)</f>
        <v>1451.0681909801308</v>
      </c>
      <c r="Q15" s="741" t="s">
        <v>871</v>
      </c>
      <c r="R15" s="742">
        <f>J7*(1+$R$13)</f>
        <v>3.6899381843105674</v>
      </c>
      <c r="W15" s="778" t="s">
        <v>761</v>
      </c>
      <c r="X15" s="490">
        <f>Veg_CashFlows!BP4</f>
        <v>0.12864344597335342</v>
      </c>
      <c r="Y15" s="524">
        <v>-0.4</v>
      </c>
      <c r="Z15" s="524">
        <v>-0.2</v>
      </c>
      <c r="AA15" s="524">
        <v>0</v>
      </c>
      <c r="AB15" s="524">
        <v>0.2</v>
      </c>
      <c r="AC15" s="524">
        <v>0.4</v>
      </c>
      <c r="AD15" s="524">
        <v>0.6</v>
      </c>
      <c r="AE15" s="525">
        <v>0.8</v>
      </c>
    </row>
    <row r="16" spans="2:33" x14ac:dyDescent="0.3">
      <c r="B16" s="310" t="s">
        <v>86</v>
      </c>
      <c r="C16" s="307">
        <v>3000</v>
      </c>
      <c r="E16" s="49" t="s">
        <v>161</v>
      </c>
      <c r="F16" s="48">
        <v>0</v>
      </c>
      <c r="G16" s="286">
        <f>$C$29*F16</f>
        <v>0</v>
      </c>
      <c r="I16" s="56" t="s">
        <v>70</v>
      </c>
      <c r="J16" s="21"/>
      <c r="L16" s="310" t="s">
        <v>559</v>
      </c>
      <c r="M16" s="333" t="s">
        <v>567</v>
      </c>
      <c r="N16" s="313">
        <v>2</v>
      </c>
      <c r="O16" s="505">
        <f>N16*10.7639*G43*G42*(1+$R$12)</f>
        <v>10763.9</v>
      </c>
      <c r="Q16" s="741" t="s">
        <v>872</v>
      </c>
      <c r="R16" s="742">
        <f>J8*(1+$R$13)</f>
        <v>3.6899381843105674</v>
      </c>
      <c r="W16" s="779"/>
      <c r="X16" s="492">
        <v>300000</v>
      </c>
      <c r="Y16" s="520">
        <f t="dataTable" ref="Y16:AE22" dt2D="1" dtr="1" r1="R11" r2="G25"/>
        <v>2.4430584838526226E-3</v>
      </c>
      <c r="Z16" s="520">
        <v>-8.3813643384155423E-2</v>
      </c>
      <c r="AA16" s="520" t="str">
        <v>NEG IRR</v>
      </c>
      <c r="AB16" s="520" t="str">
        <v>NEG IRR</v>
      </c>
      <c r="AC16" s="520" t="str">
        <v>NEG IRR</v>
      </c>
      <c r="AD16" s="520" t="str">
        <v>NEG IRR</v>
      </c>
      <c r="AE16" s="521" t="str">
        <v>NEG IRR</v>
      </c>
      <c r="AG16" s="495">
        <v>0.1</v>
      </c>
    </row>
    <row r="17" spans="2:33" x14ac:dyDescent="0.3">
      <c r="B17" s="310" t="s">
        <v>87</v>
      </c>
      <c r="C17" s="307">
        <v>45000</v>
      </c>
      <c r="E17" s="16" t="s">
        <v>162</v>
      </c>
      <c r="F17" s="400">
        <f>SUM(F14:F16)</f>
        <v>1</v>
      </c>
      <c r="G17" s="10">
        <f>SUM(G14:G16)</f>
        <v>290685.63342318061</v>
      </c>
      <c r="I17" s="16" t="s">
        <v>192</v>
      </c>
      <c r="J17" s="55">
        <v>25</v>
      </c>
      <c r="L17" s="310" t="s">
        <v>75</v>
      </c>
      <c r="M17" s="333" t="s">
        <v>171</v>
      </c>
      <c r="N17" s="363">
        <v>9.1999999999999998E-2</v>
      </c>
      <c r="O17" s="505">
        <f>N17*G29*(1+$R$12)</f>
        <v>7308.8888888888878</v>
      </c>
      <c r="W17" s="779"/>
      <c r="X17" s="493">
        <f>X16+50000</f>
        <v>350000</v>
      </c>
      <c r="Y17" s="520">
        <v>8.0236874606576913E-2</v>
      </c>
      <c r="Z17" s="520">
        <v>-5.0287302331648576E-3</v>
      </c>
      <c r="AA17" s="520">
        <v>-6.8594764162276056E-2</v>
      </c>
      <c r="AB17" s="520" t="str">
        <v>NEG IRR</v>
      </c>
      <c r="AC17" s="520" t="str">
        <v>NEG IRR</v>
      </c>
      <c r="AD17" s="520" t="str">
        <v>NEG IRR</v>
      </c>
      <c r="AE17" s="521" t="str">
        <v>NEG IRR</v>
      </c>
      <c r="AG17" s="496">
        <v>0.14990000000000001</v>
      </c>
    </row>
    <row r="18" spans="2:33" x14ac:dyDescent="0.3">
      <c r="B18" s="310" t="s">
        <v>614</v>
      </c>
      <c r="C18" s="307">
        <v>60000</v>
      </c>
      <c r="I18" s="508" t="s">
        <v>72</v>
      </c>
      <c r="J18" s="54">
        <f>C29</f>
        <v>290685.63342318061</v>
      </c>
      <c r="L18" s="310" t="s">
        <v>4</v>
      </c>
      <c r="M18" s="333" t="s">
        <v>174</v>
      </c>
      <c r="N18" s="307">
        <v>0</v>
      </c>
      <c r="O18" s="505">
        <f>N18*(1+$R$12)</f>
        <v>0</v>
      </c>
      <c r="W18" s="779"/>
      <c r="X18" s="493">
        <f t="shared" ref="X18:X21" si="1">X17+50000</f>
        <v>400000</v>
      </c>
      <c r="Y18" s="520">
        <v>0.15574534319584776</v>
      </c>
      <c r="Z18" s="520">
        <v>5.3712962243126938E-2</v>
      </c>
      <c r="AA18" s="520">
        <v>-9.5458988948381451E-3</v>
      </c>
      <c r="AB18" s="520">
        <v>-5.9525079018199922E-2</v>
      </c>
      <c r="AC18" s="520">
        <v>-0.12970491617215285</v>
      </c>
      <c r="AD18" s="520" t="str">
        <v>NEG IRR</v>
      </c>
      <c r="AE18" s="521" t="str">
        <v>NEG IRR</v>
      </c>
    </row>
    <row r="19" spans="2:33" x14ac:dyDescent="0.3">
      <c r="B19" s="310" t="s">
        <v>623</v>
      </c>
      <c r="C19" s="307">
        <v>65000</v>
      </c>
      <c r="E19" s="53" t="s">
        <v>164</v>
      </c>
      <c r="F19" s="276"/>
      <c r="I19" s="508" t="s">
        <v>73</v>
      </c>
      <c r="J19" s="55">
        <v>0</v>
      </c>
      <c r="L19" s="310" t="s">
        <v>5</v>
      </c>
      <c r="M19" s="333" t="s">
        <v>174</v>
      </c>
      <c r="N19" s="307">
        <v>0</v>
      </c>
      <c r="O19" s="505">
        <f>N19*(1+$R$12)</f>
        <v>0</v>
      </c>
      <c r="W19" s="779"/>
      <c r="X19" s="493">
        <f t="shared" si="1"/>
        <v>450000</v>
      </c>
      <c r="Y19" s="520">
        <v>0.24091985681677963</v>
      </c>
      <c r="Z19" s="520">
        <v>0.11088073687473665</v>
      </c>
      <c r="AA19" s="520">
        <v>3.7845919751180013E-2</v>
      </c>
      <c r="AB19" s="520">
        <v>-1.2567627968275819E-2</v>
      </c>
      <c r="AC19" s="520">
        <v>-5.3451273223841689E-2</v>
      </c>
      <c r="AD19" s="520">
        <v>-0.10813892255489266</v>
      </c>
      <c r="AE19" s="521" t="str">
        <v>NEG IRR</v>
      </c>
    </row>
    <row r="20" spans="2:33" x14ac:dyDescent="0.3">
      <c r="B20" s="310" t="s">
        <v>873</v>
      </c>
      <c r="C20" s="740">
        <f>IF(D9="Djibouti",'Data Sources'!C85,IF(D9="Ethiopia",'Data Sources'!D85,IF(D9="Kenya",'Data Sources'!E85,IF(D9="Rwanda",'Data Sources'!F85,IF(D9="Tanzania",'Data Sources'!G85,IF(D9="Uganda",'Data Sources'!H85,0))))))</f>
        <v>26.954177897574123</v>
      </c>
      <c r="E20" s="502" t="s">
        <v>182</v>
      </c>
      <c r="F20" s="275"/>
      <c r="G20" s="302">
        <f>IF(D9="Djibouti",Currency!Q8,IF(D9="Ethiopia",Currency!Q9,IF(D9="Kenya",Currency!Q10,IF(D9="Rwanda",Currency!Q11,IF(D9="Tanzania",Currency!Q12,IF(D9="Uganda",Currency!Q13,0))))))</f>
        <v>0.14499999999999999</v>
      </c>
      <c r="L20" s="310" t="s">
        <v>6</v>
      </c>
      <c r="M20" s="333" t="s">
        <v>174</v>
      </c>
      <c r="N20" s="307">
        <v>0</v>
      </c>
      <c r="O20" s="505">
        <f>N20*(1+$R$12)</f>
        <v>0</v>
      </c>
      <c r="W20" s="779"/>
      <c r="X20" s="493">
        <f t="shared" si="1"/>
        <v>500000</v>
      </c>
      <c r="Y20" s="520">
        <v>0.33987619922963996</v>
      </c>
      <c r="Z20" s="520">
        <v>0.16784564803638768</v>
      </c>
      <c r="AA20" s="520">
        <v>8.383713652878777E-2</v>
      </c>
      <c r="AB20" s="520">
        <v>2.7222583954076729E-2</v>
      </c>
      <c r="AC20" s="520">
        <v>-1.4732326917894722E-2</v>
      </c>
      <c r="AD20" s="520">
        <v>-4.9899361522998009E-2</v>
      </c>
      <c r="AE20" s="521">
        <v>-9.4466096188882354E-2</v>
      </c>
    </row>
    <row r="21" spans="2:33" x14ac:dyDescent="0.3">
      <c r="B21" s="7" t="s">
        <v>405</v>
      </c>
      <c r="C21" s="8">
        <v>3000</v>
      </c>
      <c r="E21" s="503" t="s">
        <v>68</v>
      </c>
      <c r="F21" s="498"/>
      <c r="G21" s="52">
        <v>10</v>
      </c>
      <c r="L21" s="310" t="s">
        <v>7</v>
      </c>
      <c r="M21" s="333" t="s">
        <v>174</v>
      </c>
      <c r="N21" s="307">
        <v>0</v>
      </c>
      <c r="O21" s="505">
        <f>N21*(1+$R$12)</f>
        <v>0</v>
      </c>
      <c r="W21" s="779"/>
      <c r="X21" s="493">
        <f t="shared" si="1"/>
        <v>550000</v>
      </c>
      <c r="Y21" s="520">
        <v>0.44899039700012988</v>
      </c>
      <c r="Z21" s="520">
        <v>0.23186068482329469</v>
      </c>
      <c r="AA21" s="520">
        <v>0.12864344597335342</v>
      </c>
      <c r="AB21" s="520">
        <v>6.5605606651141901E-2</v>
      </c>
      <c r="AC21" s="520">
        <v>1.9643834379156511E-2</v>
      </c>
      <c r="AD21" s="520">
        <v>-1.6359819413349741E-2</v>
      </c>
      <c r="AE21" s="521">
        <v>-4.7333686635524175E-2</v>
      </c>
    </row>
    <row r="22" spans="2:33" x14ac:dyDescent="0.3">
      <c r="B22" s="7" t="s">
        <v>516</v>
      </c>
      <c r="C22" s="8">
        <v>30000</v>
      </c>
      <c r="L22" s="323" t="s">
        <v>8</v>
      </c>
      <c r="M22" s="334" t="s">
        <v>174</v>
      </c>
      <c r="N22" s="318">
        <v>0</v>
      </c>
      <c r="O22" s="506">
        <f>N22*(1+$R$12)</f>
        <v>0</v>
      </c>
      <c r="W22" s="780"/>
      <c r="X22" s="494">
        <f>X21+50000</f>
        <v>600000</v>
      </c>
      <c r="Y22" s="522">
        <v>0.56335983679079726</v>
      </c>
      <c r="Z22" s="522">
        <v>0.30382747885023242</v>
      </c>
      <c r="AA22" s="522">
        <v>0.17522390518995623</v>
      </c>
      <c r="AB22" s="522">
        <v>0.10372773331458673</v>
      </c>
      <c r="AC22" s="522">
        <v>5.2609219735865187E-2</v>
      </c>
      <c r="AD22" s="522">
        <v>1.3885559109910517E-2</v>
      </c>
      <c r="AE22" s="523">
        <v>-1.7628229781559313E-2</v>
      </c>
    </row>
    <row r="23" spans="2:33" x14ac:dyDescent="0.3">
      <c r="B23" s="7" t="s">
        <v>407</v>
      </c>
      <c r="C23" s="8">
        <v>10970</v>
      </c>
      <c r="L23" s="49" t="s">
        <v>175</v>
      </c>
      <c r="M23" s="507"/>
      <c r="N23" s="18">
        <v>0.01</v>
      </c>
      <c r="W23" s="68"/>
      <c r="X23" s="68"/>
      <c r="Y23" s="781" t="s">
        <v>756</v>
      </c>
      <c r="Z23" s="782"/>
      <c r="AA23" s="782"/>
      <c r="AB23" s="782"/>
      <c r="AC23" s="782"/>
      <c r="AD23" s="782"/>
      <c r="AE23" s="783"/>
    </row>
    <row r="24" spans="2:33" x14ac:dyDescent="0.3">
      <c r="B24" s="310" t="s">
        <v>4</v>
      </c>
      <c r="C24" s="307">
        <v>0</v>
      </c>
      <c r="D24" s="107"/>
      <c r="E24" s="277" t="s">
        <v>177</v>
      </c>
      <c r="F24" s="66"/>
      <c r="G24" s="311" t="s">
        <v>195</v>
      </c>
      <c r="H24" s="401" t="s">
        <v>17</v>
      </c>
      <c r="Y24" s="652">
        <f>SUM($O$7:$O$22)*(1+Y$25)</f>
        <v>147238.80073123096</v>
      </c>
      <c r="Z24" s="653">
        <f t="shared" ref="Z24:AE24" si="2">SUM($O$7:$O$22)*(1+Z$25)</f>
        <v>196318.40097497465</v>
      </c>
      <c r="AA24" s="653">
        <f t="shared" si="2"/>
        <v>245398.0012187183</v>
      </c>
      <c r="AB24" s="653">
        <f t="shared" si="2"/>
        <v>294477.60146246193</v>
      </c>
      <c r="AC24" s="653">
        <f t="shared" si="2"/>
        <v>343557.20170620561</v>
      </c>
      <c r="AD24" s="653">
        <f t="shared" si="2"/>
        <v>392636.80194994929</v>
      </c>
      <c r="AE24" s="654">
        <f t="shared" si="2"/>
        <v>441716.40219369298</v>
      </c>
    </row>
    <row r="25" spans="2:33" ht="15" customHeight="1" x14ac:dyDescent="0.3">
      <c r="B25" s="310" t="s">
        <v>5</v>
      </c>
      <c r="C25" s="307">
        <v>0</v>
      </c>
      <c r="D25" s="107"/>
      <c r="E25" s="65" t="s">
        <v>355</v>
      </c>
      <c r="F25" s="357"/>
      <c r="G25" s="324">
        <f>'Data Sources'!D36</f>
        <v>550000</v>
      </c>
      <c r="H25" s="306" t="s">
        <v>196</v>
      </c>
      <c r="L25" s="19" t="s">
        <v>79</v>
      </c>
      <c r="M25" s="63"/>
      <c r="N25" s="63"/>
      <c r="O25" s="276"/>
      <c r="W25" s="778" t="s">
        <v>761</v>
      </c>
      <c r="X25" s="490">
        <f>Veg_CashFlows!BP4</f>
        <v>0.12864344597335342</v>
      </c>
      <c r="Y25" s="524">
        <v>-0.4</v>
      </c>
      <c r="Z25" s="524">
        <v>-0.2</v>
      </c>
      <c r="AA25" s="524">
        <v>0</v>
      </c>
      <c r="AB25" s="524">
        <v>0.2</v>
      </c>
      <c r="AC25" s="524">
        <v>0.4</v>
      </c>
      <c r="AD25" s="524">
        <v>0.6</v>
      </c>
      <c r="AE25" s="525">
        <v>0.8</v>
      </c>
    </row>
    <row r="26" spans="2:33" x14ac:dyDescent="0.3">
      <c r="B26" s="310" t="s">
        <v>6</v>
      </c>
      <c r="C26" s="307">
        <v>0</v>
      </c>
      <c r="D26" s="107"/>
      <c r="E26" s="61" t="s">
        <v>356</v>
      </c>
      <c r="F26" s="275"/>
      <c r="G26" s="471">
        <v>0.87</v>
      </c>
      <c r="H26" s="305" t="s">
        <v>155</v>
      </c>
      <c r="L26" s="64"/>
      <c r="M26" s="325" t="s">
        <v>80</v>
      </c>
      <c r="N26" s="72" t="s">
        <v>185</v>
      </c>
      <c r="O26" s="325" t="s">
        <v>185</v>
      </c>
      <c r="W26" s="779"/>
      <c r="X26" s="492">
        <v>300000</v>
      </c>
      <c r="Y26" s="520">
        <f t="dataTable" ref="Y26:AE32" dt2D="1" dtr="1" r1="R12" r2="G25" ca="1"/>
        <v>0.23820720375120952</v>
      </c>
      <c r="Z26" s="520">
        <v>6.683582889037365E-2</v>
      </c>
      <c r="AA26" s="520" t="str">
        <v>NEG IRR</v>
      </c>
      <c r="AB26" s="520" t="str">
        <v>NEG IRR</v>
      </c>
      <c r="AC26" s="520" t="str">
        <v>NEG IRR</v>
      </c>
      <c r="AD26" s="520" t="str">
        <v>NEG IRR</v>
      </c>
      <c r="AE26" s="521" t="str">
        <v>NEG IRR</v>
      </c>
    </row>
    <row r="27" spans="2:33" x14ac:dyDescent="0.3">
      <c r="B27" s="310" t="s">
        <v>7</v>
      </c>
      <c r="C27" s="307">
        <v>0</v>
      </c>
      <c r="D27" s="107"/>
      <c r="E27" s="61" t="s">
        <v>357</v>
      </c>
      <c r="F27" s="275"/>
      <c r="G27" s="471">
        <v>0.1</v>
      </c>
      <c r="H27" s="305" t="s">
        <v>155</v>
      </c>
      <c r="L27" s="310" t="s">
        <v>82</v>
      </c>
      <c r="M27" s="327" t="s">
        <v>69</v>
      </c>
      <c r="N27" s="324">
        <f>IF(D9="Djibouti",'Data Sources'!C69,IF(D9="Ethiopia",'Data Sources'!D69,IF(D9="Kenya",'Data Sources'!E69,IF(D9="Rwanda",'Data Sources'!F69,IF(D9="Tanzania",'Data Sources'!G69,IF(D9="Uganda",'Data Sources'!H69,0))))))</f>
        <v>6118.5983827493255</v>
      </c>
      <c r="O27" s="67">
        <f>IF(M27="Y",N27,0)</f>
        <v>0</v>
      </c>
      <c r="W27" s="779"/>
      <c r="X27" s="493">
        <f>X26+50000</f>
        <v>350000</v>
      </c>
      <c r="Y27" s="520">
        <v>0.34443994604994987</v>
      </c>
      <c r="Z27" s="520">
        <v>0.12982220672258693</v>
      </c>
      <c r="AA27" s="520">
        <v>-6.8594764162276056E-2</v>
      </c>
      <c r="AB27" s="520" t="str">
        <v>NEG IRR</v>
      </c>
      <c r="AC27" s="520" t="str">
        <v>NEG IRR</v>
      </c>
      <c r="AD27" s="520" t="str">
        <v>NEG IRR</v>
      </c>
      <c r="AE27" s="521" t="str">
        <v>NEG IRR</v>
      </c>
    </row>
    <row r="28" spans="2:33" x14ac:dyDescent="0.3">
      <c r="B28" s="323" t="s">
        <v>8</v>
      </c>
      <c r="C28" s="318">
        <v>0</v>
      </c>
      <c r="D28" s="107"/>
      <c r="E28" s="61" t="s">
        <v>198</v>
      </c>
      <c r="F28" s="275"/>
      <c r="G28" s="409">
        <f>G25*(G26-G27)*100/(100-100*G27)</f>
        <v>470555.55555555556</v>
      </c>
      <c r="H28" s="305" t="s">
        <v>196</v>
      </c>
      <c r="L28" s="310" t="s">
        <v>521</v>
      </c>
      <c r="M28" s="328" t="s">
        <v>81</v>
      </c>
      <c r="N28" s="319">
        <f>IF(D9="Djibouti",'Data Sources'!C73,IF(D9="Ethiopia",'Data Sources'!D73,IF(D9="Kenya",'Data Sources'!E73,IF(D9="Rwanda",'Data Sources'!F73,IF(D9="Tanzania",'Data Sources'!G73,IF(D9="Uganda",'Data Sources'!H73,0))))))</f>
        <v>2991.9137466307275</v>
      </c>
      <c r="O28" s="69">
        <f t="shared" ref="O28:O34" si="3">IF(M28="Y",N28,0)</f>
        <v>2991.9137466307275</v>
      </c>
      <c r="W28" s="779"/>
      <c r="X28" s="493">
        <f t="shared" ref="X28:X31" si="4">X27+50000</f>
        <v>400000</v>
      </c>
      <c r="Y28" s="520">
        <v>0.46242986902275196</v>
      </c>
      <c r="Z28" s="520">
        <v>0.1961209912562778</v>
      </c>
      <c r="AA28" s="520">
        <v>-9.5458988948381451E-3</v>
      </c>
      <c r="AB28" s="520" t="str">
        <v>NEG IRR</v>
      </c>
      <c r="AC28" s="520" t="str">
        <v>NEG IRR</v>
      </c>
      <c r="AD28" s="520" t="str">
        <v>NEG IRR</v>
      </c>
      <c r="AE28" s="521" t="str">
        <v>NEG IRR</v>
      </c>
    </row>
    <row r="29" spans="2:33" x14ac:dyDescent="0.3">
      <c r="B29" s="9" t="s">
        <v>15</v>
      </c>
      <c r="C29" s="10">
        <f>(SUM(C13:C19)+SUM(C21:C28)+(C20*G44))*(1+$R$11)</f>
        <v>290685.63342318061</v>
      </c>
      <c r="E29" s="61" t="s">
        <v>358</v>
      </c>
      <c r="F29" s="275"/>
      <c r="G29" s="410">
        <f>G25-G28</f>
        <v>79444.444444444438</v>
      </c>
      <c r="H29" s="305" t="s">
        <v>196</v>
      </c>
      <c r="L29" s="310" t="s">
        <v>387</v>
      </c>
      <c r="M29" s="328" t="s">
        <v>81</v>
      </c>
      <c r="N29" s="319">
        <f>IF(D9="Djibouti",'Data Sources'!C77,IF(D9="Ethiopia",'Data Sources'!D77,IF(D9="Kenya",'Data Sources'!E77,IF(D9="Rwanda",'Data Sources'!F77,IF(D9="Tanzania",'Data Sources'!G77,IF(D9="Uganda",'Data Sources'!H77,0))))))</f>
        <v>1630.1886792452829</v>
      </c>
      <c r="O29" s="69">
        <f t="shared" si="3"/>
        <v>1630.1886792452829</v>
      </c>
      <c r="W29" s="779"/>
      <c r="X29" s="493">
        <f t="shared" si="4"/>
        <v>450000</v>
      </c>
      <c r="Y29" s="520">
        <v>0.5862064118153909</v>
      </c>
      <c r="Z29" s="520">
        <v>0.27206647322331157</v>
      </c>
      <c r="AA29" s="520">
        <v>3.7845919751180013E-2</v>
      </c>
      <c r="AB29" s="520" t="str">
        <v>NEG IRR</v>
      </c>
      <c r="AC29" s="520" t="str">
        <v>NEG IRR</v>
      </c>
      <c r="AD29" s="520" t="str">
        <v>NEG IRR</v>
      </c>
      <c r="AE29" s="521" t="str">
        <v>NEG IRR</v>
      </c>
    </row>
    <row r="30" spans="2:33" x14ac:dyDescent="0.3">
      <c r="E30" s="61" t="s">
        <v>626</v>
      </c>
      <c r="F30" s="275"/>
      <c r="G30" s="472">
        <v>0.01</v>
      </c>
      <c r="H30" s="305" t="s">
        <v>155</v>
      </c>
      <c r="L30" s="310" t="s">
        <v>184</v>
      </c>
      <c r="M30" s="328" t="s">
        <v>69</v>
      </c>
      <c r="N30" s="319">
        <v>0</v>
      </c>
      <c r="O30" s="69">
        <f t="shared" si="3"/>
        <v>0</v>
      </c>
      <c r="W30" s="779"/>
      <c r="X30" s="493">
        <f t="shared" si="4"/>
        <v>500000</v>
      </c>
      <c r="Y30" s="520">
        <v>0.71228080862927068</v>
      </c>
      <c r="Z30" s="520">
        <v>0.35738158569888001</v>
      </c>
      <c r="AA30" s="520">
        <v>8.383713652878777E-2</v>
      </c>
      <c r="AB30" s="520" t="str">
        <v>NEG IRR</v>
      </c>
      <c r="AC30" s="520" t="str">
        <v>NEG IRR</v>
      </c>
      <c r="AD30" s="520" t="str">
        <v>NEG IRR</v>
      </c>
      <c r="AE30" s="521" t="str">
        <v>NEG IRR</v>
      </c>
    </row>
    <row r="31" spans="2:33" x14ac:dyDescent="0.3">
      <c r="B31" s="356" t="s">
        <v>880</v>
      </c>
      <c r="E31" s="61" t="s">
        <v>627</v>
      </c>
      <c r="F31" s="275"/>
      <c r="G31" s="410">
        <f>(1-G30)*G29</f>
        <v>78650</v>
      </c>
      <c r="H31" s="305" t="s">
        <v>196</v>
      </c>
      <c r="L31" s="310" t="s">
        <v>386</v>
      </c>
      <c r="M31" s="328" t="s">
        <v>81</v>
      </c>
      <c r="N31" s="319">
        <f>IF(D9="Djibouti",'Data Sources'!C81,IF(D9="Ethiopia",'Data Sources'!D81,IF(D9="Kenya",'Data Sources'!E81,IF(D9="Rwanda",'Data Sources'!F81,IF(D9="Tanzania",'Data Sources'!G81,IF(D9="Uganda",'Data Sources'!H81,0))))))</f>
        <v>1865.2291105121294</v>
      </c>
      <c r="O31" s="69">
        <f t="shared" si="3"/>
        <v>1865.2291105121294</v>
      </c>
      <c r="W31" s="779"/>
      <c r="X31" s="493">
        <f t="shared" si="4"/>
        <v>550000</v>
      </c>
      <c r="Y31" s="520">
        <v>0.83918492903420283</v>
      </c>
      <c r="Z31" s="520">
        <v>0.44934164280856748</v>
      </c>
      <c r="AA31" s="520">
        <v>0.12864344597335342</v>
      </c>
      <c r="AB31" s="520" t="str">
        <v>NEG IRR</v>
      </c>
      <c r="AC31" s="520" t="str">
        <v>NEG IRR</v>
      </c>
      <c r="AD31" s="520" t="str">
        <v>NEG IRR</v>
      </c>
      <c r="AE31" s="521" t="str">
        <v>NEG IRR</v>
      </c>
    </row>
    <row r="32" spans="2:33" x14ac:dyDescent="0.3">
      <c r="B32" s="766" t="s">
        <v>881</v>
      </c>
      <c r="C32" s="767">
        <v>6.0000000000000001E-3</v>
      </c>
      <c r="E32" s="61" t="s">
        <v>199</v>
      </c>
      <c r="F32" s="275"/>
      <c r="G32" s="411">
        <v>0.2</v>
      </c>
      <c r="H32" s="305" t="s">
        <v>200</v>
      </c>
      <c r="L32" s="310" t="s">
        <v>388</v>
      </c>
      <c r="M32" s="328" t="s">
        <v>69</v>
      </c>
      <c r="N32" s="319">
        <v>0</v>
      </c>
      <c r="O32" s="69">
        <f t="shared" si="3"/>
        <v>0</v>
      </c>
      <c r="W32" s="780"/>
      <c r="X32" s="494">
        <f>X31+50000</f>
        <v>600000</v>
      </c>
      <c r="Y32" s="522">
        <v>0.96636432607201961</v>
      </c>
      <c r="Z32" s="522">
        <v>0.54504125630536504</v>
      </c>
      <c r="AA32" s="522">
        <v>0.17522390518995623</v>
      </c>
      <c r="AB32" s="522" t="str">
        <v>NEG IRR</v>
      </c>
      <c r="AC32" s="522" t="str">
        <v>NEG IRR</v>
      </c>
      <c r="AD32" s="522" t="str">
        <v>NEG IRR</v>
      </c>
      <c r="AE32" s="523" t="str">
        <v>NEG IRR</v>
      </c>
    </row>
    <row r="33" spans="2:74" x14ac:dyDescent="0.3">
      <c r="B33" s="726" t="s">
        <v>882</v>
      </c>
      <c r="C33" s="407">
        <v>1000</v>
      </c>
      <c r="E33" s="61" t="s">
        <v>551</v>
      </c>
      <c r="F33" s="275"/>
      <c r="G33" s="412">
        <v>2</v>
      </c>
      <c r="H33" s="305" t="s">
        <v>550</v>
      </c>
      <c r="L33" s="310" t="s">
        <v>4</v>
      </c>
      <c r="M33" s="328" t="s">
        <v>69</v>
      </c>
      <c r="N33" s="319">
        <v>0</v>
      </c>
      <c r="O33" s="69">
        <f t="shared" si="3"/>
        <v>0</v>
      </c>
      <c r="W33" s="68"/>
      <c r="X33" s="68"/>
      <c r="Y33" s="781" t="s">
        <v>757</v>
      </c>
      <c r="Z33" s="782"/>
      <c r="AA33" s="782"/>
      <c r="AB33" s="782"/>
      <c r="AC33" s="782"/>
      <c r="AD33" s="782"/>
      <c r="AE33" s="783"/>
    </row>
    <row r="34" spans="2:74" x14ac:dyDescent="0.3">
      <c r="B34" s="726" t="s">
        <v>883</v>
      </c>
      <c r="C34" s="767">
        <v>4.1870000000000003</v>
      </c>
      <c r="E34" s="61" t="s">
        <v>544</v>
      </c>
      <c r="F34" s="275"/>
      <c r="G34" s="412">
        <v>5</v>
      </c>
      <c r="H34" s="305" t="s">
        <v>547</v>
      </c>
      <c r="L34" s="323" t="s">
        <v>5</v>
      </c>
      <c r="M34" s="329" t="s">
        <v>69</v>
      </c>
      <c r="N34" s="319">
        <v>0</v>
      </c>
      <c r="O34" s="70">
        <f t="shared" si="3"/>
        <v>0</v>
      </c>
      <c r="Y34" s="649">
        <f t="shared" ref="Y34:AE34" si="5">AVERAGE($R$15:$R$16)*(1+Y$35)</f>
        <v>2.2139629105863405</v>
      </c>
      <c r="Z34" s="650">
        <f t="shared" si="5"/>
        <v>2.9519505474484542</v>
      </c>
      <c r="AA34" s="650">
        <f t="shared" si="5"/>
        <v>3.6899381843105674</v>
      </c>
      <c r="AB34" s="650">
        <f t="shared" si="5"/>
        <v>4.4279258211726811</v>
      </c>
      <c r="AC34" s="650">
        <f t="shared" si="5"/>
        <v>5.1659134580347938</v>
      </c>
      <c r="AD34" s="650">
        <f t="shared" si="5"/>
        <v>5.9039010948969084</v>
      </c>
      <c r="AE34" s="651">
        <f t="shared" si="5"/>
        <v>6.6418887317590212</v>
      </c>
    </row>
    <row r="35" spans="2:74" ht="15" customHeight="1" x14ac:dyDescent="0.3">
      <c r="B35" s="726" t="s">
        <v>884</v>
      </c>
      <c r="C35" s="407">
        <v>160</v>
      </c>
      <c r="E35" s="61" t="s">
        <v>628</v>
      </c>
      <c r="F35" s="275"/>
      <c r="G35" s="412">
        <v>2</v>
      </c>
      <c r="H35" s="305" t="s">
        <v>547</v>
      </c>
      <c r="L35" s="16" t="s">
        <v>162</v>
      </c>
      <c r="M35" s="326"/>
      <c r="N35" s="63"/>
      <c r="O35" s="402">
        <f>SUM(O27:O34)</f>
        <v>6487.3315363881393</v>
      </c>
      <c r="W35" s="778" t="s">
        <v>761</v>
      </c>
      <c r="X35" s="491">
        <f>Veg_CashFlows!BP4</f>
        <v>0.12864344597335342</v>
      </c>
      <c r="Y35" s="524">
        <v>-0.4</v>
      </c>
      <c r="Z35" s="524">
        <v>-0.2</v>
      </c>
      <c r="AA35" s="524">
        <v>0</v>
      </c>
      <c r="AB35" s="524">
        <v>0.2</v>
      </c>
      <c r="AC35" s="524">
        <v>0.4</v>
      </c>
      <c r="AD35" s="524">
        <v>0.6</v>
      </c>
      <c r="AE35" s="525">
        <v>0.8</v>
      </c>
    </row>
    <row r="36" spans="2:74" x14ac:dyDescent="0.3">
      <c r="B36" s="726" t="s">
        <v>885</v>
      </c>
      <c r="C36" s="407">
        <v>100</v>
      </c>
      <c r="E36" s="61" t="s">
        <v>555</v>
      </c>
      <c r="F36" s="275"/>
      <c r="G36" s="413">
        <f>G39*G38*(G34+G35)</f>
        <v>4200</v>
      </c>
      <c r="H36" s="305" t="s">
        <v>545</v>
      </c>
      <c r="W36" s="779"/>
      <c r="X36" s="492">
        <v>300000</v>
      </c>
      <c r="Y36" s="520" t="str">
        <f t="dataTable" ref="Y36:AE42" dt2D="1" dtr="1" r1="R13" r2="G25" ca="1"/>
        <v>NEG IRR</v>
      </c>
      <c r="Z36" s="520" t="str">
        <v>NEG IRR</v>
      </c>
      <c r="AA36" s="520" t="str">
        <v>NEG IRR</v>
      </c>
      <c r="AB36" s="520">
        <v>6.5413427374470867E-2</v>
      </c>
      <c r="AC36" s="520">
        <v>0.23566654131021081</v>
      </c>
      <c r="AD36" s="520">
        <v>0.45764753165378558</v>
      </c>
      <c r="AE36" s="521">
        <v>0.70514231955805595</v>
      </c>
    </row>
    <row r="37" spans="2:74" x14ac:dyDescent="0.3">
      <c r="B37" s="726" t="s">
        <v>886</v>
      </c>
      <c r="C37" s="768">
        <f>C35-C36</f>
        <v>60</v>
      </c>
      <c r="E37" s="61" t="s">
        <v>624</v>
      </c>
      <c r="F37" s="275"/>
      <c r="G37" s="412">
        <v>1000</v>
      </c>
      <c r="H37" s="305" t="s">
        <v>548</v>
      </c>
      <c r="L37" s="277" t="s">
        <v>186</v>
      </c>
      <c r="M37" s="278"/>
      <c r="W37" s="779"/>
      <c r="X37" s="493">
        <f>X36+50000</f>
        <v>350000</v>
      </c>
      <c r="Y37" s="520" t="str">
        <v>NEG IRR</v>
      </c>
      <c r="Z37" s="520" t="str">
        <v>NEG IRR</v>
      </c>
      <c r="AA37" s="520">
        <v>-6.8594764162276056E-2</v>
      </c>
      <c r="AB37" s="520">
        <v>0.13724154011478396</v>
      </c>
      <c r="AC37" s="520">
        <v>0.3663940560946255</v>
      </c>
      <c r="AD37" s="520">
        <v>0.64996540569491823</v>
      </c>
      <c r="AE37" s="521">
        <v>0.94341266180361916</v>
      </c>
    </row>
    <row r="38" spans="2:74" x14ac:dyDescent="0.3">
      <c r="B38" s="769" t="s">
        <v>887</v>
      </c>
      <c r="C38" s="403">
        <f>C32*C33*C34*C37</f>
        <v>1507.32</v>
      </c>
      <c r="E38" s="61" t="s">
        <v>600</v>
      </c>
      <c r="F38" s="275"/>
      <c r="G38" s="414">
        <f>M42*M43</f>
        <v>300</v>
      </c>
      <c r="H38" s="305" t="s">
        <v>601</v>
      </c>
      <c r="I38" s="390"/>
      <c r="L38" s="510" t="s">
        <v>609</v>
      </c>
      <c r="M38" s="6">
        <v>200</v>
      </c>
      <c r="W38" s="779"/>
      <c r="X38" s="493">
        <f t="shared" ref="X38:X41" si="6">X37+50000</f>
        <v>400000</v>
      </c>
      <c r="Y38" s="520" t="str">
        <v>NEG IRR</v>
      </c>
      <c r="Z38" s="520" t="str">
        <v>NEG IRR</v>
      </c>
      <c r="AA38" s="520">
        <v>-9.5458988948381451E-3</v>
      </c>
      <c r="AB38" s="520">
        <v>0.21483067579281356</v>
      </c>
      <c r="AC38" s="520">
        <v>0.51259805174121231</v>
      </c>
      <c r="AD38" s="520">
        <v>0.84591980233828967</v>
      </c>
      <c r="AE38" s="521">
        <v>1.1821154945656227</v>
      </c>
    </row>
    <row r="39" spans="2:74" x14ac:dyDescent="0.3">
      <c r="E39" s="61" t="s">
        <v>602</v>
      </c>
      <c r="F39" s="275"/>
      <c r="G39" s="412">
        <v>2</v>
      </c>
      <c r="H39" s="305" t="s">
        <v>603</v>
      </c>
      <c r="I39" s="390"/>
      <c r="L39" s="511" t="s">
        <v>610</v>
      </c>
      <c r="M39" s="403">
        <f>G37/M38</f>
        <v>5</v>
      </c>
      <c r="W39" s="779"/>
      <c r="X39" s="493">
        <f t="shared" si="6"/>
        <v>450000</v>
      </c>
      <c r="Y39" s="520" t="str">
        <v>NEG IRR</v>
      </c>
      <c r="Z39" s="520" t="str">
        <v>NEG IRR</v>
      </c>
      <c r="AA39" s="520">
        <v>3.7845919751180013E-2</v>
      </c>
      <c r="AB39" s="520">
        <v>0.30513443016438879</v>
      </c>
      <c r="AC39" s="520">
        <v>0.66486369419801172</v>
      </c>
      <c r="AD39" s="520">
        <v>1.042557605501726</v>
      </c>
      <c r="AE39" s="521">
        <v>1.4207625211811843</v>
      </c>
    </row>
    <row r="40" spans="2:74" x14ac:dyDescent="0.3">
      <c r="E40" s="61" t="s">
        <v>599</v>
      </c>
      <c r="F40" s="275"/>
      <c r="G40" s="414">
        <f>G38*G39</f>
        <v>600</v>
      </c>
      <c r="H40" s="305" t="s">
        <v>546</v>
      </c>
      <c r="L40" s="511" t="s">
        <v>612</v>
      </c>
      <c r="M40" s="8">
        <f>G39</f>
        <v>2</v>
      </c>
      <c r="W40" s="779"/>
      <c r="X40" s="493">
        <f t="shared" si="6"/>
        <v>500000</v>
      </c>
      <c r="Y40" s="520" t="str">
        <v>NEG IRR</v>
      </c>
      <c r="Z40" s="520" t="str">
        <v>NEG IRR</v>
      </c>
      <c r="AA40" s="520">
        <v>8.383713652878777E-2</v>
      </c>
      <c r="AB40" s="520">
        <v>0.40631881607286813</v>
      </c>
      <c r="AC40" s="520">
        <v>0.8189739218643437</v>
      </c>
      <c r="AD40" s="520">
        <v>1.2392515023117459</v>
      </c>
      <c r="AE40" s="521">
        <v>1.6593108867708102</v>
      </c>
    </row>
    <row r="41" spans="2:74" x14ac:dyDescent="0.3">
      <c r="B41" s="356" t="s">
        <v>897</v>
      </c>
      <c r="E41" s="61" t="s">
        <v>625</v>
      </c>
      <c r="F41" s="275"/>
      <c r="G41" s="409">
        <f>G40*G37</f>
        <v>600000</v>
      </c>
      <c r="H41" s="305" t="s">
        <v>196</v>
      </c>
      <c r="L41" s="512" t="s">
        <v>547</v>
      </c>
      <c r="M41" s="395">
        <f>G34+G35</f>
        <v>7</v>
      </c>
      <c r="N41" s="405"/>
      <c r="W41" s="779"/>
      <c r="X41" s="493">
        <f t="shared" si="6"/>
        <v>550000</v>
      </c>
      <c r="Y41" s="520" t="str">
        <v>NEG IRR</v>
      </c>
      <c r="Z41" s="520" t="str">
        <v>NEG IRR</v>
      </c>
      <c r="AA41" s="520">
        <v>0.12864344597335342</v>
      </c>
      <c r="AB41" s="520">
        <v>0.51396707364176342</v>
      </c>
      <c r="AC41" s="520">
        <v>0.97357412283049727</v>
      </c>
      <c r="AD41" s="520">
        <v>1.4358847596168047</v>
      </c>
      <c r="AE41" s="521">
        <v>1.8977806733743798</v>
      </c>
    </row>
    <row r="42" spans="2:74" x14ac:dyDescent="0.3">
      <c r="B42" s="766" t="s">
        <v>889</v>
      </c>
      <c r="C42" s="407">
        <f>AVERAGE(18,21)</f>
        <v>19.5</v>
      </c>
      <c r="E42" s="61" t="s">
        <v>597</v>
      </c>
      <c r="F42" s="275"/>
      <c r="G42" s="415">
        <f>ROUNDUP(G25/G41,0)</f>
        <v>1</v>
      </c>
      <c r="H42" s="305" t="s">
        <v>598</v>
      </c>
      <c r="I42" s="390"/>
      <c r="L42" s="511" t="s">
        <v>205</v>
      </c>
      <c r="M42" s="397">
        <v>6</v>
      </c>
      <c r="W42" s="780"/>
      <c r="X42" s="494">
        <f>X41+50000</f>
        <v>600000</v>
      </c>
      <c r="Y42" s="522" t="str">
        <v>NEG IRR</v>
      </c>
      <c r="Z42" s="522" t="str">
        <v>NEG IRR</v>
      </c>
      <c r="AA42" s="522">
        <v>0.17522390518995623</v>
      </c>
      <c r="AB42" s="522">
        <v>0.62465458415705122</v>
      </c>
      <c r="AC42" s="522">
        <v>1.1282655525702885</v>
      </c>
      <c r="AD42" s="522">
        <v>1.632449544234936</v>
      </c>
      <c r="AE42" s="523">
        <v>2.1361939144979818</v>
      </c>
    </row>
    <row r="43" spans="2:74" x14ac:dyDescent="0.3">
      <c r="B43" s="726" t="s">
        <v>890</v>
      </c>
      <c r="C43" s="407">
        <v>50</v>
      </c>
      <c r="E43" s="61" t="s">
        <v>606</v>
      </c>
      <c r="F43" s="275"/>
      <c r="G43" s="417">
        <f>G37/G33</f>
        <v>500</v>
      </c>
      <c r="H43" s="305" t="s">
        <v>554</v>
      </c>
      <c r="L43" s="511" t="s">
        <v>204</v>
      </c>
      <c r="M43" s="397">
        <v>50</v>
      </c>
    </row>
    <row r="44" spans="2:74" x14ac:dyDescent="0.3">
      <c r="B44" s="726" t="s">
        <v>891</v>
      </c>
      <c r="C44" s="770">
        <f>AVERAGE(C42:C43)</f>
        <v>34.75</v>
      </c>
      <c r="E44" s="61" t="s">
        <v>553</v>
      </c>
      <c r="F44" s="275"/>
      <c r="G44" s="416">
        <v>750</v>
      </c>
      <c r="H44" s="305" t="s">
        <v>554</v>
      </c>
      <c r="L44" s="511" t="s">
        <v>607</v>
      </c>
      <c r="M44" s="404">
        <f>M40*M41*M39*G42</f>
        <v>70</v>
      </c>
    </row>
    <row r="45" spans="2:74" x14ac:dyDescent="0.3">
      <c r="B45" s="726" t="s">
        <v>892</v>
      </c>
      <c r="C45" s="771">
        <f>C34*(597-0.56*C44)</f>
        <v>2418.1599799999999</v>
      </c>
      <c r="E45" s="60" t="s">
        <v>715</v>
      </c>
      <c r="F45" s="498"/>
      <c r="G45" s="475">
        <v>5.0000000000000001E-4</v>
      </c>
      <c r="H45" s="316" t="s">
        <v>155</v>
      </c>
      <c r="L45" s="513" t="s">
        <v>608</v>
      </c>
      <c r="M45" s="336">
        <f>M44*M43*M42</f>
        <v>21000</v>
      </c>
    </row>
    <row r="46" spans="2:74" x14ac:dyDescent="0.3">
      <c r="B46" s="726" t="s">
        <v>893</v>
      </c>
      <c r="C46" s="772">
        <f>G28*C45</f>
        <v>1137878612.811111</v>
      </c>
    </row>
    <row r="47" spans="2:74" x14ac:dyDescent="0.3">
      <c r="B47" s="726" t="s">
        <v>894</v>
      </c>
      <c r="C47" s="770">
        <f>C46/(M43*M42*G34*M40*3600)</f>
        <v>105.35913081584361</v>
      </c>
      <c r="BV47" s="299" t="s">
        <v>31</v>
      </c>
    </row>
    <row r="48" spans="2:74" x14ac:dyDescent="0.3">
      <c r="B48" s="769" t="s">
        <v>895</v>
      </c>
      <c r="C48" s="408" t="str">
        <f>IF(C38-C47&gt;0,"YES","NO")</f>
        <v>YES</v>
      </c>
      <c r="BV48" s="27" t="s">
        <v>35</v>
      </c>
    </row>
    <row r="49" spans="74:74" x14ac:dyDescent="0.3">
      <c r="BV49" s="27" t="s">
        <v>39</v>
      </c>
    </row>
    <row r="50" spans="74:74" x14ac:dyDescent="0.3">
      <c r="BV50" s="27" t="s">
        <v>42</v>
      </c>
    </row>
    <row r="51" spans="74:74" x14ac:dyDescent="0.3">
      <c r="BV51" s="27" t="s">
        <v>45</v>
      </c>
    </row>
    <row r="52" spans="74:74" x14ac:dyDescent="0.3">
      <c r="BV52" s="30" t="s">
        <v>48</v>
      </c>
    </row>
    <row r="55" spans="74:74" x14ac:dyDescent="0.3">
      <c r="BV55" t="s">
        <v>81</v>
      </c>
    </row>
    <row r="56" spans="74:74" x14ac:dyDescent="0.3">
      <c r="BV56" t="s">
        <v>69</v>
      </c>
    </row>
  </sheetData>
  <mergeCells count="7">
    <mergeCell ref="W35:W42"/>
    <mergeCell ref="W11:AE11"/>
    <mergeCell ref="Y13:AE13"/>
    <mergeCell ref="W15:W22"/>
    <mergeCell ref="Y23:AE23"/>
    <mergeCell ref="W25:W32"/>
    <mergeCell ref="Y33:AE33"/>
  </mergeCells>
  <conditionalFormatting sqref="Y16:AE22">
    <cfRule type="containsText" dxfId="153" priority="13" operator="containsText" text="NEG IRR">
      <formula>NOT(ISERROR(SEARCH("NEG IRR",Y16)))</formula>
    </cfRule>
    <cfRule type="containsText" dxfId="152" priority="14" operator="containsText" text="ERROR">
      <formula>NOT(ISERROR(SEARCH("ERROR",Y16)))</formula>
    </cfRule>
    <cfRule type="cellIs" dxfId="151" priority="15" operator="between">
      <formula>$AG$16</formula>
      <formula>$AG$17</formula>
    </cfRule>
    <cfRule type="cellIs" dxfId="150" priority="16" operator="greaterThan">
      <formula>$AG$17</formula>
    </cfRule>
    <cfRule type="cellIs" dxfId="149" priority="17" operator="lessThan">
      <formula>$AG$16</formula>
    </cfRule>
  </conditionalFormatting>
  <conditionalFormatting sqref="Y26:AE32">
    <cfRule type="containsText" dxfId="148" priority="8" operator="containsText" text="NEG IRR">
      <formula>NOT(ISERROR(SEARCH("NEG IRR",Y26)))</formula>
    </cfRule>
    <cfRule type="containsText" dxfId="147" priority="9" operator="containsText" text="ERROR">
      <formula>NOT(ISERROR(SEARCH("ERROR",Y26)))</formula>
    </cfRule>
    <cfRule type="cellIs" dxfId="146" priority="10" operator="between">
      <formula>$AG$16</formula>
      <formula>$AG$17</formula>
    </cfRule>
    <cfRule type="cellIs" dxfId="145" priority="11" operator="greaterThan">
      <formula>$AG$17</formula>
    </cfRule>
    <cfRule type="cellIs" dxfId="144" priority="12" operator="lessThan">
      <formula>$AG$16</formula>
    </cfRule>
  </conditionalFormatting>
  <conditionalFormatting sqref="Y36:AE42">
    <cfRule type="containsText" dxfId="143" priority="3" operator="containsText" text="NEG IRR">
      <formula>NOT(ISERROR(SEARCH("NEG IRR",Y36)))</formula>
    </cfRule>
    <cfRule type="containsText" dxfId="142" priority="4" operator="containsText" text="ERROR">
      <formula>NOT(ISERROR(SEARCH("ERROR",Y36)))</formula>
    </cfRule>
    <cfRule type="cellIs" dxfId="141" priority="5" operator="between">
      <formula>$AG$16</formula>
      <formula>$AG$17</formula>
    </cfRule>
    <cfRule type="cellIs" dxfId="140" priority="6" operator="greaterThan">
      <formula>$AG$17</formula>
    </cfRule>
    <cfRule type="cellIs" dxfId="139" priority="7" operator="lessThan">
      <formula>$AG$16</formula>
    </cfRule>
  </conditionalFormatting>
  <conditionalFormatting sqref="C48">
    <cfRule type="containsText" dxfId="138" priority="1" operator="containsText" text="NO">
      <formula>NOT(ISERROR(SEARCH("NO",C48)))</formula>
    </cfRule>
    <cfRule type="containsText" dxfId="137" priority="2" operator="containsText" text="YES">
      <formula>NOT(ISERROR(SEARCH("YES",C48)))</formula>
    </cfRule>
  </conditionalFormatting>
  <dataValidations count="2">
    <dataValidation type="list" allowBlank="1" showInputMessage="1" showErrorMessage="1" sqref="M27:M34" xr:uid="{67E9CBE8-DB95-47A2-AB33-6C81F0C789A9}">
      <formula1>$BV$55:$BV$56</formula1>
    </dataValidation>
    <dataValidation type="list" allowBlank="1" showInputMessage="1" showErrorMessage="1" sqref="D9" xr:uid="{E67FEAAC-448C-4CF9-A250-11ABE520FF1F}">
      <formula1>$BV$47:$BV$52</formula1>
    </dataValidation>
  </dataValidations>
  <hyperlinks>
    <hyperlink ref="S3" r:id="rId1" xr:uid="{63386D6B-4EFB-4FA6-A2ED-B10CDE210F8B}"/>
    <hyperlink ref="S4" r:id="rId2" xr:uid="{0B4628F4-3708-4495-B72B-86CEA1797B7C}"/>
    <hyperlink ref="S5" r:id="rId3" xr:uid="{49F1B1FB-FDDA-4471-BE98-4BEB2A88C163}"/>
    <hyperlink ref="S6" r:id="rId4" xr:uid="{7FB91B08-FDAE-4EF1-9C64-C1A5E87C456E}"/>
  </hyperlinks>
  <pageMargins left="0.7" right="0.7" top="0.75" bottom="0.75" header="0.3" footer="0.3"/>
  <pageSetup orientation="portrait" r:id="rId5"/>
  <drawing r:id="rId6"/>
  <legacyDrawing r:id="rId7"/>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4BFEDA-9000-4F71-B94F-41A3BD58EFDA}">
  <sheetPr>
    <tabColor theme="3" tint="0.39997558519241921"/>
  </sheetPr>
  <dimension ref="B2:BV56"/>
  <sheetViews>
    <sheetView showGridLines="0" zoomScale="80" zoomScaleNormal="80" workbookViewId="0"/>
  </sheetViews>
  <sheetFormatPr defaultRowHeight="14.4" x14ac:dyDescent="0.3"/>
  <cols>
    <col min="1" max="1" width="3.44140625" customWidth="1"/>
    <col min="2" max="2" width="41.6640625" customWidth="1"/>
    <col min="3" max="3" width="18.6640625" customWidth="1"/>
    <col min="5" max="5" width="20" customWidth="1"/>
    <col min="6" max="6" width="24.33203125" customWidth="1"/>
    <col min="7" max="7" width="17" customWidth="1"/>
    <col min="8" max="8" width="14.109375" customWidth="1"/>
    <col min="9" max="9" width="32.44140625" customWidth="1"/>
    <col min="10" max="10" width="11.6640625" customWidth="1"/>
    <col min="11" max="11" width="6.109375" customWidth="1"/>
    <col min="12" max="12" width="45.88671875" customWidth="1"/>
    <col min="13" max="13" width="21.6640625" customWidth="1"/>
    <col min="14" max="14" width="20" customWidth="1"/>
    <col min="15" max="15" width="18.6640625" customWidth="1"/>
    <col min="17" max="17" width="14" customWidth="1"/>
    <col min="24" max="24" width="11" customWidth="1"/>
    <col min="25" max="31" width="15" bestFit="1" customWidth="1"/>
  </cols>
  <sheetData>
    <row r="2" spans="2:33" x14ac:dyDescent="0.3">
      <c r="S2" t="s">
        <v>339</v>
      </c>
    </row>
    <row r="4" spans="2:33" x14ac:dyDescent="0.3">
      <c r="S4" s="367" t="s">
        <v>340</v>
      </c>
    </row>
    <row r="5" spans="2:33" x14ac:dyDescent="0.3">
      <c r="S5" s="367" t="s">
        <v>341</v>
      </c>
    </row>
    <row r="6" spans="2:33" x14ac:dyDescent="0.3">
      <c r="B6" s="19" t="s">
        <v>20</v>
      </c>
      <c r="C6" s="20"/>
      <c r="D6" s="21"/>
      <c r="F6" s="590" t="s">
        <v>19</v>
      </c>
      <c r="G6" s="317">
        <v>44197</v>
      </c>
      <c r="I6" s="321" t="s">
        <v>67</v>
      </c>
      <c r="J6" s="320" t="s">
        <v>34</v>
      </c>
      <c r="L6" s="330" t="s">
        <v>16</v>
      </c>
      <c r="M6" s="11" t="s">
        <v>17</v>
      </c>
      <c r="N6" s="325" t="s">
        <v>173</v>
      </c>
      <c r="O6" s="12" t="s">
        <v>172</v>
      </c>
      <c r="Q6" s="1" t="s">
        <v>0</v>
      </c>
      <c r="S6" s="367" t="s">
        <v>342</v>
      </c>
    </row>
    <row r="7" spans="2:33" x14ac:dyDescent="0.3">
      <c r="B7" s="49" t="s">
        <v>21</v>
      </c>
      <c r="C7" s="22" t="s">
        <v>22</v>
      </c>
      <c r="D7" s="23"/>
      <c r="I7" s="56" t="s">
        <v>381</v>
      </c>
      <c r="J7" s="308">
        <f>'Data Sources'!H12</f>
        <v>1.3553477957978797</v>
      </c>
      <c r="K7" s="107"/>
      <c r="L7" s="331" t="s">
        <v>385</v>
      </c>
      <c r="M7" s="332" t="s">
        <v>171</v>
      </c>
      <c r="N7" s="13">
        <f>'Data Sources'!H11</f>
        <v>0.9487434570585157</v>
      </c>
      <c r="O7" s="504">
        <f>N7*G25*(1+$R$12)</f>
        <v>1707738.2227053284</v>
      </c>
      <c r="Q7" s="2" t="s">
        <v>1</v>
      </c>
      <c r="S7" s="354" t="s">
        <v>611</v>
      </c>
    </row>
    <row r="8" spans="2:33" x14ac:dyDescent="0.3">
      <c r="B8" s="509" t="s">
        <v>23</v>
      </c>
      <c r="C8" s="15" t="s">
        <v>376</v>
      </c>
      <c r="D8" s="24"/>
      <c r="F8" s="19" t="s">
        <v>168</v>
      </c>
      <c r="G8" s="26"/>
      <c r="I8" s="322" t="s">
        <v>382</v>
      </c>
      <c r="J8" s="14">
        <v>0</v>
      </c>
      <c r="K8" s="107"/>
      <c r="L8" s="310" t="s">
        <v>25</v>
      </c>
      <c r="M8" s="333" t="s">
        <v>201</v>
      </c>
      <c r="N8" s="363">
        <f>IF(D9="Djibouti",'Data Sources'!C51,IF(D9="Ethiopia",'Data Sources'!D51,IF(D9="Kenya",'Data Sources'!E51,IF(D9="Rwanda",'Data Sources'!F51,IF(D9="Tanzania",'Data Sources'!G51,IF(D9="Uganda",'Data Sources'!H51,0))))))</f>
        <v>0.15591921042858808</v>
      </c>
      <c r="O8" s="505">
        <f>N8*G30*G25*(1+$R$12)</f>
        <v>56130.915754291709</v>
      </c>
      <c r="Q8" s="3" t="s">
        <v>2</v>
      </c>
      <c r="S8" s="354" t="s">
        <v>615</v>
      </c>
    </row>
    <row r="9" spans="2:33" x14ac:dyDescent="0.3">
      <c r="B9" s="509" t="s">
        <v>24</v>
      </c>
      <c r="C9" s="22" t="s">
        <v>392</v>
      </c>
      <c r="D9" s="25" t="s">
        <v>48</v>
      </c>
      <c r="F9" s="500" t="s">
        <v>169</v>
      </c>
      <c r="G9" s="303" t="str">
        <f>VLOOKUP(D9,Currency!B8:F13,2,0)</f>
        <v>U Shilling</v>
      </c>
      <c r="I9" s="322" t="s">
        <v>383</v>
      </c>
      <c r="J9" s="47">
        <v>1</v>
      </c>
      <c r="L9" s="310" t="s">
        <v>77</v>
      </c>
      <c r="M9" s="333" t="s">
        <v>18</v>
      </c>
      <c r="N9" s="364">
        <v>0.1</v>
      </c>
      <c r="O9" s="505">
        <f>N9*C29*(1+$R$12)</f>
        <v>52880.96537520922</v>
      </c>
      <c r="Q9" s="4" t="s">
        <v>3</v>
      </c>
      <c r="S9" s="354" t="s">
        <v>616</v>
      </c>
    </row>
    <row r="10" spans="2:33" x14ac:dyDescent="0.3">
      <c r="F10" s="509" t="s">
        <v>170</v>
      </c>
      <c r="G10" s="304" t="str">
        <f>VLOOKUP(D9,Currency!B8:F13,3,0)</f>
        <v xml:space="preserve"> UGX</v>
      </c>
      <c r="I10" s="322" t="s">
        <v>384</v>
      </c>
      <c r="J10" s="47">
        <v>0</v>
      </c>
      <c r="L10" s="310" t="s">
        <v>183</v>
      </c>
      <c r="M10" s="333" t="s">
        <v>190</v>
      </c>
      <c r="N10" s="363">
        <f>IF(D9="Djibouti",'Data Sources'!C61,IF(D9="Ethiopia",'Data Sources'!D61,IF(D9="Kenya",'Data Sources'!E61,IF(D9="Rwanda",'Data Sources'!F61,IF(D9="Tanzania",'Data Sources'!G61,IF(D9="Uganda",'Data Sources'!H61,0))))))</f>
        <v>0.77254824360479135</v>
      </c>
      <c r="O10" s="505">
        <f>N10*M45*(1+$R$12)</f>
        <v>25030.563092795241</v>
      </c>
    </row>
    <row r="11" spans="2:33" x14ac:dyDescent="0.3">
      <c r="B11" s="71" t="s">
        <v>12</v>
      </c>
      <c r="C11" s="72"/>
      <c r="F11" s="49" t="str">
        <f>"Exchng Rate " &amp; "(" &amp; G10 &amp; "/USD" &amp;")"</f>
        <v>Exchng Rate ( UGX/USD)</v>
      </c>
      <c r="G11" s="304">
        <f>VLOOKUP(D9,Currency!B8:F13,4,0)</f>
        <v>3689.09</v>
      </c>
      <c r="I11" s="499" t="s">
        <v>176</v>
      </c>
      <c r="J11" s="309">
        <v>0.01</v>
      </c>
      <c r="L11" s="310" t="s">
        <v>79</v>
      </c>
      <c r="M11" s="333" t="s">
        <v>174</v>
      </c>
      <c r="N11" s="337" t="s">
        <v>203</v>
      </c>
      <c r="O11" s="505">
        <f>O35*(1+$R$12)</f>
        <v>18438.151414034357</v>
      </c>
      <c r="Q11" s="9" t="s">
        <v>13</v>
      </c>
      <c r="R11" s="489">
        <v>0</v>
      </c>
      <c r="W11" s="781" t="s">
        <v>755</v>
      </c>
      <c r="X11" s="782"/>
      <c r="Y11" s="782"/>
      <c r="Z11" s="782"/>
      <c r="AA11" s="782"/>
      <c r="AB11" s="782"/>
      <c r="AC11" s="782"/>
      <c r="AD11" s="782"/>
      <c r="AE11" s="783"/>
    </row>
    <row r="12" spans="2:33" x14ac:dyDescent="0.3">
      <c r="B12" s="1" t="s">
        <v>13</v>
      </c>
      <c r="C12" s="72" t="s">
        <v>14</v>
      </c>
      <c r="L12" s="310" t="s">
        <v>76</v>
      </c>
      <c r="M12" s="333" t="s">
        <v>174</v>
      </c>
      <c r="N12" s="307">
        <f>'Data Sources'!E65</f>
        <v>92.248454607764188</v>
      </c>
      <c r="O12" s="505">
        <f>N12*(1+$R$12)</f>
        <v>92.248454607764188</v>
      </c>
      <c r="Q12" s="9" t="s">
        <v>756</v>
      </c>
      <c r="R12" s="489">
        <v>0</v>
      </c>
    </row>
    <row r="13" spans="2:33" x14ac:dyDescent="0.3">
      <c r="B13" s="331" t="s">
        <v>83</v>
      </c>
      <c r="C13" s="312">
        <f>20000*G39</f>
        <v>60000</v>
      </c>
      <c r="D13" s="107"/>
      <c r="E13" s="53" t="s">
        <v>157</v>
      </c>
      <c r="F13" s="72" t="s">
        <v>158</v>
      </c>
      <c r="G13" s="285" t="s">
        <v>74</v>
      </c>
      <c r="I13" s="16" t="s">
        <v>165</v>
      </c>
      <c r="J13" s="26"/>
      <c r="L13" s="310" t="s">
        <v>78</v>
      </c>
      <c r="M13" s="333" t="s">
        <v>174</v>
      </c>
      <c r="N13" s="307">
        <v>0</v>
      </c>
      <c r="O13" s="505">
        <f>N13*(1+$R$12)</f>
        <v>0</v>
      </c>
      <c r="Q13" s="9" t="s">
        <v>757</v>
      </c>
      <c r="R13" s="489">
        <v>0</v>
      </c>
      <c r="Y13" s="781" t="s">
        <v>13</v>
      </c>
      <c r="Z13" s="782"/>
      <c r="AA13" s="782"/>
      <c r="AB13" s="782"/>
      <c r="AC13" s="782"/>
      <c r="AD13" s="782"/>
      <c r="AE13" s="783"/>
    </row>
    <row r="14" spans="2:33" x14ac:dyDescent="0.3">
      <c r="B14" s="310" t="s">
        <v>84</v>
      </c>
      <c r="C14" s="307">
        <v>3500</v>
      </c>
      <c r="D14" s="107"/>
      <c r="E14" s="500" t="s">
        <v>159</v>
      </c>
      <c r="F14" s="48">
        <v>0.7</v>
      </c>
      <c r="G14" s="286">
        <f>$C$29*F14</f>
        <v>370166.75762646447</v>
      </c>
      <c r="I14" s="16" t="s">
        <v>166</v>
      </c>
      <c r="J14" s="315">
        <f>IF(D9="Djibouti",'Data Sources'!C54,IF(D9="Ethiopia",'Data Sources'!D54,IF(D9="Kenya",'Data Sources'!E54,IF(D9="Rwanda",'Data Sources'!F54,IF(D9="Tanzania",'Data Sources'!G54,IF(D9="Uganda",'Data Sources'!H54,0))))))</f>
        <v>0.3</v>
      </c>
      <c r="K14" s="107"/>
      <c r="L14" s="310" t="s">
        <v>389</v>
      </c>
      <c r="M14" s="333" t="s">
        <v>566</v>
      </c>
      <c r="N14" s="364">
        <v>5.0000000000000001E-3</v>
      </c>
      <c r="O14" s="505">
        <f>N14*Rice_CashFlows!$P$12*(1+$R$12)</f>
        <v>10496.065488388231</v>
      </c>
      <c r="Y14" s="652">
        <f>SUM($C$13:$C$28)*(1+Y$15)</f>
        <v>316483.60758450249</v>
      </c>
      <c r="Z14" s="653">
        <f t="shared" ref="Z14:AE14" si="0">SUM($C$13:$C$28)*(1+Z$15)</f>
        <v>421978.14344600338</v>
      </c>
      <c r="AA14" s="653">
        <f t="shared" si="0"/>
        <v>527472.67930750421</v>
      </c>
      <c r="AB14" s="653">
        <f t="shared" si="0"/>
        <v>632967.21516900498</v>
      </c>
      <c r="AC14" s="653">
        <f t="shared" si="0"/>
        <v>738461.75103050587</v>
      </c>
      <c r="AD14" s="653">
        <f t="shared" si="0"/>
        <v>843956.28689200676</v>
      </c>
      <c r="AE14" s="654">
        <f t="shared" si="0"/>
        <v>949450.82275350764</v>
      </c>
    </row>
    <row r="15" spans="2:33" ht="15" customHeight="1" x14ac:dyDescent="0.3">
      <c r="B15" s="310" t="s">
        <v>85</v>
      </c>
      <c r="C15" s="307">
        <v>30000</v>
      </c>
      <c r="D15" s="107"/>
      <c r="E15" s="501" t="s">
        <v>160</v>
      </c>
      <c r="F15" s="48">
        <v>0.3</v>
      </c>
      <c r="G15" s="286">
        <f>$C$29*F15</f>
        <v>158642.89612562765</v>
      </c>
      <c r="L15" s="310" t="s">
        <v>543</v>
      </c>
      <c r="M15" s="333" t="s">
        <v>566</v>
      </c>
      <c r="N15" s="364">
        <v>5.0000000000000001E-3</v>
      </c>
      <c r="O15" s="505">
        <f>N15*Rice_CashFlows!$P$12*(1+$R$12)</f>
        <v>10496.065488388231</v>
      </c>
      <c r="Q15" s="741" t="s">
        <v>871</v>
      </c>
      <c r="R15" s="742">
        <f>J7*(1+$R$13)</f>
        <v>1.3553477957978797</v>
      </c>
      <c r="W15" s="778" t="s">
        <v>761</v>
      </c>
      <c r="X15" s="490">
        <f>Rice_CashFlows!BP4</f>
        <v>0.45416044001521527</v>
      </c>
      <c r="Y15" s="524">
        <v>-0.4</v>
      </c>
      <c r="Z15" s="524">
        <v>-0.2</v>
      </c>
      <c r="AA15" s="524">
        <v>0</v>
      </c>
      <c r="AB15" s="524">
        <v>0.2</v>
      </c>
      <c r="AC15" s="524">
        <v>0.4</v>
      </c>
      <c r="AD15" s="524">
        <v>0.6</v>
      </c>
      <c r="AE15" s="525">
        <v>0.8</v>
      </c>
    </row>
    <row r="16" spans="2:33" x14ac:dyDescent="0.3">
      <c r="B16" s="310" t="s">
        <v>86</v>
      </c>
      <c r="C16" s="307">
        <v>3000</v>
      </c>
      <c r="D16" s="107"/>
      <c r="E16" s="49" t="s">
        <v>161</v>
      </c>
      <c r="F16" s="48">
        <v>0</v>
      </c>
      <c r="G16" s="286">
        <f>$C$29*F16</f>
        <v>0</v>
      </c>
      <c r="I16" s="56" t="s">
        <v>70</v>
      </c>
      <c r="J16" s="21"/>
      <c r="L16" s="310" t="s">
        <v>559</v>
      </c>
      <c r="M16" s="333" t="s">
        <v>567</v>
      </c>
      <c r="N16" s="313">
        <v>2</v>
      </c>
      <c r="O16" s="505">
        <f>N16*10.7639*G40*G39*(1+$R$12)</f>
        <v>6458.3399999999992</v>
      </c>
      <c r="Q16" s="741" t="s">
        <v>872</v>
      </c>
      <c r="R16" s="742">
        <f>J8*(1+$R$13)</f>
        <v>0</v>
      </c>
      <c r="W16" s="779"/>
      <c r="X16" s="492">
        <v>500000</v>
      </c>
      <c r="Y16" s="520">
        <f t="dataTable" ref="Y16:AE22" dt2D="1" dtr="1" r1="R11" r2="G25"/>
        <v>0.36954488437538879</v>
      </c>
      <c r="Z16" s="520">
        <v>0.17289951020414973</v>
      </c>
      <c r="AA16" s="520">
        <v>8.0485030249233702E-2</v>
      </c>
      <c r="AB16" s="520">
        <v>2.3626614352474817E-2</v>
      </c>
      <c r="AC16" s="520">
        <v>-1.6490783525576314E-2</v>
      </c>
      <c r="AD16" s="520">
        <v>-4.9091209757302634E-2</v>
      </c>
      <c r="AE16" s="521">
        <v>-8.0325122273926297E-2</v>
      </c>
      <c r="AG16" s="495">
        <v>0.1</v>
      </c>
    </row>
    <row r="17" spans="2:33" x14ac:dyDescent="0.3">
      <c r="B17" s="310" t="s">
        <v>87</v>
      </c>
      <c r="C17" s="307">
        <v>45000</v>
      </c>
      <c r="D17" s="107"/>
      <c r="E17" s="16" t="s">
        <v>162</v>
      </c>
      <c r="F17" s="400">
        <f>SUM(F14:F16)</f>
        <v>1</v>
      </c>
      <c r="G17" s="10">
        <f>SUM(G14:G16)</f>
        <v>528809.65375209216</v>
      </c>
      <c r="I17" s="16" t="s">
        <v>192</v>
      </c>
      <c r="J17" s="55">
        <v>25</v>
      </c>
      <c r="L17" s="310" t="s">
        <v>75</v>
      </c>
      <c r="M17" s="333" t="s">
        <v>171</v>
      </c>
      <c r="N17" s="363">
        <v>0.01</v>
      </c>
      <c r="O17" s="505">
        <f>N17*G29*(1+$R$12)</f>
        <v>15488.372093023256</v>
      </c>
      <c r="W17" s="779"/>
      <c r="X17" s="493">
        <f>X16+250000</f>
        <v>750000</v>
      </c>
      <c r="Y17" s="520">
        <v>0.66435668394130887</v>
      </c>
      <c r="Z17" s="520">
        <v>0.34847176243901234</v>
      </c>
      <c r="AA17" s="520">
        <v>0.19427775741199582</v>
      </c>
      <c r="AB17" s="520">
        <v>0.11238261603590316</v>
      </c>
      <c r="AC17" s="520">
        <v>5.7207185867451882E-2</v>
      </c>
      <c r="AD17" s="520">
        <v>1.8319674760413962E-2</v>
      </c>
      <c r="AE17" s="521">
        <v>-1.2028498576730717E-2</v>
      </c>
      <c r="AG17" s="496">
        <v>0.14990000000000001</v>
      </c>
    </row>
    <row r="18" spans="2:33" x14ac:dyDescent="0.3">
      <c r="B18" s="310" t="s">
        <v>614</v>
      </c>
      <c r="C18" s="307">
        <f>60000*G39</f>
        <v>180000</v>
      </c>
      <c r="D18" s="107"/>
      <c r="I18" s="508" t="s">
        <v>72</v>
      </c>
      <c r="J18" s="54">
        <f>C29</f>
        <v>528809.65375209216</v>
      </c>
      <c r="L18" s="310" t="s">
        <v>4</v>
      </c>
      <c r="M18" s="333" t="s">
        <v>174</v>
      </c>
      <c r="N18" s="307">
        <v>0</v>
      </c>
      <c r="O18" s="505">
        <f>N18*(1+$R$12)</f>
        <v>0</v>
      </c>
      <c r="W18" s="779"/>
      <c r="X18" s="493">
        <f t="shared" ref="X18:X21" si="1">X17+250000</f>
        <v>1000000</v>
      </c>
      <c r="Y18" s="520">
        <v>0.85924058193817032</v>
      </c>
      <c r="Z18" s="520">
        <v>0.48456320841960765</v>
      </c>
      <c r="AA18" s="520">
        <v>0.28085759228525453</v>
      </c>
      <c r="AB18" s="520">
        <v>0.17249728757902028</v>
      </c>
      <c r="AC18" s="520">
        <v>0.10646172791522046</v>
      </c>
      <c r="AD18" s="520">
        <v>5.921480897868947E-2</v>
      </c>
      <c r="AE18" s="521">
        <v>2.4430363604555305E-2</v>
      </c>
    </row>
    <row r="19" spans="2:33" x14ac:dyDescent="0.3">
      <c r="B19" s="310" t="s">
        <v>613</v>
      </c>
      <c r="C19" s="307">
        <f>65000*G39</f>
        <v>195000</v>
      </c>
      <c r="D19" s="107"/>
      <c r="E19" s="53" t="s">
        <v>164</v>
      </c>
      <c r="F19" s="276"/>
      <c r="I19" s="508" t="s">
        <v>73</v>
      </c>
      <c r="J19" s="55">
        <v>0</v>
      </c>
      <c r="L19" s="310" t="s">
        <v>5</v>
      </c>
      <c r="M19" s="333" t="s">
        <v>174</v>
      </c>
      <c r="N19" s="307">
        <v>0</v>
      </c>
      <c r="O19" s="505">
        <f>N19*(1+$R$12)</f>
        <v>0</v>
      </c>
      <c r="W19" s="779"/>
      <c r="X19" s="493">
        <f t="shared" si="1"/>
        <v>1250000</v>
      </c>
      <c r="Y19" s="520">
        <v>0.99484413009334727</v>
      </c>
      <c r="Z19" s="520">
        <v>0.58384944687638218</v>
      </c>
      <c r="AA19" s="520">
        <v>0.349650384868057</v>
      </c>
      <c r="AB19" s="520">
        <v>0.21806836114305717</v>
      </c>
      <c r="AC19" s="520">
        <v>0.1423895792530141</v>
      </c>
      <c r="AD19" s="520">
        <v>8.866617195749793E-2</v>
      </c>
      <c r="AE19" s="521">
        <v>4.9523891696931166E-2</v>
      </c>
    </row>
    <row r="20" spans="2:33" x14ac:dyDescent="0.3">
      <c r="B20" s="310" t="s">
        <v>407</v>
      </c>
      <c r="C20" s="307">
        <v>10970</v>
      </c>
      <c r="D20" s="107"/>
      <c r="E20" s="502" t="s">
        <v>182</v>
      </c>
      <c r="F20" s="275"/>
      <c r="G20" s="302">
        <f>IF(D9="Djibouti",Currency!Q8,IF(D9="Ethiopia",Currency!Q9,IF(D9="Kenya",Currency!Q10,IF(D9="Rwanda",Currency!Q11,IF(D9="Tanzania",Currency!Q12,IF(D9="Uganda",Currency!Q13,0))))))</f>
        <v>0.23089999999999999</v>
      </c>
      <c r="L20" s="310" t="s">
        <v>6</v>
      </c>
      <c r="M20" s="333" t="s">
        <v>174</v>
      </c>
      <c r="N20" s="307">
        <v>0</v>
      </c>
      <c r="O20" s="505">
        <f>N20*(1+$R$12)</f>
        <v>0</v>
      </c>
      <c r="W20" s="779"/>
      <c r="X20" s="493">
        <f t="shared" si="1"/>
        <v>1500000</v>
      </c>
      <c r="Y20" s="520">
        <v>1.0944923537773708</v>
      </c>
      <c r="Z20" s="520">
        <v>0.65787516861795847</v>
      </c>
      <c r="AA20" s="520">
        <v>0.40374782518019736</v>
      </c>
      <c r="AB20" s="520">
        <v>0.25485695879397507</v>
      </c>
      <c r="AC20" s="520">
        <v>0.16837692744627386</v>
      </c>
      <c r="AD20" s="520">
        <v>0.11132570977726486</v>
      </c>
      <c r="AE20" s="521">
        <v>6.8341754293102186E-2</v>
      </c>
    </row>
    <row r="21" spans="2:33" x14ac:dyDescent="0.3">
      <c r="B21" s="310" t="s">
        <v>873</v>
      </c>
      <c r="C21" s="740">
        <f>IF(D9="Djibouti",'Data Sources'!C85,IF(D9="Ethiopia",'Data Sources'!D85,IF(D9="Kenya",'Data Sources'!E85,IF(D9="Rwanda",'Data Sources'!F85,IF(D9="Tanzania",'Data Sources'!G85,IF(D9="Uganda",'Data Sources'!H85,0))))))</f>
        <v>2.6793075041842411</v>
      </c>
      <c r="D21" s="107"/>
      <c r="E21" s="503" t="s">
        <v>68</v>
      </c>
      <c r="F21" s="498"/>
      <c r="G21" s="52">
        <v>10</v>
      </c>
      <c r="L21" s="310" t="s">
        <v>7</v>
      </c>
      <c r="M21" s="333" t="s">
        <v>174</v>
      </c>
      <c r="N21" s="307">
        <v>0</v>
      </c>
      <c r="O21" s="505">
        <f>N21*(1+$R$12)</f>
        <v>0</v>
      </c>
      <c r="W21" s="779"/>
      <c r="X21" s="493">
        <f t="shared" si="1"/>
        <v>1750000</v>
      </c>
      <c r="Y21" s="520">
        <v>1.1707981134799517</v>
      </c>
      <c r="Z21" s="520">
        <v>0.7148791599293014</v>
      </c>
      <c r="AA21" s="520">
        <v>0.44665515698785252</v>
      </c>
      <c r="AB21" s="520">
        <v>0.28493981068318619</v>
      </c>
      <c r="AC21" s="520">
        <v>0.18947945303839497</v>
      </c>
      <c r="AD21" s="520">
        <v>0.12900431572942161</v>
      </c>
      <c r="AE21" s="521">
        <v>8.3133903807766085E-2</v>
      </c>
    </row>
    <row r="22" spans="2:33" x14ac:dyDescent="0.3">
      <c r="B22" s="310" t="s">
        <v>4</v>
      </c>
      <c r="C22" s="307">
        <v>0</v>
      </c>
      <c r="D22" s="107"/>
      <c r="L22" s="323" t="s">
        <v>8</v>
      </c>
      <c r="M22" s="334" t="s">
        <v>174</v>
      </c>
      <c r="N22" s="318">
        <v>0</v>
      </c>
      <c r="O22" s="506">
        <f>N22*(1+$R$12)</f>
        <v>0</v>
      </c>
      <c r="W22" s="780"/>
      <c r="X22" s="494">
        <f>X21+250000</f>
        <v>2000000</v>
      </c>
      <c r="Y22" s="522">
        <v>1.2311027581036256</v>
      </c>
      <c r="Z22" s="522">
        <v>0.76004655328476067</v>
      </c>
      <c r="AA22" s="522">
        <v>0.48123875164771923</v>
      </c>
      <c r="AB22" s="522">
        <v>0.30982526736305105</v>
      </c>
      <c r="AC22" s="522">
        <v>0.20696981949270987</v>
      </c>
      <c r="AD22" s="522">
        <v>0.14297558879723482</v>
      </c>
      <c r="AE22" s="523">
        <v>9.5085816959014968E-2</v>
      </c>
    </row>
    <row r="23" spans="2:33" x14ac:dyDescent="0.3">
      <c r="B23" s="310" t="s">
        <v>5</v>
      </c>
      <c r="C23" s="307">
        <v>0</v>
      </c>
      <c r="D23" s="107"/>
      <c r="L23" s="49" t="s">
        <v>175</v>
      </c>
      <c r="M23" s="507"/>
      <c r="N23" s="18">
        <v>0.01</v>
      </c>
      <c r="W23" s="68"/>
      <c r="X23" s="68"/>
      <c r="Y23" s="781" t="s">
        <v>756</v>
      </c>
      <c r="Z23" s="782"/>
      <c r="AA23" s="782"/>
      <c r="AB23" s="782"/>
      <c r="AC23" s="782"/>
      <c r="AD23" s="782"/>
      <c r="AE23" s="783"/>
    </row>
    <row r="24" spans="2:33" x14ac:dyDescent="0.3">
      <c r="B24" s="310" t="s">
        <v>6</v>
      </c>
      <c r="C24" s="307">
        <v>0</v>
      </c>
      <c r="D24" s="107"/>
      <c r="E24" s="277" t="s">
        <v>177</v>
      </c>
      <c r="F24" s="66"/>
      <c r="G24" s="311" t="s">
        <v>195</v>
      </c>
      <c r="H24" s="401" t="s">
        <v>17</v>
      </c>
      <c r="Y24" s="652">
        <f>SUM($O$7:$O$22)*(1+Y$25)</f>
        <v>1141949.9459196399</v>
      </c>
      <c r="Z24" s="653">
        <f t="shared" ref="Z24:AE24" si="2">SUM($O$7:$O$22)*(1+Z$25)</f>
        <v>1522599.9278928535</v>
      </c>
      <c r="AA24" s="653">
        <f t="shared" si="2"/>
        <v>1903249.9098660666</v>
      </c>
      <c r="AB24" s="653">
        <f t="shared" si="2"/>
        <v>2283899.8918392798</v>
      </c>
      <c r="AC24" s="653">
        <f t="shared" si="2"/>
        <v>2664549.8738124929</v>
      </c>
      <c r="AD24" s="653">
        <f t="shared" si="2"/>
        <v>3045199.855785707</v>
      </c>
      <c r="AE24" s="654">
        <f t="shared" si="2"/>
        <v>3425849.8377589202</v>
      </c>
    </row>
    <row r="25" spans="2:33" ht="15" customHeight="1" x14ac:dyDescent="0.3">
      <c r="B25" s="310" t="s">
        <v>7</v>
      </c>
      <c r="C25" s="307">
        <v>0</v>
      </c>
      <c r="D25" s="107"/>
      <c r="E25" s="65" t="s">
        <v>377</v>
      </c>
      <c r="F25" s="357"/>
      <c r="G25" s="324">
        <f>'Data Sources'!H13-75000</f>
        <v>1800000</v>
      </c>
      <c r="H25" s="306" t="s">
        <v>196</v>
      </c>
      <c r="L25" s="19" t="s">
        <v>79</v>
      </c>
      <c r="M25" s="63"/>
      <c r="N25" s="63"/>
      <c r="O25" s="276"/>
      <c r="W25" s="778" t="s">
        <v>761</v>
      </c>
      <c r="X25" s="490">
        <f>Rice_CashFlows!BP4</f>
        <v>0.45416044001521527</v>
      </c>
      <c r="Y25" s="524">
        <v>-0.4</v>
      </c>
      <c r="Z25" s="524">
        <v>-0.2</v>
      </c>
      <c r="AA25" s="524">
        <v>0</v>
      </c>
      <c r="AB25" s="524">
        <v>0.2</v>
      </c>
      <c r="AC25" s="524">
        <v>0.4</v>
      </c>
      <c r="AD25" s="524">
        <v>0.6</v>
      </c>
      <c r="AE25" s="525">
        <v>0.8</v>
      </c>
    </row>
    <row r="26" spans="2:33" x14ac:dyDescent="0.3">
      <c r="B26" s="310" t="s">
        <v>8</v>
      </c>
      <c r="C26" s="307">
        <v>0</v>
      </c>
      <c r="D26" s="107"/>
      <c r="E26" s="61" t="s">
        <v>378</v>
      </c>
      <c r="F26" s="275"/>
      <c r="G26" s="471">
        <v>0.26</v>
      </c>
      <c r="H26" s="305" t="s">
        <v>155</v>
      </c>
      <c r="L26" s="64"/>
      <c r="M26" s="325" t="s">
        <v>80</v>
      </c>
      <c r="N26" s="72" t="s">
        <v>185</v>
      </c>
      <c r="O26" s="325" t="s">
        <v>185</v>
      </c>
      <c r="W26" s="779"/>
      <c r="X26" s="492">
        <v>500000</v>
      </c>
      <c r="Y26" s="520">
        <f t="dataTable" ref="Y26:AE32" dt2D="1" dtr="1" r1="R12" r2="G25" ca="1"/>
        <v>2.3527371475081185</v>
      </c>
      <c r="Z26" s="520">
        <v>1.1569579894775113</v>
      </c>
      <c r="AA26" s="520">
        <v>8.0485030249233702E-2</v>
      </c>
      <c r="AB26" s="520" t="str">
        <v>NEG IRR</v>
      </c>
      <c r="AC26" s="520" t="str">
        <v>NEG IRR</v>
      </c>
      <c r="AD26" s="520" t="str">
        <v>NEG IRR</v>
      </c>
      <c r="AE26" s="521" t="str">
        <v>NEG IRR</v>
      </c>
    </row>
    <row r="27" spans="2:33" x14ac:dyDescent="0.3">
      <c r="B27" s="310" t="s">
        <v>9</v>
      </c>
      <c r="C27" s="307">
        <v>0</v>
      </c>
      <c r="D27" s="107"/>
      <c r="E27" s="61" t="s">
        <v>379</v>
      </c>
      <c r="F27" s="275"/>
      <c r="G27" s="471">
        <v>0.14000000000000001</v>
      </c>
      <c r="H27" s="305" t="s">
        <v>155</v>
      </c>
      <c r="L27" s="310" t="s">
        <v>82</v>
      </c>
      <c r="M27" s="327" t="s">
        <v>69</v>
      </c>
      <c r="N27" s="324">
        <f>IF(D9="Djibouti",'Data Sources'!C69,IF(D9="Ethiopia",'Data Sources'!D69,IF(D9="Kenya",'Data Sources'!E69,IF(D9="Rwanda",'Data Sources'!F69,IF(D9="Tanzania",'Data Sources'!G69,IF(D9="Uganda",'Data Sources'!H69,0))))))</f>
        <v>19029.083053002229</v>
      </c>
      <c r="O27" s="67">
        <f>IF(M27="Y",N27,0)</f>
        <v>0</v>
      </c>
      <c r="W27" s="779"/>
      <c r="X27" s="493">
        <f>X26+250000</f>
        <v>750000</v>
      </c>
      <c r="Y27" s="520">
        <v>2.8945149931692806</v>
      </c>
      <c r="Z27" s="520">
        <v>1.5195044896588743</v>
      </c>
      <c r="AA27" s="520">
        <v>0.19427775741199582</v>
      </c>
      <c r="AB27" s="520" t="str">
        <v>NEG IRR</v>
      </c>
      <c r="AC27" s="520" t="str">
        <v>NEG IRR</v>
      </c>
      <c r="AD27" s="520" t="str">
        <v>NEG IRR</v>
      </c>
      <c r="AE27" s="521" t="str">
        <v>NEG IRR</v>
      </c>
    </row>
    <row r="28" spans="2:33" x14ac:dyDescent="0.3">
      <c r="B28" s="323" t="s">
        <v>10</v>
      </c>
      <c r="C28" s="318">
        <v>0</v>
      </c>
      <c r="D28" s="107"/>
      <c r="E28" s="61" t="s">
        <v>198</v>
      </c>
      <c r="F28" s="275"/>
      <c r="G28" s="409">
        <f>G25*(G26-G27)*100/(100-100*G27)</f>
        <v>251162.79069767441</v>
      </c>
      <c r="H28" s="305" t="s">
        <v>196</v>
      </c>
      <c r="L28" s="310" t="s">
        <v>521</v>
      </c>
      <c r="M28" s="328" t="s">
        <v>81</v>
      </c>
      <c r="N28" s="319">
        <f>IF(D9="Djibouti",'Data Sources'!C73,IF(D9="Ethiopia",'Data Sources'!D73,IF(D9="Kenya",'Data Sources'!E73,IF(D9="Rwanda",'Data Sources'!F73,IF(D9="Tanzania",'Data Sources'!G73,IF(D9="Uganda",'Data Sources'!H73,0))))))</f>
        <v>7427.3059209723806</v>
      </c>
      <c r="O28" s="69">
        <f t="shared" ref="O28:O34" si="3">IF(M28="Y",N28,0)</f>
        <v>7427.3059209723806</v>
      </c>
      <c r="W28" s="779"/>
      <c r="X28" s="493">
        <f t="shared" ref="X28:X31" si="4">X27+250000</f>
        <v>1000000</v>
      </c>
      <c r="Y28" s="520">
        <v>3.2411043725478139</v>
      </c>
      <c r="Z28" s="520">
        <v>1.7513020590237911</v>
      </c>
      <c r="AA28" s="520">
        <v>0.28085759228525453</v>
      </c>
      <c r="AB28" s="520" t="str">
        <v>NEG IRR</v>
      </c>
      <c r="AC28" s="520" t="str">
        <v>NEG IRR</v>
      </c>
      <c r="AD28" s="520" t="str">
        <v>NEG IRR</v>
      </c>
      <c r="AE28" s="521" t="str">
        <v>NEG IRR</v>
      </c>
    </row>
    <row r="29" spans="2:33" x14ac:dyDescent="0.3">
      <c r="B29" s="9" t="s">
        <v>15</v>
      </c>
      <c r="C29" s="10">
        <f>(SUM(C13:C20)+SUM(C22:C28)+(C21*G41))*(1+$R$11)</f>
        <v>528809.65375209216</v>
      </c>
      <c r="E29" s="61" t="s">
        <v>380</v>
      </c>
      <c r="F29" s="275"/>
      <c r="G29" s="410">
        <f>G25-G28</f>
        <v>1548837.2093023255</v>
      </c>
      <c r="H29" s="305" t="s">
        <v>196</v>
      </c>
      <c r="L29" s="310" t="s">
        <v>387</v>
      </c>
      <c r="M29" s="328" t="s">
        <v>81</v>
      </c>
      <c r="N29" s="319">
        <f>IF(D9="Djibouti",'Data Sources'!C77,IF(D9="Ethiopia",'Data Sources'!D77,IF(D9="Kenya",'Data Sources'!E77,IF(D9="Rwanda",'Data Sources'!F77,IF(D9="Tanzania",'Data Sources'!G77,IF(D9="Uganda",'Data Sources'!H77,0))))))</f>
        <v>5237.063882963007</v>
      </c>
      <c r="O29" s="69">
        <f t="shared" si="3"/>
        <v>5237.063882963007</v>
      </c>
      <c r="W29" s="779"/>
      <c r="X29" s="493">
        <f t="shared" si="4"/>
        <v>1250000</v>
      </c>
      <c r="Y29" s="520">
        <v>3.4818944132403198</v>
      </c>
      <c r="Z29" s="520">
        <v>1.9122970747603838</v>
      </c>
      <c r="AA29" s="520">
        <v>0.349650384868057</v>
      </c>
      <c r="AB29" s="520" t="str">
        <v>NEG IRR</v>
      </c>
      <c r="AC29" s="520" t="str">
        <v>NEG IRR</v>
      </c>
      <c r="AD29" s="520" t="str">
        <v>NEG IRR</v>
      </c>
      <c r="AE29" s="521" t="str">
        <v>NEG IRR</v>
      </c>
    </row>
    <row r="30" spans="2:33" x14ac:dyDescent="0.3">
      <c r="E30" s="61" t="s">
        <v>199</v>
      </c>
      <c r="F30" s="275"/>
      <c r="G30" s="411">
        <v>0.2</v>
      </c>
      <c r="H30" s="305" t="s">
        <v>200</v>
      </c>
      <c r="L30" s="310" t="s">
        <v>184</v>
      </c>
      <c r="M30" s="328" t="s">
        <v>69</v>
      </c>
      <c r="N30" s="319">
        <v>0</v>
      </c>
      <c r="O30" s="69">
        <f t="shared" si="3"/>
        <v>0</v>
      </c>
      <c r="W30" s="779"/>
      <c r="X30" s="493">
        <f t="shared" si="4"/>
        <v>1500000</v>
      </c>
      <c r="Y30" s="520">
        <v>3.6589161692253755</v>
      </c>
      <c r="Z30" s="520">
        <v>2.0306381418838719</v>
      </c>
      <c r="AA30" s="520">
        <v>0.40374782518019736</v>
      </c>
      <c r="AB30" s="520" t="str">
        <v>NEG IRR</v>
      </c>
      <c r="AC30" s="520" t="str">
        <v>NEG IRR</v>
      </c>
      <c r="AD30" s="520" t="str">
        <v>NEG IRR</v>
      </c>
      <c r="AE30" s="521" t="str">
        <v>NEG IRR</v>
      </c>
    </row>
    <row r="31" spans="2:33" x14ac:dyDescent="0.3">
      <c r="B31" s="356" t="s">
        <v>880</v>
      </c>
      <c r="E31" s="61" t="s">
        <v>544</v>
      </c>
      <c r="F31" s="275"/>
      <c r="G31" s="412">
        <v>8</v>
      </c>
      <c r="H31" s="305" t="s">
        <v>547</v>
      </c>
      <c r="L31" s="310" t="s">
        <v>386</v>
      </c>
      <c r="M31" s="328" t="s">
        <v>81</v>
      </c>
      <c r="N31" s="319">
        <f>IF(D9="Djibouti",'Data Sources'!C81,IF(D9="Ethiopia",'Data Sources'!D81,IF(D9="Kenya",'Data Sources'!E81,IF(D9="Rwanda",'Data Sources'!F81,IF(D9="Tanzania",'Data Sources'!G81,IF(D9="Uganda",'Data Sources'!H81,0))))))</f>
        <v>5773.7816100989676</v>
      </c>
      <c r="O31" s="69">
        <f t="shared" si="3"/>
        <v>5773.7816100989676</v>
      </c>
      <c r="W31" s="779"/>
      <c r="X31" s="493">
        <f t="shared" si="4"/>
        <v>1750000</v>
      </c>
      <c r="Y31" s="520">
        <v>3.7945396985499178</v>
      </c>
      <c r="Z31" s="520">
        <v>2.1212956544348915</v>
      </c>
      <c r="AA31" s="520">
        <v>0.44665515698785252</v>
      </c>
      <c r="AB31" s="520" t="str">
        <v>NEG IRR</v>
      </c>
      <c r="AC31" s="520" t="str">
        <v>NEG IRR</v>
      </c>
      <c r="AD31" s="520" t="str">
        <v>NEG IRR</v>
      </c>
      <c r="AE31" s="521" t="str">
        <v>NEG IRR</v>
      </c>
    </row>
    <row r="32" spans="2:33" x14ac:dyDescent="0.3">
      <c r="B32" s="766" t="s">
        <v>881</v>
      </c>
      <c r="C32" s="767">
        <v>6.0000000000000001E-3</v>
      </c>
      <c r="E32" s="61" t="s">
        <v>604</v>
      </c>
      <c r="F32" s="275"/>
      <c r="G32" s="412">
        <v>1</v>
      </c>
      <c r="H32" s="305" t="s">
        <v>547</v>
      </c>
      <c r="L32" s="310" t="s">
        <v>388</v>
      </c>
      <c r="M32" s="328" t="s">
        <v>69</v>
      </c>
      <c r="N32" s="319">
        <v>0</v>
      </c>
      <c r="O32" s="69">
        <f t="shared" si="3"/>
        <v>0</v>
      </c>
      <c r="W32" s="780"/>
      <c r="X32" s="494">
        <f>X31+250000</f>
        <v>2000000</v>
      </c>
      <c r="Y32" s="522">
        <v>3.9017669668758881</v>
      </c>
      <c r="Z32" s="522">
        <v>2.1929672479128119</v>
      </c>
      <c r="AA32" s="522">
        <v>0.48123875164771923</v>
      </c>
      <c r="AB32" s="522" t="str">
        <v>NEG IRR</v>
      </c>
      <c r="AC32" s="522" t="str">
        <v>NEG IRR</v>
      </c>
      <c r="AD32" s="522" t="str">
        <v>NEG IRR</v>
      </c>
      <c r="AE32" s="523" t="str">
        <v>NEG IRR</v>
      </c>
    </row>
    <row r="33" spans="2:74" x14ac:dyDescent="0.3">
      <c r="B33" s="726" t="s">
        <v>882</v>
      </c>
      <c r="C33" s="407">
        <v>1000</v>
      </c>
      <c r="E33" s="61" t="s">
        <v>555</v>
      </c>
      <c r="F33" s="275"/>
      <c r="G33" s="413">
        <f>G36*G35*(G31+G32)</f>
        <v>1080</v>
      </c>
      <c r="H33" s="305" t="s">
        <v>545</v>
      </c>
      <c r="L33" s="310" t="s">
        <v>4</v>
      </c>
      <c r="M33" s="328" t="s">
        <v>69</v>
      </c>
      <c r="N33" s="319">
        <v>0</v>
      </c>
      <c r="O33" s="69">
        <f t="shared" si="3"/>
        <v>0</v>
      </c>
      <c r="W33" s="68"/>
      <c r="X33" s="68"/>
      <c r="Y33" s="781" t="s">
        <v>757</v>
      </c>
      <c r="Z33" s="782"/>
      <c r="AA33" s="782"/>
      <c r="AB33" s="782"/>
      <c r="AC33" s="782"/>
      <c r="AD33" s="782"/>
      <c r="AE33" s="783"/>
    </row>
    <row r="34" spans="2:74" x14ac:dyDescent="0.3">
      <c r="B34" s="726" t="s">
        <v>883</v>
      </c>
      <c r="C34" s="767">
        <v>4.1870000000000003</v>
      </c>
      <c r="E34" s="61" t="s">
        <v>596</v>
      </c>
      <c r="F34" s="275"/>
      <c r="G34" s="412">
        <v>5000</v>
      </c>
      <c r="H34" s="305" t="s">
        <v>548</v>
      </c>
      <c r="L34" s="323" t="s">
        <v>5</v>
      </c>
      <c r="M34" s="329" t="s">
        <v>69</v>
      </c>
      <c r="N34" s="319">
        <v>0</v>
      </c>
      <c r="O34" s="70">
        <f t="shared" si="3"/>
        <v>0</v>
      </c>
      <c r="Y34" s="649">
        <f t="shared" ref="Y34:AE34" si="5">$R$15*(1+Y$35)</f>
        <v>0.81320867747872783</v>
      </c>
      <c r="Z34" s="650">
        <f t="shared" si="5"/>
        <v>1.0842782366383037</v>
      </c>
      <c r="AA34" s="650">
        <f t="shared" si="5"/>
        <v>1.3553477957978797</v>
      </c>
      <c r="AB34" s="650">
        <f t="shared" si="5"/>
        <v>1.6264173549574557</v>
      </c>
      <c r="AC34" s="650">
        <f t="shared" si="5"/>
        <v>1.8974869141170314</v>
      </c>
      <c r="AD34" s="650">
        <f t="shared" si="5"/>
        <v>2.1685564732766074</v>
      </c>
      <c r="AE34" s="651">
        <f t="shared" si="5"/>
        <v>2.4396260324361836</v>
      </c>
    </row>
    <row r="35" spans="2:74" ht="15" customHeight="1" x14ac:dyDescent="0.3">
      <c r="B35" s="726" t="s">
        <v>884</v>
      </c>
      <c r="C35" s="407">
        <v>160</v>
      </c>
      <c r="E35" s="61" t="s">
        <v>600</v>
      </c>
      <c r="F35" s="275"/>
      <c r="G35" s="412">
        <v>60</v>
      </c>
      <c r="H35" s="305" t="s">
        <v>601</v>
      </c>
      <c r="L35" s="16" t="s">
        <v>162</v>
      </c>
      <c r="M35" s="326"/>
      <c r="N35" s="63"/>
      <c r="O35" s="402">
        <f>SUM(O27:O34)</f>
        <v>18438.151414034357</v>
      </c>
      <c r="W35" s="778" t="s">
        <v>761</v>
      </c>
      <c r="X35" s="491">
        <f>Rice_CashFlows!BP4</f>
        <v>0.45416044001521527</v>
      </c>
      <c r="Y35" s="524">
        <v>-0.4</v>
      </c>
      <c r="Z35" s="524">
        <v>-0.2</v>
      </c>
      <c r="AA35" s="524">
        <v>0</v>
      </c>
      <c r="AB35" s="524">
        <v>0.2</v>
      </c>
      <c r="AC35" s="524">
        <v>0.4</v>
      </c>
      <c r="AD35" s="524">
        <v>0.6</v>
      </c>
      <c r="AE35" s="525">
        <v>0.8</v>
      </c>
    </row>
    <row r="36" spans="2:74" x14ac:dyDescent="0.3">
      <c r="B36" s="726" t="s">
        <v>885</v>
      </c>
      <c r="C36" s="407">
        <v>100</v>
      </c>
      <c r="E36" s="61" t="s">
        <v>602</v>
      </c>
      <c r="F36" s="275"/>
      <c r="G36" s="412">
        <v>2</v>
      </c>
      <c r="H36" s="305" t="s">
        <v>603</v>
      </c>
      <c r="W36" s="779"/>
      <c r="X36" s="492">
        <v>500000</v>
      </c>
      <c r="Y36" s="520" t="str">
        <f t="dataTable" ref="Y36:AE42" dt2D="1" dtr="1" r1="R13" r2="G25" ca="1"/>
        <v>NEG IRR</v>
      </c>
      <c r="Z36" s="520" t="str">
        <v>NEG IRR</v>
      </c>
      <c r="AA36" s="520">
        <v>8.0485030249233702E-2</v>
      </c>
      <c r="AB36" s="520">
        <v>1.2185124239717959</v>
      </c>
      <c r="AC36" s="520">
        <v>2.476021630585449</v>
      </c>
      <c r="AD36" s="520">
        <v>3.7318484713135076</v>
      </c>
      <c r="AE36" s="521">
        <v>4.9872912409281751</v>
      </c>
    </row>
    <row r="37" spans="2:74" x14ac:dyDescent="0.3">
      <c r="B37" s="726" t="s">
        <v>886</v>
      </c>
      <c r="C37" s="768">
        <f>C35-C36</f>
        <v>60</v>
      </c>
      <c r="E37" s="61" t="s">
        <v>599</v>
      </c>
      <c r="F37" s="275"/>
      <c r="G37" s="414">
        <f>G35*G36</f>
        <v>120</v>
      </c>
      <c r="H37" s="305" t="s">
        <v>546</v>
      </c>
      <c r="L37" s="277" t="s">
        <v>186</v>
      </c>
      <c r="M37" s="278"/>
      <c r="W37" s="779"/>
      <c r="X37" s="493">
        <f>X36+250000</f>
        <v>750000</v>
      </c>
      <c r="Y37" s="520" t="str">
        <v>NEG IRR</v>
      </c>
      <c r="Z37" s="520" t="str">
        <v>NEG IRR</v>
      </c>
      <c r="AA37" s="520">
        <v>0.19427775741199582</v>
      </c>
      <c r="AB37" s="520">
        <v>1.615354818567952</v>
      </c>
      <c r="AC37" s="520">
        <v>3.0862866678185448</v>
      </c>
      <c r="AD37" s="520">
        <v>4.5560026968135503</v>
      </c>
      <c r="AE37" s="521">
        <v>6.0254210959383965</v>
      </c>
    </row>
    <row r="38" spans="2:74" x14ac:dyDescent="0.3">
      <c r="B38" s="769" t="s">
        <v>887</v>
      </c>
      <c r="C38" s="403">
        <f>C32*C33*C34*C37</f>
        <v>1507.32</v>
      </c>
      <c r="E38" s="61" t="s">
        <v>621</v>
      </c>
      <c r="F38" s="275"/>
      <c r="G38" s="409">
        <f>G37*G34</f>
        <v>600000</v>
      </c>
      <c r="H38" s="305" t="s">
        <v>196</v>
      </c>
      <c r="I38" s="390"/>
      <c r="L38" s="510" t="s">
        <v>609</v>
      </c>
      <c r="M38" s="6">
        <v>500</v>
      </c>
      <c r="W38" s="779"/>
      <c r="X38" s="493">
        <f t="shared" ref="X38:X41" si="6">X37+250000</f>
        <v>1000000</v>
      </c>
      <c r="Y38" s="520" t="str">
        <v>NEG IRR</v>
      </c>
      <c r="Z38" s="520" t="str">
        <v>NEG IRR</v>
      </c>
      <c r="AA38" s="520">
        <v>0.28085759228525453</v>
      </c>
      <c r="AB38" s="520">
        <v>1.869065666595223</v>
      </c>
      <c r="AC38" s="520">
        <v>3.4766855234714171</v>
      </c>
      <c r="AD38" s="520">
        <v>5.0832823630840647</v>
      </c>
      <c r="AE38" s="521">
        <v>6.6896163697011151</v>
      </c>
    </row>
    <row r="39" spans="2:74" x14ac:dyDescent="0.3">
      <c r="E39" s="61" t="s">
        <v>597</v>
      </c>
      <c r="F39" s="275"/>
      <c r="G39" s="63">
        <f>G25/G38</f>
        <v>3</v>
      </c>
      <c r="H39" s="305" t="s">
        <v>598</v>
      </c>
      <c r="I39" s="390"/>
      <c r="L39" s="511" t="s">
        <v>610</v>
      </c>
      <c r="M39" s="403">
        <f>G34/M38</f>
        <v>10</v>
      </c>
      <c r="W39" s="779"/>
      <c r="X39" s="493">
        <f t="shared" si="6"/>
        <v>1250000</v>
      </c>
      <c r="Y39" s="520" t="str">
        <v>NEG IRR</v>
      </c>
      <c r="Z39" s="520" t="str">
        <v>NEG IRR</v>
      </c>
      <c r="AA39" s="520">
        <v>0.349650384868057</v>
      </c>
      <c r="AB39" s="520">
        <v>2.0452807985732471</v>
      </c>
      <c r="AC39" s="520">
        <v>3.7479110923304599</v>
      </c>
      <c r="AD39" s="520">
        <v>5.4496190227536454</v>
      </c>
      <c r="AE39" s="521">
        <v>7.1510827402425132</v>
      </c>
    </row>
    <row r="40" spans="2:74" x14ac:dyDescent="0.3">
      <c r="E40" s="61" t="s">
        <v>606</v>
      </c>
      <c r="F40" s="275"/>
      <c r="G40" s="416">
        <v>100</v>
      </c>
      <c r="H40" s="305" t="s">
        <v>554</v>
      </c>
      <c r="L40" s="511" t="s">
        <v>612</v>
      </c>
      <c r="M40" s="8">
        <f>G36</f>
        <v>2</v>
      </c>
      <c r="W40" s="779"/>
      <c r="X40" s="493">
        <f t="shared" si="6"/>
        <v>1500000</v>
      </c>
      <c r="Y40" s="520" t="str">
        <v>NEG IRR</v>
      </c>
      <c r="Z40" s="520" t="str">
        <v>NEG IRR</v>
      </c>
      <c r="AA40" s="520">
        <v>0.40374782518019736</v>
      </c>
      <c r="AB40" s="520">
        <v>2.1748102453810052</v>
      </c>
      <c r="AC40" s="520">
        <v>3.9473079128794071</v>
      </c>
      <c r="AD40" s="520">
        <v>5.7189443484089022</v>
      </c>
      <c r="AE40" s="521">
        <v>7.4903481349760419</v>
      </c>
    </row>
    <row r="41" spans="2:74" x14ac:dyDescent="0.3">
      <c r="B41" s="356" t="s">
        <v>898</v>
      </c>
      <c r="E41" s="61" t="s">
        <v>553</v>
      </c>
      <c r="F41" s="275"/>
      <c r="G41" s="416">
        <v>500</v>
      </c>
      <c r="H41" s="305" t="s">
        <v>554</v>
      </c>
      <c r="L41" s="512" t="s">
        <v>547</v>
      </c>
      <c r="M41" s="8">
        <v>9</v>
      </c>
      <c r="W41" s="779"/>
      <c r="X41" s="493">
        <f t="shared" si="6"/>
        <v>1750000</v>
      </c>
      <c r="Y41" s="520" t="str">
        <v>NEG IRR</v>
      </c>
      <c r="Z41" s="520" t="str">
        <v>NEG IRR</v>
      </c>
      <c r="AA41" s="520">
        <v>0.44665515698785252</v>
      </c>
      <c r="AB41" s="520">
        <v>2.2740392824789448</v>
      </c>
      <c r="AC41" s="520">
        <v>4.1000737834461098</v>
      </c>
      <c r="AD41" s="520">
        <v>5.9252879444360005</v>
      </c>
      <c r="AE41" s="521">
        <v>7.7502773271525633</v>
      </c>
    </row>
    <row r="42" spans="2:74" x14ac:dyDescent="0.3">
      <c r="B42" s="766" t="s">
        <v>889</v>
      </c>
      <c r="C42" s="407">
        <v>25</v>
      </c>
      <c r="E42" s="60" t="s">
        <v>715</v>
      </c>
      <c r="F42" s="498"/>
      <c r="G42" s="475">
        <v>5.0000000000000001E-4</v>
      </c>
      <c r="H42" s="316" t="s">
        <v>155</v>
      </c>
      <c r="I42" s="390"/>
      <c r="L42" s="511" t="s">
        <v>205</v>
      </c>
      <c r="M42" s="397">
        <v>6</v>
      </c>
      <c r="W42" s="780"/>
      <c r="X42" s="494">
        <f>X41+250000</f>
        <v>2000000</v>
      </c>
      <c r="Y42" s="522" t="str">
        <v>NEG IRR</v>
      </c>
      <c r="Z42" s="522" t="str">
        <v>NEG IRR</v>
      </c>
      <c r="AA42" s="522">
        <v>0.48123875164771923</v>
      </c>
      <c r="AB42" s="522">
        <v>2.3524875869771957</v>
      </c>
      <c r="AC42" s="522">
        <v>4.2208541550523417</v>
      </c>
      <c r="AD42" s="522">
        <v>6.0884296015613009</v>
      </c>
      <c r="AE42" s="523">
        <v>7.9557859696353166</v>
      </c>
    </row>
    <row r="43" spans="2:74" x14ac:dyDescent="0.3">
      <c r="B43" s="726" t="s">
        <v>890</v>
      </c>
      <c r="C43" s="407">
        <f>AVERAGE(65,43)</f>
        <v>54</v>
      </c>
      <c r="L43" s="511" t="s">
        <v>204</v>
      </c>
      <c r="M43" s="397">
        <v>10</v>
      </c>
    </row>
    <row r="44" spans="2:74" x14ac:dyDescent="0.3">
      <c r="B44" s="726" t="s">
        <v>891</v>
      </c>
      <c r="C44" s="770">
        <f>AVERAGE(C42:C43)</f>
        <v>39.5</v>
      </c>
      <c r="L44" s="511" t="s">
        <v>607</v>
      </c>
      <c r="M44" s="404">
        <f>M40*M41*M39*G39</f>
        <v>540</v>
      </c>
    </row>
    <row r="45" spans="2:74" x14ac:dyDescent="0.3">
      <c r="B45" s="726" t="s">
        <v>892</v>
      </c>
      <c r="C45" s="771">
        <f>C34*(597-0.56*C44)</f>
        <v>2407.0225600000003</v>
      </c>
      <c r="L45" s="513" t="s">
        <v>608</v>
      </c>
      <c r="M45" s="336">
        <f>M44*M43*M42</f>
        <v>32400</v>
      </c>
    </row>
    <row r="46" spans="2:74" x14ac:dyDescent="0.3">
      <c r="B46" s="726" t="s">
        <v>893</v>
      </c>
      <c r="C46" s="772">
        <f>G28*C45</f>
        <v>604554503.44186056</v>
      </c>
    </row>
    <row r="47" spans="2:74" x14ac:dyDescent="0.3">
      <c r="B47" s="726" t="s">
        <v>894</v>
      </c>
      <c r="C47" s="770">
        <f>C46/(M43*M42*G31*M40*3600)</f>
        <v>174.9289651162791</v>
      </c>
      <c r="E47" s="390"/>
      <c r="BV47" s="299" t="s">
        <v>31</v>
      </c>
    </row>
    <row r="48" spans="2:74" x14ac:dyDescent="0.3">
      <c r="B48" s="769" t="s">
        <v>895</v>
      </c>
      <c r="C48" s="408" t="str">
        <f>IF(C38-C47&gt;0,"YES","NO")</f>
        <v>YES</v>
      </c>
      <c r="BV48" s="27" t="s">
        <v>35</v>
      </c>
    </row>
    <row r="49" spans="74:74" x14ac:dyDescent="0.3">
      <c r="BV49" s="27" t="s">
        <v>39</v>
      </c>
    </row>
    <row r="50" spans="74:74" x14ac:dyDescent="0.3">
      <c r="BV50" s="27" t="s">
        <v>42</v>
      </c>
    </row>
    <row r="51" spans="74:74" x14ac:dyDescent="0.3">
      <c r="BV51" s="27" t="s">
        <v>45</v>
      </c>
    </row>
    <row r="52" spans="74:74" x14ac:dyDescent="0.3">
      <c r="BV52" s="30" t="s">
        <v>48</v>
      </c>
    </row>
    <row r="55" spans="74:74" x14ac:dyDescent="0.3">
      <c r="BV55" t="s">
        <v>81</v>
      </c>
    </row>
    <row r="56" spans="74:74" x14ac:dyDescent="0.3">
      <c r="BV56" t="s">
        <v>69</v>
      </c>
    </row>
  </sheetData>
  <mergeCells count="7">
    <mergeCell ref="W35:W42"/>
    <mergeCell ref="W11:AE11"/>
    <mergeCell ref="Y13:AE13"/>
    <mergeCell ref="W15:W22"/>
    <mergeCell ref="Y23:AE23"/>
    <mergeCell ref="W25:W32"/>
    <mergeCell ref="Y33:AE33"/>
  </mergeCells>
  <conditionalFormatting sqref="Y16:AE22">
    <cfRule type="containsText" dxfId="136" priority="13" operator="containsText" text="NEG IRR">
      <formula>NOT(ISERROR(SEARCH("NEG IRR",Y16)))</formula>
    </cfRule>
    <cfRule type="containsText" dxfId="135" priority="14" operator="containsText" text="ERROR">
      <formula>NOT(ISERROR(SEARCH("ERROR",Y16)))</formula>
    </cfRule>
    <cfRule type="cellIs" dxfId="134" priority="15" operator="between">
      <formula>$AG$16</formula>
      <formula>$AG$17</formula>
    </cfRule>
    <cfRule type="cellIs" dxfId="133" priority="16" operator="greaterThan">
      <formula>$AG$17</formula>
    </cfRule>
    <cfRule type="cellIs" dxfId="132" priority="17" operator="lessThan">
      <formula>$AG$16</formula>
    </cfRule>
  </conditionalFormatting>
  <conditionalFormatting sqref="Y26:AE32">
    <cfRule type="containsText" dxfId="131" priority="8" operator="containsText" text="NEG IRR">
      <formula>NOT(ISERROR(SEARCH("NEG IRR",Y26)))</formula>
    </cfRule>
    <cfRule type="containsText" dxfId="130" priority="9" operator="containsText" text="ERROR">
      <formula>NOT(ISERROR(SEARCH("ERROR",Y26)))</formula>
    </cfRule>
    <cfRule type="cellIs" dxfId="129" priority="10" operator="between">
      <formula>$AG$16</formula>
      <formula>$AG$17</formula>
    </cfRule>
    <cfRule type="cellIs" dxfId="128" priority="11" operator="greaterThan">
      <formula>$AG$17</formula>
    </cfRule>
    <cfRule type="cellIs" dxfId="127" priority="12" operator="lessThan">
      <formula>$AG$16</formula>
    </cfRule>
  </conditionalFormatting>
  <conditionalFormatting sqref="Y36:AE42">
    <cfRule type="containsText" dxfId="126" priority="3" operator="containsText" text="NEG IRR">
      <formula>NOT(ISERROR(SEARCH("NEG IRR",Y36)))</formula>
    </cfRule>
    <cfRule type="containsText" dxfId="125" priority="4" operator="containsText" text="ERROR">
      <formula>NOT(ISERROR(SEARCH("ERROR",Y36)))</formula>
    </cfRule>
    <cfRule type="cellIs" dxfId="124" priority="5" operator="between">
      <formula>$AG$16</formula>
      <formula>$AG$17</formula>
    </cfRule>
    <cfRule type="cellIs" dxfId="123" priority="6" operator="greaterThan">
      <formula>$AG$17</formula>
    </cfRule>
    <cfRule type="cellIs" dxfId="122" priority="7" operator="lessThan">
      <formula>$AG$16</formula>
    </cfRule>
  </conditionalFormatting>
  <conditionalFormatting sqref="C48">
    <cfRule type="containsText" dxfId="121" priority="1" operator="containsText" text="NO">
      <formula>NOT(ISERROR(SEARCH("NO",C48)))</formula>
    </cfRule>
    <cfRule type="containsText" dxfId="120" priority="2" operator="containsText" text="YES">
      <formula>NOT(ISERROR(SEARCH("YES",C48)))</formula>
    </cfRule>
  </conditionalFormatting>
  <dataValidations count="2">
    <dataValidation type="list" allowBlank="1" showInputMessage="1" showErrorMessage="1" sqref="M27:M34" xr:uid="{CADE08DF-B44E-4690-ADD4-88F3E37F8802}">
      <formula1>$BV$55:$BV$56</formula1>
    </dataValidation>
    <dataValidation type="list" allowBlank="1" showInputMessage="1" showErrorMessage="1" sqref="D9" xr:uid="{898B1577-E31A-45C4-A53C-4B65A681DCC5}">
      <formula1>$BV$47:$BV$52</formula1>
    </dataValidation>
  </dataValidations>
  <hyperlinks>
    <hyperlink ref="S4" r:id="rId1" location="traditional-drying-systems" xr:uid="{7B3EA23E-11FE-4EE2-85EB-94DBE7689D07}"/>
    <hyperlink ref="S5" r:id="rId2" location=":~:text=Air%20temperature%20and%20relative%20humidity,of%20equilibrium%20with%20the%20environment." xr:uid="{167F58E9-F08F-4D54-B80D-4B0BB4510F87}"/>
    <hyperlink ref="S6" r:id="rId3" xr:uid="{52764A0D-8483-43AC-BF1F-62E65F897A15}"/>
    <hyperlink ref="S7" r:id="rId4" xr:uid="{13E5F658-BCDC-42AA-8539-631685BFB052}"/>
    <hyperlink ref="S8" r:id="rId5" xr:uid="{E4C6CD59-3C40-46AF-A995-FBADC7543C30}"/>
    <hyperlink ref="S9" r:id="rId6" xr:uid="{103DFF4D-C3C7-4299-9788-266220FE4AB5}"/>
  </hyperlinks>
  <pageMargins left="0.7" right="0.7" top="0.75" bottom="0.75" header="0.3" footer="0.3"/>
  <pageSetup orientation="portrait" r:id="rId7"/>
  <drawing r:id="rId8"/>
  <legacyDrawing r:id="rId9"/>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5CC482-30DB-48B0-BF33-984068D1FB1C}">
  <sheetPr>
    <tabColor theme="2" tint="-0.499984740745262"/>
  </sheetPr>
  <dimension ref="B2:BV56"/>
  <sheetViews>
    <sheetView showGridLines="0" zoomScale="80" zoomScaleNormal="80" workbookViewId="0"/>
  </sheetViews>
  <sheetFormatPr defaultRowHeight="14.4" x14ac:dyDescent="0.3"/>
  <cols>
    <col min="1" max="1" width="3.44140625" customWidth="1"/>
    <col min="2" max="2" width="41.6640625" customWidth="1"/>
    <col min="3" max="3" width="18.6640625" customWidth="1"/>
    <col min="5" max="5" width="20" customWidth="1"/>
    <col min="6" max="6" width="25.88671875" customWidth="1"/>
    <col min="7" max="7" width="17" customWidth="1"/>
    <col min="8" max="8" width="14.109375" customWidth="1"/>
    <col min="9" max="9" width="32.44140625" customWidth="1"/>
    <col min="10" max="10" width="11.6640625" customWidth="1"/>
    <col min="11" max="11" width="6.109375" customWidth="1"/>
    <col min="12" max="12" width="45.88671875" customWidth="1"/>
    <col min="13" max="13" width="21.6640625" customWidth="1"/>
    <col min="14" max="14" width="20" customWidth="1"/>
    <col min="15" max="15" width="18.6640625" customWidth="1"/>
    <col min="17" max="17" width="14" customWidth="1"/>
    <col min="24" max="24" width="11" customWidth="1"/>
    <col min="25" max="31" width="13.109375" bestFit="1" customWidth="1"/>
  </cols>
  <sheetData>
    <row r="2" spans="2:33" x14ac:dyDescent="0.3">
      <c r="S2" s="369"/>
    </row>
    <row r="3" spans="2:33" x14ac:dyDescent="0.3">
      <c r="S3" s="368"/>
    </row>
    <row r="4" spans="2:33" x14ac:dyDescent="0.3">
      <c r="S4" s="368"/>
    </row>
    <row r="5" spans="2:33" x14ac:dyDescent="0.3">
      <c r="S5" s="368"/>
    </row>
    <row r="6" spans="2:33" x14ac:dyDescent="0.3">
      <c r="B6" s="19" t="s">
        <v>20</v>
      </c>
      <c r="C6" s="20"/>
      <c r="D6" s="21"/>
      <c r="F6" s="590" t="s">
        <v>19</v>
      </c>
      <c r="G6" s="317">
        <v>44197</v>
      </c>
      <c r="I6" s="321" t="s">
        <v>67</v>
      </c>
      <c r="J6" s="320" t="s">
        <v>34</v>
      </c>
      <c r="L6" s="330" t="s">
        <v>16</v>
      </c>
      <c r="M6" s="11" t="s">
        <v>17</v>
      </c>
      <c r="N6" s="325" t="s">
        <v>173</v>
      </c>
      <c r="O6" s="12" t="s">
        <v>172</v>
      </c>
      <c r="Q6" s="1" t="s">
        <v>0</v>
      </c>
      <c r="S6" s="371"/>
    </row>
    <row r="7" spans="2:33" x14ac:dyDescent="0.3">
      <c r="B7" s="49" t="s">
        <v>21</v>
      </c>
      <c r="C7" s="22" t="s">
        <v>22</v>
      </c>
      <c r="D7" s="23"/>
      <c r="I7" s="500" t="s">
        <v>359</v>
      </c>
      <c r="J7" s="13">
        <f>'Data Sources'!E40</f>
        <v>3.4593170477911568</v>
      </c>
      <c r="K7" s="107"/>
      <c r="L7" s="331" t="s">
        <v>702</v>
      </c>
      <c r="M7" s="332" t="s">
        <v>171</v>
      </c>
      <c r="N7" s="13">
        <f>'Data Sources'!E39</f>
        <v>0.16143479556358731</v>
      </c>
      <c r="O7" s="504">
        <f>N7*G25*(1+$R$12)</f>
        <v>16466.349147485904</v>
      </c>
      <c r="Q7" s="2" t="s">
        <v>1</v>
      </c>
      <c r="S7" s="370"/>
    </row>
    <row r="8" spans="2:33" x14ac:dyDescent="0.3">
      <c r="B8" s="509" t="s">
        <v>23</v>
      </c>
      <c r="C8" s="15" t="s">
        <v>363</v>
      </c>
      <c r="D8" s="24"/>
      <c r="F8" s="19" t="s">
        <v>168</v>
      </c>
      <c r="G8" s="26"/>
      <c r="I8" s="501" t="s">
        <v>360</v>
      </c>
      <c r="J8" s="399">
        <f>J7</f>
        <v>3.4593170477911568</v>
      </c>
      <c r="K8" s="107"/>
      <c r="L8" s="310" t="s">
        <v>25</v>
      </c>
      <c r="M8" s="333" t="s">
        <v>201</v>
      </c>
      <c r="N8" s="363">
        <f>IF(D9="Djibouti",'Data Sources'!C51,IF(D9="Ethiopia",'Data Sources'!D51,IF(D9="Kenya",'Data Sources'!E51,IF(D9="Rwanda",'Data Sources'!F51,IF(D9="Tanzania",'Data Sources'!G51,IF(D9="Uganda",'Data Sources'!H51,0))))))</f>
        <v>0.14390758918811211</v>
      </c>
      <c r="O8" s="505">
        <f>N8*G32*G25*(1+$R$12)</f>
        <v>2935.7148194374872</v>
      </c>
      <c r="Q8" s="3" t="s">
        <v>2</v>
      </c>
      <c r="S8" s="354"/>
    </row>
    <row r="9" spans="2:33" x14ac:dyDescent="0.3">
      <c r="B9" s="509" t="s">
        <v>24</v>
      </c>
      <c r="C9" s="22" t="s">
        <v>395</v>
      </c>
      <c r="D9" s="25" t="s">
        <v>39</v>
      </c>
      <c r="F9" s="500" t="s">
        <v>169</v>
      </c>
      <c r="G9" s="303" t="str">
        <f>VLOOKUP(D9,Currency!B8:F13,2,0)</f>
        <v>K Shilling</v>
      </c>
      <c r="I9" s="501" t="s">
        <v>361</v>
      </c>
      <c r="J9" s="48">
        <v>0.5</v>
      </c>
      <c r="L9" s="310" t="s">
        <v>77</v>
      </c>
      <c r="M9" s="333" t="s">
        <v>18</v>
      </c>
      <c r="N9" s="364">
        <v>0.1</v>
      </c>
      <c r="O9" s="505">
        <f>N9*C29*(1+$R$12)</f>
        <v>29430.852082412766</v>
      </c>
      <c r="Q9" s="4" t="s">
        <v>3</v>
      </c>
      <c r="S9" s="354"/>
    </row>
    <row r="10" spans="2:33" x14ac:dyDescent="0.3">
      <c r="F10" s="509" t="s">
        <v>170</v>
      </c>
      <c r="G10" s="304" t="str">
        <f>VLOOKUP(D9,Currency!B8:F13,3,0)</f>
        <v>KES</v>
      </c>
      <c r="I10" s="501" t="s">
        <v>362</v>
      </c>
      <c r="J10" s="48">
        <v>0.5</v>
      </c>
      <c r="L10" s="310" t="s">
        <v>183</v>
      </c>
      <c r="M10" s="333" t="s">
        <v>190</v>
      </c>
      <c r="N10" s="363">
        <f>IF(D9="Djibouti",'Data Sources'!C61,IF(D9="Ethiopia",'Data Sources'!D61,IF(D9="Kenya",'Data Sources'!E61,IF(D9="Rwanda",'Data Sources'!F61,IF(D9="Tanzania",'Data Sources'!G61,IF(D9="Uganda",'Data Sources'!H61,0))))))</f>
        <v>0.77474864602330751</v>
      </c>
      <c r="O10" s="505">
        <f>N10*M45*(1+$R$12)</f>
        <v>44315.62255253319</v>
      </c>
    </row>
    <row r="11" spans="2:33" x14ac:dyDescent="0.3">
      <c r="B11" s="71" t="s">
        <v>12</v>
      </c>
      <c r="C11" s="72"/>
      <c r="F11" s="49" t="str">
        <f>"Exchng Rate " &amp; "(" &amp; G10 &amp; "/USD" &amp;")"</f>
        <v>Exchng Rate (KES/USD)</v>
      </c>
      <c r="G11" s="304">
        <f>VLOOKUP(D9,Currency!B8:F13,4,0)</f>
        <v>108.4029</v>
      </c>
      <c r="I11" s="49" t="s">
        <v>176</v>
      </c>
      <c r="J11" s="18">
        <v>0.01</v>
      </c>
      <c r="L11" s="310" t="s">
        <v>79</v>
      </c>
      <c r="M11" s="333" t="s">
        <v>174</v>
      </c>
      <c r="N11" s="337" t="s">
        <v>203</v>
      </c>
      <c r="O11" s="505">
        <f>O35*(1+$R$12)</f>
        <v>17744.912728349518</v>
      </c>
      <c r="Q11" s="9" t="s">
        <v>13</v>
      </c>
      <c r="R11" s="489">
        <v>0</v>
      </c>
      <c r="W11" s="781" t="s">
        <v>755</v>
      </c>
      <c r="X11" s="782"/>
      <c r="Y11" s="782"/>
      <c r="Z11" s="782"/>
      <c r="AA11" s="782"/>
      <c r="AB11" s="782"/>
      <c r="AC11" s="782"/>
      <c r="AD11" s="782"/>
      <c r="AE11" s="783"/>
    </row>
    <row r="12" spans="2:33" x14ac:dyDescent="0.3">
      <c r="B12" s="1" t="s">
        <v>13</v>
      </c>
      <c r="C12" s="72" t="s">
        <v>14</v>
      </c>
      <c r="D12" s="107"/>
      <c r="L12" s="310" t="s">
        <v>76</v>
      </c>
      <c r="M12" s="333" t="s">
        <v>174</v>
      </c>
      <c r="N12" s="307">
        <f>'Data Sources'!E65</f>
        <v>92.248454607764188</v>
      </c>
      <c r="O12" s="505">
        <f>N12*(1+$R$12)</f>
        <v>92.248454607764188</v>
      </c>
      <c r="Q12" s="9" t="s">
        <v>756</v>
      </c>
      <c r="R12" s="489">
        <v>0</v>
      </c>
    </row>
    <row r="13" spans="2:33" x14ac:dyDescent="0.3">
      <c r="B13" s="331" t="s">
        <v>83</v>
      </c>
      <c r="C13" s="312">
        <v>20000</v>
      </c>
      <c r="D13" s="107"/>
      <c r="E13" s="53" t="s">
        <v>157</v>
      </c>
      <c r="F13" s="72" t="s">
        <v>158</v>
      </c>
      <c r="G13" s="285" t="s">
        <v>74</v>
      </c>
      <c r="I13" s="16" t="s">
        <v>165</v>
      </c>
      <c r="J13" s="26"/>
      <c r="L13" s="310" t="s">
        <v>78</v>
      </c>
      <c r="M13" s="333" t="s">
        <v>174</v>
      </c>
      <c r="N13" s="307">
        <v>0</v>
      </c>
      <c r="O13" s="505">
        <f>N13*(1+$R$12)</f>
        <v>0</v>
      </c>
      <c r="Q13" s="9" t="s">
        <v>757</v>
      </c>
      <c r="R13" s="489">
        <v>0</v>
      </c>
      <c r="Y13" s="781" t="s">
        <v>13</v>
      </c>
      <c r="Z13" s="782"/>
      <c r="AA13" s="782"/>
      <c r="AB13" s="782"/>
      <c r="AC13" s="782"/>
      <c r="AD13" s="782"/>
      <c r="AE13" s="783"/>
    </row>
    <row r="14" spans="2:33" x14ac:dyDescent="0.3">
      <c r="B14" s="310" t="s">
        <v>84</v>
      </c>
      <c r="C14" s="307">
        <v>3500</v>
      </c>
      <c r="D14" s="107"/>
      <c r="E14" s="500" t="s">
        <v>159</v>
      </c>
      <c r="F14" s="48">
        <v>0.7</v>
      </c>
      <c r="G14" s="286">
        <f>$C$29*F14</f>
        <v>206015.96457688935</v>
      </c>
      <c r="I14" s="16" t="s">
        <v>166</v>
      </c>
      <c r="J14" s="315">
        <f>IF(D9="Djibouti",'Data Sources'!C54,IF(D9="Ethiopia",'Data Sources'!D54,IF(D9="Kenya",'Data Sources'!E54,IF(D9="Rwanda",'Data Sources'!F54,IF(D9="Tanzania",'Data Sources'!G54,IF(D9="Uganda",'Data Sources'!H54,0))))))</f>
        <v>0.25</v>
      </c>
      <c r="K14" s="107"/>
      <c r="L14" s="310" t="s">
        <v>389</v>
      </c>
      <c r="M14" s="333" t="s">
        <v>566</v>
      </c>
      <c r="N14" s="364">
        <v>5.0000000000000001E-3</v>
      </c>
      <c r="O14" s="505">
        <f>N14*Pyre_CashFlows!$P$12*(1+$R$12)</f>
        <v>349.32183548595083</v>
      </c>
      <c r="Y14" s="652">
        <f>SUM($C$13:$C$28)*(1+Y$15)</f>
        <v>172487.4708166593</v>
      </c>
      <c r="Z14" s="653">
        <f t="shared" ref="Z14:AE14" si="0">SUM($C$13:$C$28)*(1+Z$15)</f>
        <v>229983.29442221244</v>
      </c>
      <c r="AA14" s="653">
        <f t="shared" si="0"/>
        <v>287479.11802776554</v>
      </c>
      <c r="AB14" s="653">
        <f t="shared" si="0"/>
        <v>344974.94163331861</v>
      </c>
      <c r="AC14" s="653">
        <f t="shared" si="0"/>
        <v>402470.76523887174</v>
      </c>
      <c r="AD14" s="653">
        <f t="shared" si="0"/>
        <v>459966.58884442487</v>
      </c>
      <c r="AE14" s="654">
        <f t="shared" si="0"/>
        <v>517462.412449978</v>
      </c>
    </row>
    <row r="15" spans="2:33" ht="15" customHeight="1" x14ac:dyDescent="0.3">
      <c r="B15" s="310" t="s">
        <v>85</v>
      </c>
      <c r="C15" s="307">
        <v>30000</v>
      </c>
      <c r="D15" s="107"/>
      <c r="E15" s="501" t="s">
        <v>160</v>
      </c>
      <c r="F15" s="48">
        <v>0.3</v>
      </c>
      <c r="G15" s="286">
        <f>$C$29*F15</f>
        <v>88292.556247238288</v>
      </c>
      <c r="L15" s="310" t="s">
        <v>543</v>
      </c>
      <c r="M15" s="333" t="s">
        <v>566</v>
      </c>
      <c r="N15" s="364">
        <v>5.0000000000000001E-3</v>
      </c>
      <c r="O15" s="505">
        <f>N15*Pyre_CashFlows!$P$12*(1+$R$12)</f>
        <v>349.32183548595083</v>
      </c>
      <c r="Q15" s="741" t="s">
        <v>871</v>
      </c>
      <c r="R15" s="742">
        <f>J7*(1+$R$13)</f>
        <v>3.4593170477911568</v>
      </c>
      <c r="W15" s="778" t="s">
        <v>761</v>
      </c>
      <c r="X15" s="490" t="str">
        <f>Pyre_CashFlows!BP4</f>
        <v>NEG IRR</v>
      </c>
      <c r="Y15" s="524">
        <v>-0.4</v>
      </c>
      <c r="Z15" s="524">
        <v>-0.2</v>
      </c>
      <c r="AA15" s="524">
        <v>0</v>
      </c>
      <c r="AB15" s="524">
        <v>0.2</v>
      </c>
      <c r="AC15" s="524">
        <v>0.4</v>
      </c>
      <c r="AD15" s="524">
        <v>0.6</v>
      </c>
      <c r="AE15" s="525">
        <v>0.8</v>
      </c>
    </row>
    <row r="16" spans="2:33" x14ac:dyDescent="0.3">
      <c r="B16" s="310" t="s">
        <v>86</v>
      </c>
      <c r="C16" s="307">
        <v>3000</v>
      </c>
      <c r="D16" s="107"/>
      <c r="E16" s="49" t="s">
        <v>161</v>
      </c>
      <c r="F16" s="48">
        <v>0</v>
      </c>
      <c r="G16" s="286">
        <f>$C$29*F16</f>
        <v>0</v>
      </c>
      <c r="I16" s="56" t="s">
        <v>70</v>
      </c>
      <c r="J16" s="21"/>
      <c r="L16" s="310" t="s">
        <v>559</v>
      </c>
      <c r="M16" s="333" t="s">
        <v>567</v>
      </c>
      <c r="N16" s="313">
        <v>2</v>
      </c>
      <c r="O16" s="505">
        <f>N16*10.7639*G43*G42*(1+$R$12)</f>
        <v>10763.9</v>
      </c>
      <c r="Q16" s="741" t="s">
        <v>872</v>
      </c>
      <c r="R16" s="742">
        <f>J8*(1+$R$13)</f>
        <v>3.4593170477911568</v>
      </c>
      <c r="W16" s="779"/>
      <c r="X16" s="492">
        <v>100000</v>
      </c>
      <c r="Y16" s="520" t="str">
        <f t="dataTable" ref="Y16:AE22" dt2D="1" dtr="1" r1="R11" r2="G25"/>
        <v>NEG IRR</v>
      </c>
      <c r="Z16" s="520" t="str">
        <v>NEG IRR</v>
      </c>
      <c r="AA16" s="520" t="str">
        <v>NEG IRR</v>
      </c>
      <c r="AB16" s="520" t="str">
        <v>NEG IRR</v>
      </c>
      <c r="AC16" s="520" t="str">
        <v>NEG IRR</v>
      </c>
      <c r="AD16" s="520" t="str">
        <v>NEG IRR</v>
      </c>
      <c r="AE16" s="521" t="str">
        <v>NEG IRR</v>
      </c>
      <c r="AG16" s="495">
        <v>0.1</v>
      </c>
    </row>
    <row r="17" spans="2:33" x14ac:dyDescent="0.3">
      <c r="B17" s="310" t="s">
        <v>87</v>
      </c>
      <c r="C17" s="307">
        <v>45000</v>
      </c>
      <c r="D17" s="107"/>
      <c r="E17" s="16" t="s">
        <v>162</v>
      </c>
      <c r="F17" s="400">
        <f>SUM(F14:F16)</f>
        <v>1</v>
      </c>
      <c r="G17" s="10">
        <f>SUM(G14:G16)</f>
        <v>294308.52082412766</v>
      </c>
      <c r="I17" s="16" t="s">
        <v>71</v>
      </c>
      <c r="J17" s="55">
        <v>25</v>
      </c>
      <c r="L17" s="310" t="s">
        <v>75</v>
      </c>
      <c r="M17" s="333" t="s">
        <v>171</v>
      </c>
      <c r="N17" s="363">
        <v>0.01</v>
      </c>
      <c r="O17" s="505">
        <f>N17*G29*(1+$R$12)</f>
        <v>203.99999999999986</v>
      </c>
      <c r="W17" s="779"/>
      <c r="X17" s="493">
        <f>X16+25000</f>
        <v>125000</v>
      </c>
      <c r="Y17" s="520" t="str">
        <v>NEG IRR</v>
      </c>
      <c r="Z17" s="520" t="str">
        <v>NEG IRR</v>
      </c>
      <c r="AA17" s="520" t="str">
        <v>NEG IRR</v>
      </c>
      <c r="AB17" s="520" t="str">
        <v>NEG IRR</v>
      </c>
      <c r="AC17" s="520" t="str">
        <v>NEG IRR</v>
      </c>
      <c r="AD17" s="520" t="str">
        <v>NEG IRR</v>
      </c>
      <c r="AE17" s="521" t="str">
        <v>NEG IRR</v>
      </c>
      <c r="AG17" s="496">
        <v>0.14990000000000001</v>
      </c>
    </row>
    <row r="18" spans="2:33" x14ac:dyDescent="0.3">
      <c r="B18" s="310" t="s">
        <v>614</v>
      </c>
      <c r="C18" s="307">
        <v>60000</v>
      </c>
      <c r="D18" s="107"/>
      <c r="I18" s="508" t="s">
        <v>72</v>
      </c>
      <c r="J18" s="54">
        <f>C29</f>
        <v>294308.52082412766</v>
      </c>
      <c r="L18" s="310" t="s">
        <v>4</v>
      </c>
      <c r="M18" s="333" t="s">
        <v>174</v>
      </c>
      <c r="N18" s="307">
        <v>0</v>
      </c>
      <c r="O18" s="505">
        <f>N18*(1+$R$12)</f>
        <v>0</v>
      </c>
      <c r="W18" s="779"/>
      <c r="X18" s="493">
        <f t="shared" ref="X18:X21" si="1">X17+25000</f>
        <v>150000</v>
      </c>
      <c r="Y18" s="520" t="str">
        <v>NEG IRR</v>
      </c>
      <c r="Z18" s="520" t="str">
        <v>NEG IRR</v>
      </c>
      <c r="AA18" s="520" t="str">
        <v>NEG IRR</v>
      </c>
      <c r="AB18" s="520" t="str">
        <v>NEG IRR</v>
      </c>
      <c r="AC18" s="520" t="str">
        <v>NEG IRR</v>
      </c>
      <c r="AD18" s="520" t="str">
        <v>NEG IRR</v>
      </c>
      <c r="AE18" s="521" t="str">
        <v>NEG IRR</v>
      </c>
    </row>
    <row r="19" spans="2:33" x14ac:dyDescent="0.3">
      <c r="B19" s="310" t="s">
        <v>623</v>
      </c>
      <c r="C19" s="307">
        <v>65000</v>
      </c>
      <c r="D19" s="107"/>
      <c r="E19" s="53" t="s">
        <v>164</v>
      </c>
      <c r="F19" s="276"/>
      <c r="I19" s="508" t="s">
        <v>73</v>
      </c>
      <c r="J19" s="55">
        <v>0</v>
      </c>
      <c r="L19" s="310" t="s">
        <v>5</v>
      </c>
      <c r="M19" s="333" t="s">
        <v>174</v>
      </c>
      <c r="N19" s="307">
        <v>0</v>
      </c>
      <c r="O19" s="505">
        <f>N19*(1+$R$12)</f>
        <v>0</v>
      </c>
      <c r="W19" s="779"/>
      <c r="X19" s="493">
        <f t="shared" si="1"/>
        <v>175000</v>
      </c>
      <c r="Y19" s="520" t="str">
        <v>NEG IRR</v>
      </c>
      <c r="Z19" s="520" t="str">
        <v>NEG IRR</v>
      </c>
      <c r="AA19" s="520" t="str">
        <v>NEG IRR</v>
      </c>
      <c r="AB19" s="520" t="str">
        <v>NEG IRR</v>
      </c>
      <c r="AC19" s="520" t="str">
        <v>NEG IRR</v>
      </c>
      <c r="AD19" s="520" t="str">
        <v>NEG IRR</v>
      </c>
      <c r="AE19" s="521" t="str">
        <v>NEG IRR</v>
      </c>
    </row>
    <row r="20" spans="2:33" x14ac:dyDescent="0.3">
      <c r="B20" s="310" t="s">
        <v>873</v>
      </c>
      <c r="C20" s="740">
        <f>IF(D9="Djibouti",'Data Sources'!C85,IF(D9="Ethiopia",'Data Sources'!D85,IF(D9="Kenya",'Data Sources'!E85,IF(D9="Rwanda",'Data Sources'!F85,IF(D9="Tanzania",'Data Sources'!G85,IF(D9="Uganda",'Data Sources'!H85,0))))))</f>
        <v>9.1180277655035429</v>
      </c>
      <c r="D20" s="107"/>
      <c r="E20" s="502" t="s">
        <v>182</v>
      </c>
      <c r="F20" s="275"/>
      <c r="G20" s="302">
        <f>IF(D9="Djibouti",Currency!Q8,IF(D9="Ethiopia",Currency!Q9,IF(D9="Kenya",Currency!Q10,IF(D9="Rwanda",Currency!Q11,IF(D9="Tanzania",Currency!Q12,IF(D9="Uganda",Currency!Q13,0))))))</f>
        <v>0.119657894736842</v>
      </c>
      <c r="L20" s="310" t="s">
        <v>6</v>
      </c>
      <c r="M20" s="333" t="s">
        <v>174</v>
      </c>
      <c r="N20" s="307">
        <v>0</v>
      </c>
      <c r="O20" s="505">
        <f>N20*(1+$R$12)</f>
        <v>0</v>
      </c>
      <c r="W20" s="779"/>
      <c r="X20" s="493">
        <f t="shared" si="1"/>
        <v>200000</v>
      </c>
      <c r="Y20" s="520">
        <v>-5.2516204135612643E-2</v>
      </c>
      <c r="Z20" s="520" t="str">
        <v>NEG IRR</v>
      </c>
      <c r="AA20" s="520" t="str">
        <v>NEG IRR</v>
      </c>
      <c r="AB20" s="520" t="str">
        <v>NEG IRR</v>
      </c>
      <c r="AC20" s="520" t="str">
        <v>NEG IRR</v>
      </c>
      <c r="AD20" s="520" t="str">
        <v>NEG IRR</v>
      </c>
      <c r="AE20" s="521" t="str">
        <v>NEG IRR</v>
      </c>
    </row>
    <row r="21" spans="2:33" x14ac:dyDescent="0.3">
      <c r="B21" s="7" t="s">
        <v>642</v>
      </c>
      <c r="C21" s="8">
        <v>20000</v>
      </c>
      <c r="D21" s="107"/>
      <c r="E21" s="503" t="s">
        <v>68</v>
      </c>
      <c r="F21" s="498"/>
      <c r="G21" s="52">
        <v>10</v>
      </c>
      <c r="L21" s="310" t="s">
        <v>7</v>
      </c>
      <c r="M21" s="333" t="s">
        <v>174</v>
      </c>
      <c r="N21" s="307">
        <v>0</v>
      </c>
      <c r="O21" s="505">
        <f>N21*(1+$R$12)</f>
        <v>0</v>
      </c>
      <c r="W21" s="779"/>
      <c r="X21" s="493">
        <f t="shared" si="1"/>
        <v>225000</v>
      </c>
      <c r="Y21" s="520">
        <v>7.270892050852118E-2</v>
      </c>
      <c r="Z21" s="520">
        <v>-1.3956133403572268E-2</v>
      </c>
      <c r="AA21" s="520">
        <v>-9.1116941605972057E-2</v>
      </c>
      <c r="AB21" s="520" t="str">
        <v>NEG IRR</v>
      </c>
      <c r="AC21" s="520" t="str">
        <v>NEG IRR</v>
      </c>
      <c r="AD21" s="520" t="str">
        <v>NEG IRR</v>
      </c>
      <c r="AE21" s="521" t="str">
        <v>NEG IRR</v>
      </c>
    </row>
    <row r="22" spans="2:33" x14ac:dyDescent="0.3">
      <c r="B22" s="7" t="s">
        <v>516</v>
      </c>
      <c r="C22" s="8">
        <v>30000</v>
      </c>
      <c r="D22" s="107"/>
      <c r="L22" s="323" t="s">
        <v>8</v>
      </c>
      <c r="M22" s="334" t="s">
        <v>174</v>
      </c>
      <c r="N22" s="318">
        <v>0</v>
      </c>
      <c r="O22" s="506">
        <f>N22*(1+$R$12)</f>
        <v>0</v>
      </c>
      <c r="W22" s="780"/>
      <c r="X22" s="494">
        <f>X21+25000</f>
        <v>250000</v>
      </c>
      <c r="Y22" s="522">
        <v>0.18611061100118742</v>
      </c>
      <c r="Z22" s="522">
        <v>7.3788626924759404E-2</v>
      </c>
      <c r="AA22" s="522">
        <v>5.6273251252041412E-3</v>
      </c>
      <c r="AB22" s="522">
        <v>-4.6241200690734674E-2</v>
      </c>
      <c r="AC22" s="522">
        <v>-0.11293653715568752</v>
      </c>
      <c r="AD22" s="522" t="str">
        <v>NEG IRR</v>
      </c>
      <c r="AE22" s="523" t="str">
        <v>NEG IRR</v>
      </c>
    </row>
    <row r="23" spans="2:33" x14ac:dyDescent="0.3">
      <c r="B23" s="7" t="s">
        <v>407</v>
      </c>
      <c r="C23" s="8">
        <v>10970</v>
      </c>
      <c r="D23" s="107"/>
      <c r="L23" s="49" t="s">
        <v>175</v>
      </c>
      <c r="M23" s="507"/>
      <c r="N23" s="18">
        <v>0.01</v>
      </c>
      <c r="W23" s="68"/>
      <c r="X23" s="68"/>
      <c r="Y23" s="781" t="s">
        <v>756</v>
      </c>
      <c r="Z23" s="782"/>
      <c r="AA23" s="782"/>
      <c r="AB23" s="782"/>
      <c r="AC23" s="782"/>
      <c r="AD23" s="782"/>
      <c r="AE23" s="783"/>
    </row>
    <row r="24" spans="2:33" x14ac:dyDescent="0.3">
      <c r="B24" s="310" t="s">
        <v>4</v>
      </c>
      <c r="C24" s="307">
        <v>0</v>
      </c>
      <c r="D24" s="107"/>
      <c r="E24" s="277" t="s">
        <v>177</v>
      </c>
      <c r="F24" s="66"/>
      <c r="G24" s="311" t="s">
        <v>195</v>
      </c>
      <c r="H24" s="401" t="s">
        <v>17</v>
      </c>
      <c r="Y24" s="652">
        <f>SUM($O$7:$O$22)*(1+Y$25)</f>
        <v>73591.346073479115</v>
      </c>
      <c r="Z24" s="653">
        <f t="shared" ref="Z24:AE24" si="2">SUM($O$7:$O$22)*(1+Z$25)</f>
        <v>98121.79476463882</v>
      </c>
      <c r="AA24" s="653">
        <f t="shared" si="2"/>
        <v>122652.24345579853</v>
      </c>
      <c r="AB24" s="653">
        <f t="shared" si="2"/>
        <v>147182.69214695823</v>
      </c>
      <c r="AC24" s="653">
        <f t="shared" si="2"/>
        <v>171713.14083811792</v>
      </c>
      <c r="AD24" s="653">
        <f t="shared" si="2"/>
        <v>196243.58952927764</v>
      </c>
      <c r="AE24" s="654">
        <f t="shared" si="2"/>
        <v>220774.03822043736</v>
      </c>
    </row>
    <row r="25" spans="2:33" ht="15" customHeight="1" x14ac:dyDescent="0.3">
      <c r="B25" s="310" t="s">
        <v>5</v>
      </c>
      <c r="C25" s="307">
        <v>0</v>
      </c>
      <c r="D25" s="107"/>
      <c r="E25" s="65" t="s">
        <v>364</v>
      </c>
      <c r="F25" s="357"/>
      <c r="G25" s="324">
        <f>'Data Sources'!E41</f>
        <v>102000</v>
      </c>
      <c r="H25" s="306" t="s">
        <v>196</v>
      </c>
      <c r="I25" s="418"/>
      <c r="L25" s="19" t="s">
        <v>79</v>
      </c>
      <c r="M25" s="63"/>
      <c r="N25" s="63"/>
      <c r="O25" s="276"/>
      <c r="W25" s="778" t="s">
        <v>761</v>
      </c>
      <c r="X25" s="490" t="str">
        <f>Pyre_CashFlows!BP4</f>
        <v>NEG IRR</v>
      </c>
      <c r="Y25" s="524">
        <v>-0.4</v>
      </c>
      <c r="Z25" s="524">
        <v>-0.2</v>
      </c>
      <c r="AA25" s="524">
        <v>0</v>
      </c>
      <c r="AB25" s="524">
        <v>0.2</v>
      </c>
      <c r="AC25" s="524">
        <v>0.4</v>
      </c>
      <c r="AD25" s="524">
        <v>0.6</v>
      </c>
      <c r="AE25" s="525">
        <v>0.8</v>
      </c>
    </row>
    <row r="26" spans="2:33" x14ac:dyDescent="0.3">
      <c r="B26" s="310" t="s">
        <v>6</v>
      </c>
      <c r="C26" s="307">
        <v>0</v>
      </c>
      <c r="D26" s="107"/>
      <c r="E26" s="61" t="s">
        <v>367</v>
      </c>
      <c r="F26" s="275"/>
      <c r="G26" s="471">
        <f>AVERAGE(80%,84%)</f>
        <v>0.82000000000000006</v>
      </c>
      <c r="H26" s="305" t="s">
        <v>155</v>
      </c>
      <c r="L26" s="64"/>
      <c r="M26" s="325" t="s">
        <v>80</v>
      </c>
      <c r="N26" s="72" t="s">
        <v>185</v>
      </c>
      <c r="O26" s="325" t="s">
        <v>185</v>
      </c>
      <c r="W26" s="779"/>
      <c r="X26" s="492">
        <v>100000</v>
      </c>
      <c r="Y26" s="520" t="str">
        <f t="dataTable" ref="Y26:AE32" dt2D="1" dtr="1" r1="R12" r2="G25" ca="1"/>
        <v>NEG IRR</v>
      </c>
      <c r="Z26" s="520" t="str">
        <v>NEG IRR</v>
      </c>
      <c r="AA26" s="520" t="str">
        <v>NEG IRR</v>
      </c>
      <c r="AB26" s="520" t="str">
        <v>NEG IRR</v>
      </c>
      <c r="AC26" s="520" t="str">
        <v>NEG IRR</v>
      </c>
      <c r="AD26" s="520" t="str">
        <v>NEG IRR</v>
      </c>
      <c r="AE26" s="521" t="str">
        <v>NEG IRR</v>
      </c>
    </row>
    <row r="27" spans="2:33" x14ac:dyDescent="0.3">
      <c r="B27" s="310" t="s">
        <v>7</v>
      </c>
      <c r="C27" s="307">
        <v>0</v>
      </c>
      <c r="D27" s="107"/>
      <c r="E27" s="61" t="s">
        <v>366</v>
      </c>
      <c r="F27" s="275"/>
      <c r="G27" s="471">
        <v>0.1</v>
      </c>
      <c r="H27" s="305" t="s">
        <v>155</v>
      </c>
      <c r="L27" s="310" t="s">
        <v>82</v>
      </c>
      <c r="M27" s="327" t="s">
        <v>69</v>
      </c>
      <c r="N27" s="324">
        <f>IF(D9="Djibouti",'Data Sources'!C69,IF(D9="Ethiopia",'Data Sources'!D69,IF(D9="Kenya",'Data Sources'!E69,IF(D9="Rwanda",'Data Sources'!F69,IF(D9="Tanzania",'Data Sources'!G69,IF(D9="Uganda",'Data Sources'!H69,0))))))</f>
        <v>18265.19401233731</v>
      </c>
      <c r="O27" s="67">
        <f>IF(M27="Y",N27,0)</f>
        <v>0</v>
      </c>
      <c r="W27" s="779"/>
      <c r="X27" s="493">
        <f>X26+25000</f>
        <v>125000</v>
      </c>
      <c r="Y27" s="520">
        <v>-5.8620502153685194E-2</v>
      </c>
      <c r="Z27" s="520" t="str">
        <v>NEG IRR</v>
      </c>
      <c r="AA27" s="520" t="str">
        <v>NEG IRR</v>
      </c>
      <c r="AB27" s="520" t="str">
        <v>NEG IRR</v>
      </c>
      <c r="AC27" s="520" t="str">
        <v>NEG IRR</v>
      </c>
      <c r="AD27" s="520" t="str">
        <v>NEG IRR</v>
      </c>
      <c r="AE27" s="521" t="str">
        <v>NEG IRR</v>
      </c>
    </row>
    <row r="28" spans="2:33" x14ac:dyDescent="0.3">
      <c r="B28" s="323" t="s">
        <v>8</v>
      </c>
      <c r="C28" s="318">
        <v>0</v>
      </c>
      <c r="D28" s="107"/>
      <c r="E28" s="61" t="s">
        <v>198</v>
      </c>
      <c r="F28" s="275"/>
      <c r="G28" s="409">
        <f>G25*(G26-G27)*100/(100-100*G27)</f>
        <v>81600.000000000015</v>
      </c>
      <c r="H28" s="305" t="s">
        <v>196</v>
      </c>
      <c r="L28" s="310" t="s">
        <v>521</v>
      </c>
      <c r="M28" s="328" t="s">
        <v>81</v>
      </c>
      <c r="N28" s="319">
        <f>IF(D9="Djibouti",'Data Sources'!C73,IF(D9="Ethiopia",'Data Sources'!D73,IF(D9="Kenya",'Data Sources'!E73,IF(D9="Rwanda",'Data Sources'!F73,IF(D9="Tanzania",'Data Sources'!G73,IF(D9="Uganda",'Data Sources'!H73,0))))))</f>
        <v>7959.1966635578938</v>
      </c>
      <c r="O28" s="69">
        <f t="shared" ref="O28:O34" si="3">IF(M28="Y",N28,0)</f>
        <v>7959.1966635578938</v>
      </c>
      <c r="W28" s="779"/>
      <c r="X28" s="493">
        <f t="shared" ref="X28:X31" si="4">X27+25000</f>
        <v>150000</v>
      </c>
      <c r="Y28" s="520">
        <v>3.2683721069370897E-2</v>
      </c>
      <c r="Z28" s="520" t="str">
        <v>NEG IRR</v>
      </c>
      <c r="AA28" s="520" t="str">
        <v>NEG IRR</v>
      </c>
      <c r="AB28" s="520" t="str">
        <v>NEG IRR</v>
      </c>
      <c r="AC28" s="520" t="str">
        <v>NEG IRR</v>
      </c>
      <c r="AD28" s="520" t="str">
        <v>NEG IRR</v>
      </c>
      <c r="AE28" s="521" t="str">
        <v>NEG IRR</v>
      </c>
    </row>
    <row r="29" spans="2:33" x14ac:dyDescent="0.3">
      <c r="B29" s="9" t="s">
        <v>15</v>
      </c>
      <c r="C29" s="10">
        <f>(SUM(C13:C19)+SUM(C21:C28)+(C20*G44))*(1+$R$11)</f>
        <v>294308.52082412766</v>
      </c>
      <c r="E29" s="61" t="s">
        <v>365</v>
      </c>
      <c r="F29" s="275"/>
      <c r="G29" s="410">
        <f>G25-G28</f>
        <v>20399.999999999985</v>
      </c>
      <c r="H29" s="305" t="s">
        <v>196</v>
      </c>
      <c r="I29" s="390"/>
      <c r="L29" s="310" t="s">
        <v>387</v>
      </c>
      <c r="M29" s="328" t="s">
        <v>81</v>
      </c>
      <c r="N29" s="319">
        <f>IF(D9="Djibouti",'Data Sources'!C77,IF(D9="Ethiopia",'Data Sources'!D77,IF(D9="Kenya",'Data Sources'!E77,IF(D9="Rwanda",'Data Sources'!F77,IF(D9="Tanzania",'Data Sources'!G77,IF(D9="Uganda",'Data Sources'!H77,0))))))</f>
        <v>4892.8580323958122</v>
      </c>
      <c r="O29" s="69">
        <f t="shared" si="3"/>
        <v>4892.8580323958122</v>
      </c>
      <c r="W29" s="779"/>
      <c r="X29" s="493">
        <f t="shared" si="4"/>
        <v>175000</v>
      </c>
      <c r="Y29" s="520">
        <v>0.1101156770216285</v>
      </c>
      <c r="Z29" s="520">
        <v>-5.307618406229142E-2</v>
      </c>
      <c r="AA29" s="520" t="str">
        <v>NEG IRR</v>
      </c>
      <c r="AB29" s="520" t="str">
        <v>NEG IRR</v>
      </c>
      <c r="AC29" s="520" t="str">
        <v>NEG IRR</v>
      </c>
      <c r="AD29" s="520" t="str">
        <v>NEG IRR</v>
      </c>
      <c r="AE29" s="521" t="str">
        <v>NEG IRR</v>
      </c>
    </row>
    <row r="30" spans="2:33" x14ac:dyDescent="0.3">
      <c r="E30" s="61" t="s">
        <v>636</v>
      </c>
      <c r="F30" s="275"/>
      <c r="G30" s="472">
        <v>0.01</v>
      </c>
      <c r="H30" s="305" t="s">
        <v>155</v>
      </c>
      <c r="L30" s="310" t="s">
        <v>184</v>
      </c>
      <c r="M30" s="328" t="s">
        <v>69</v>
      </c>
      <c r="N30" s="319">
        <v>0</v>
      </c>
      <c r="O30" s="69">
        <f t="shared" si="3"/>
        <v>0</v>
      </c>
      <c r="W30" s="779"/>
      <c r="X30" s="493">
        <f t="shared" si="4"/>
        <v>200000</v>
      </c>
      <c r="Y30" s="520">
        <v>0.18970492377996551</v>
      </c>
      <c r="Z30" s="520">
        <v>3.080551809896015E-2</v>
      </c>
      <c r="AA30" s="520" t="str">
        <v>NEG IRR</v>
      </c>
      <c r="AB30" s="520" t="str">
        <v>NEG IRR</v>
      </c>
      <c r="AC30" s="520" t="str">
        <v>NEG IRR</v>
      </c>
      <c r="AD30" s="520" t="str">
        <v>NEG IRR</v>
      </c>
      <c r="AE30" s="521" t="str">
        <v>NEG IRR</v>
      </c>
    </row>
    <row r="31" spans="2:33" x14ac:dyDescent="0.3">
      <c r="B31" s="356" t="s">
        <v>880</v>
      </c>
      <c r="E31" s="61" t="s">
        <v>637</v>
      </c>
      <c r="F31" s="275"/>
      <c r="G31" s="410">
        <f>(1-G30)*G29</f>
        <v>20195.999999999985</v>
      </c>
      <c r="H31" s="305" t="s">
        <v>196</v>
      </c>
      <c r="L31" s="310" t="s">
        <v>386</v>
      </c>
      <c r="M31" s="328" t="s">
        <v>81</v>
      </c>
      <c r="N31" s="319">
        <f>IF(D9="Djibouti",'Data Sources'!C81,IF(D9="Ethiopia",'Data Sources'!D81,IF(D9="Kenya",'Data Sources'!E81,IF(D9="Rwanda",'Data Sources'!F81,IF(D9="Tanzania",'Data Sources'!G81,IF(D9="Uganda",'Data Sources'!H81,0))))))</f>
        <v>4892.8580323958122</v>
      </c>
      <c r="O31" s="69">
        <f t="shared" si="3"/>
        <v>4892.8580323958122</v>
      </c>
      <c r="W31" s="779"/>
      <c r="X31" s="493">
        <f t="shared" si="4"/>
        <v>225000</v>
      </c>
      <c r="Y31" s="520">
        <v>0.28252843746941481</v>
      </c>
      <c r="Z31" s="520">
        <v>0.10332698774536908</v>
      </c>
      <c r="AA31" s="520">
        <v>-9.1116941605972057E-2</v>
      </c>
      <c r="AB31" s="520" t="str">
        <v>NEG IRR</v>
      </c>
      <c r="AC31" s="520" t="str">
        <v>NEG IRR</v>
      </c>
      <c r="AD31" s="520" t="str">
        <v>NEG IRR</v>
      </c>
      <c r="AE31" s="521" t="str">
        <v>NEG IRR</v>
      </c>
    </row>
    <row r="32" spans="2:33" x14ac:dyDescent="0.3">
      <c r="B32" s="766" t="s">
        <v>881</v>
      </c>
      <c r="C32" s="767">
        <v>6.0000000000000001E-3</v>
      </c>
      <c r="E32" s="61" t="s">
        <v>199</v>
      </c>
      <c r="F32" s="275"/>
      <c r="G32" s="411">
        <v>0.2</v>
      </c>
      <c r="H32" s="305" t="s">
        <v>200</v>
      </c>
      <c r="L32" s="310" t="s">
        <v>388</v>
      </c>
      <c r="M32" s="328" t="s">
        <v>69</v>
      </c>
      <c r="N32" s="319">
        <v>0</v>
      </c>
      <c r="O32" s="69">
        <f t="shared" si="3"/>
        <v>0</v>
      </c>
      <c r="W32" s="780"/>
      <c r="X32" s="494">
        <f>X31+25000</f>
        <v>250000</v>
      </c>
      <c r="Y32" s="522">
        <v>0.38816664086658026</v>
      </c>
      <c r="Z32" s="522">
        <v>0.17624585202717857</v>
      </c>
      <c r="AA32" s="522">
        <v>5.6273251252041412E-3</v>
      </c>
      <c r="AB32" s="522" t="str">
        <v>NEG IRR</v>
      </c>
      <c r="AC32" s="522" t="str">
        <v>NEG IRR</v>
      </c>
      <c r="AD32" s="522" t="str">
        <v>NEG IRR</v>
      </c>
      <c r="AE32" s="523" t="str">
        <v>NEG IRR</v>
      </c>
    </row>
    <row r="33" spans="2:74" x14ac:dyDescent="0.3">
      <c r="B33" s="726" t="s">
        <v>882</v>
      </c>
      <c r="C33" s="407">
        <v>1000</v>
      </c>
      <c r="E33" s="61" t="s">
        <v>551</v>
      </c>
      <c r="F33" s="275"/>
      <c r="G33" s="412">
        <v>2</v>
      </c>
      <c r="H33" s="305" t="s">
        <v>550</v>
      </c>
      <c r="I33" s="354"/>
      <c r="L33" s="310" t="s">
        <v>4</v>
      </c>
      <c r="M33" s="328" t="s">
        <v>69</v>
      </c>
      <c r="N33" s="319">
        <v>0</v>
      </c>
      <c r="O33" s="69">
        <f t="shared" si="3"/>
        <v>0</v>
      </c>
      <c r="W33" s="68"/>
      <c r="X33" s="68"/>
      <c r="Y33" s="781" t="s">
        <v>757</v>
      </c>
      <c r="Z33" s="782"/>
      <c r="AA33" s="782"/>
      <c r="AB33" s="782"/>
      <c r="AC33" s="782"/>
      <c r="AD33" s="782"/>
      <c r="AE33" s="783"/>
    </row>
    <row r="34" spans="2:74" x14ac:dyDescent="0.3">
      <c r="B34" s="726" t="s">
        <v>883</v>
      </c>
      <c r="C34" s="767">
        <v>4.1870000000000003</v>
      </c>
      <c r="E34" s="61" t="s">
        <v>544</v>
      </c>
      <c r="F34" s="275"/>
      <c r="G34" s="412">
        <v>21</v>
      </c>
      <c r="H34" s="305" t="s">
        <v>547</v>
      </c>
      <c r="L34" s="323" t="s">
        <v>5</v>
      </c>
      <c r="M34" s="329" t="s">
        <v>69</v>
      </c>
      <c r="N34" s="319">
        <v>0</v>
      </c>
      <c r="O34" s="70">
        <f t="shared" si="3"/>
        <v>0</v>
      </c>
      <c r="Y34" s="649">
        <f t="shared" ref="Y34:AE34" si="5">AVERAGE($R$15:$R$16)*(1+Y$35)</f>
        <v>2.0755902286746939</v>
      </c>
      <c r="Z34" s="650">
        <f t="shared" si="5"/>
        <v>2.7674536382329258</v>
      </c>
      <c r="AA34" s="650">
        <f t="shared" si="5"/>
        <v>3.4593170477911568</v>
      </c>
      <c r="AB34" s="650">
        <f t="shared" si="5"/>
        <v>4.1511804573493878</v>
      </c>
      <c r="AC34" s="650">
        <f t="shared" si="5"/>
        <v>4.8430438669076192</v>
      </c>
      <c r="AD34" s="650">
        <f t="shared" si="5"/>
        <v>5.5349072764658516</v>
      </c>
      <c r="AE34" s="651">
        <f t="shared" si="5"/>
        <v>6.2267706860240821</v>
      </c>
    </row>
    <row r="35" spans="2:74" ht="15" customHeight="1" x14ac:dyDescent="0.3">
      <c r="B35" s="726" t="s">
        <v>884</v>
      </c>
      <c r="C35" s="407">
        <v>160</v>
      </c>
      <c r="E35" s="61" t="s">
        <v>638</v>
      </c>
      <c r="F35" s="275"/>
      <c r="G35" s="412">
        <v>1</v>
      </c>
      <c r="H35" s="305" t="s">
        <v>547</v>
      </c>
      <c r="L35" s="16" t="s">
        <v>162</v>
      </c>
      <c r="M35" s="326"/>
      <c r="N35" s="63"/>
      <c r="O35" s="402">
        <f>SUM(O27:O34)</f>
        <v>17744.912728349518</v>
      </c>
      <c r="W35" s="778" t="s">
        <v>761</v>
      </c>
      <c r="X35" s="491" t="str">
        <f>Pyre_CashFlows!BP4</f>
        <v>NEG IRR</v>
      </c>
      <c r="Y35" s="524">
        <v>-0.4</v>
      </c>
      <c r="Z35" s="524">
        <v>-0.2</v>
      </c>
      <c r="AA35" s="524">
        <v>0</v>
      </c>
      <c r="AB35" s="524">
        <v>0.2</v>
      </c>
      <c r="AC35" s="524">
        <v>0.4</v>
      </c>
      <c r="AD35" s="524">
        <v>0.6</v>
      </c>
      <c r="AE35" s="525">
        <v>0.8</v>
      </c>
    </row>
    <row r="36" spans="2:74" x14ac:dyDescent="0.3">
      <c r="B36" s="726" t="s">
        <v>885</v>
      </c>
      <c r="C36" s="407">
        <v>100</v>
      </c>
      <c r="E36" s="61" t="s">
        <v>555</v>
      </c>
      <c r="F36" s="275"/>
      <c r="G36" s="413">
        <f>G39*G38*(G34+G35)</f>
        <v>5720</v>
      </c>
      <c r="H36" s="305" t="s">
        <v>545</v>
      </c>
      <c r="W36" s="779"/>
      <c r="X36" s="492">
        <v>100000</v>
      </c>
      <c r="Y36" s="520" t="str">
        <f t="dataTable" ref="Y36:AE42" dt2D="1" dtr="1" r1="R13" r2="G25" ca="1"/>
        <v>NEG IRR</v>
      </c>
      <c r="Z36" s="520" t="str">
        <v>NEG IRR</v>
      </c>
      <c r="AA36" s="520" t="str">
        <v>NEG IRR</v>
      </c>
      <c r="AB36" s="520" t="str">
        <v>NEG IRR</v>
      </c>
      <c r="AC36" s="520" t="str">
        <v>NEG IRR</v>
      </c>
      <c r="AD36" s="520" t="str">
        <v>NEG IRR</v>
      </c>
      <c r="AE36" s="521" t="str">
        <v>NEG IRR</v>
      </c>
    </row>
    <row r="37" spans="2:74" x14ac:dyDescent="0.3">
      <c r="B37" s="726" t="s">
        <v>886</v>
      </c>
      <c r="C37" s="768">
        <f>C35-C36</f>
        <v>60</v>
      </c>
      <c r="E37" s="61" t="s">
        <v>639</v>
      </c>
      <c r="F37" s="275"/>
      <c r="G37" s="412">
        <v>1000</v>
      </c>
      <c r="H37" s="305" t="s">
        <v>548</v>
      </c>
      <c r="L37" s="277" t="s">
        <v>186</v>
      </c>
      <c r="M37" s="278"/>
      <c r="W37" s="779"/>
      <c r="X37" s="493">
        <f>X36+25000</f>
        <v>125000</v>
      </c>
      <c r="Y37" s="520" t="str">
        <v>NEG IRR</v>
      </c>
      <c r="Z37" s="520" t="str">
        <v>NEG IRR</v>
      </c>
      <c r="AA37" s="520" t="str">
        <v>NEG IRR</v>
      </c>
      <c r="AB37" s="520" t="str">
        <v>NEG IRR</v>
      </c>
      <c r="AC37" s="520" t="str">
        <v>NEG IRR</v>
      </c>
      <c r="AD37" s="520">
        <v>-6.2993089999262231E-2</v>
      </c>
      <c r="AE37" s="521">
        <v>4.6939289694788222E-2</v>
      </c>
    </row>
    <row r="38" spans="2:74" x14ac:dyDescent="0.3">
      <c r="B38" s="769" t="s">
        <v>887</v>
      </c>
      <c r="C38" s="403">
        <f>C32*C33*C34*C37</f>
        <v>1507.32</v>
      </c>
      <c r="E38" s="61" t="s">
        <v>600</v>
      </c>
      <c r="F38" s="275"/>
      <c r="G38" s="414">
        <f>M42*M43</f>
        <v>260</v>
      </c>
      <c r="H38" s="305" t="s">
        <v>601</v>
      </c>
      <c r="I38" s="390"/>
      <c r="L38" s="510" t="s">
        <v>609</v>
      </c>
      <c r="M38" s="6">
        <v>100</v>
      </c>
      <c r="W38" s="779"/>
      <c r="X38" s="493">
        <f t="shared" ref="X38:X41" si="6">X37+25000</f>
        <v>150000</v>
      </c>
      <c r="Y38" s="520" t="str">
        <v>NEG IRR</v>
      </c>
      <c r="Z38" s="520" t="str">
        <v>NEG IRR</v>
      </c>
      <c r="AA38" s="520" t="str">
        <v>NEG IRR</v>
      </c>
      <c r="AB38" s="520" t="str">
        <v>NEG IRR</v>
      </c>
      <c r="AC38" s="520">
        <v>-4.4760078244703516E-2</v>
      </c>
      <c r="AD38" s="520">
        <v>7.6601986664900812E-2</v>
      </c>
      <c r="AE38" s="521">
        <v>0.19024584341418049</v>
      </c>
    </row>
    <row r="39" spans="2:74" x14ac:dyDescent="0.3">
      <c r="E39" s="61" t="s">
        <v>602</v>
      </c>
      <c r="F39" s="275"/>
      <c r="G39" s="412">
        <v>1</v>
      </c>
      <c r="H39" s="305" t="s">
        <v>603</v>
      </c>
      <c r="I39" s="390"/>
      <c r="L39" s="511" t="s">
        <v>610</v>
      </c>
      <c r="M39" s="403">
        <f>G37/M38</f>
        <v>10</v>
      </c>
      <c r="W39" s="779"/>
      <c r="X39" s="493">
        <f t="shared" si="6"/>
        <v>175000</v>
      </c>
      <c r="Y39" s="520" t="str">
        <v>NEG IRR</v>
      </c>
      <c r="Z39" s="520" t="str">
        <v>NEG IRR</v>
      </c>
      <c r="AA39" s="520" t="str">
        <v>NEG IRR</v>
      </c>
      <c r="AB39" s="520">
        <v>-9.7696919641774405E-2</v>
      </c>
      <c r="AC39" s="520">
        <v>6.8664033709660233E-2</v>
      </c>
      <c r="AD39" s="520">
        <v>0.20233785800398585</v>
      </c>
      <c r="AE39" s="521">
        <v>0.36937106862453883</v>
      </c>
    </row>
    <row r="40" spans="2:74" x14ac:dyDescent="0.3">
      <c r="E40" s="61" t="s">
        <v>599</v>
      </c>
      <c r="F40" s="275"/>
      <c r="G40" s="414">
        <f>G38*G39</f>
        <v>260</v>
      </c>
      <c r="H40" s="305" t="s">
        <v>546</v>
      </c>
      <c r="L40" s="511" t="s">
        <v>612</v>
      </c>
      <c r="M40" s="8">
        <f>G39</f>
        <v>1</v>
      </c>
      <c r="W40" s="779"/>
      <c r="X40" s="493">
        <f t="shared" si="6"/>
        <v>200000</v>
      </c>
      <c r="Y40" s="520" t="str">
        <v>NEG IRR</v>
      </c>
      <c r="Z40" s="520" t="str">
        <v>NEG IRR</v>
      </c>
      <c r="AA40" s="520" t="str">
        <v>NEG IRR</v>
      </c>
      <c r="AB40" s="520">
        <v>2.2487899156281133E-2</v>
      </c>
      <c r="AC40" s="520">
        <v>0.17312580957719814</v>
      </c>
      <c r="AD40" s="520">
        <v>0.35842602413803037</v>
      </c>
      <c r="AE40" s="521">
        <v>0.57787414877853061</v>
      </c>
    </row>
    <row r="41" spans="2:74" x14ac:dyDescent="0.3">
      <c r="B41" s="356" t="s">
        <v>899</v>
      </c>
      <c r="E41" s="61" t="s">
        <v>625</v>
      </c>
      <c r="F41" s="275"/>
      <c r="G41" s="409">
        <f>G40*G37</f>
        <v>260000</v>
      </c>
      <c r="H41" s="305" t="s">
        <v>196</v>
      </c>
      <c r="L41" s="512" t="s">
        <v>547</v>
      </c>
      <c r="M41" s="395">
        <f>G34+G35</f>
        <v>22</v>
      </c>
      <c r="N41" s="405"/>
      <c r="W41" s="779"/>
      <c r="X41" s="493">
        <f t="shared" si="6"/>
        <v>225000</v>
      </c>
      <c r="Y41" s="520" t="str">
        <v>NEG IRR</v>
      </c>
      <c r="Z41" s="520" t="str">
        <v>NEG IRR</v>
      </c>
      <c r="AA41" s="520">
        <v>-9.1116941605972057E-2</v>
      </c>
      <c r="AB41" s="520">
        <v>0.10846816795095249</v>
      </c>
      <c r="AC41" s="520">
        <v>0.2972954760312394</v>
      </c>
      <c r="AD41" s="520">
        <v>0.53784476145585502</v>
      </c>
      <c r="AE41" s="521">
        <v>0.7945863250395051</v>
      </c>
    </row>
    <row r="42" spans="2:74" x14ac:dyDescent="0.3">
      <c r="B42" s="766" t="s">
        <v>889</v>
      </c>
      <c r="C42" s="407">
        <v>18</v>
      </c>
      <c r="E42" s="61" t="s">
        <v>597</v>
      </c>
      <c r="F42" s="275"/>
      <c r="G42" s="415">
        <f>ROUNDUP(G25/G41,0)</f>
        <v>1</v>
      </c>
      <c r="H42" s="305" t="s">
        <v>598</v>
      </c>
      <c r="I42" s="390"/>
      <c r="L42" s="511" t="s">
        <v>205</v>
      </c>
      <c r="M42" s="397">
        <v>6</v>
      </c>
      <c r="W42" s="780"/>
      <c r="X42" s="494">
        <f>X41+25000</f>
        <v>250000</v>
      </c>
      <c r="Y42" s="522" t="str">
        <v>NEG IRR</v>
      </c>
      <c r="Z42" s="522" t="str">
        <v>NEG IRR</v>
      </c>
      <c r="AA42" s="522">
        <v>5.6273251252041412E-3</v>
      </c>
      <c r="AB42" s="522">
        <v>0.19681480099215887</v>
      </c>
      <c r="AC42" s="522">
        <v>0.44290817241638503</v>
      </c>
      <c r="AD42" s="522">
        <v>0.72515145444105711</v>
      </c>
      <c r="AE42" s="523">
        <v>1.0129016409383191</v>
      </c>
    </row>
    <row r="43" spans="2:74" x14ac:dyDescent="0.3">
      <c r="B43" s="726" t="s">
        <v>890</v>
      </c>
      <c r="C43" s="407">
        <v>50</v>
      </c>
      <c r="E43" s="61" t="s">
        <v>606</v>
      </c>
      <c r="F43" s="275"/>
      <c r="G43" s="417">
        <f>G37/G33</f>
        <v>500</v>
      </c>
      <c r="H43" s="305" t="s">
        <v>554</v>
      </c>
      <c r="L43" s="511" t="s">
        <v>204</v>
      </c>
      <c r="M43" s="397">
        <f>52*10/12</f>
        <v>43.333333333333336</v>
      </c>
    </row>
    <row r="44" spans="2:74" x14ac:dyDescent="0.3">
      <c r="B44" s="726" t="s">
        <v>891</v>
      </c>
      <c r="C44" s="770">
        <f>AVERAGE(C42:C43)</f>
        <v>34</v>
      </c>
      <c r="E44" s="61" t="s">
        <v>553</v>
      </c>
      <c r="F44" s="275"/>
      <c r="G44" s="416">
        <v>750</v>
      </c>
      <c r="H44" s="305" t="s">
        <v>554</v>
      </c>
      <c r="L44" s="511" t="s">
        <v>607</v>
      </c>
      <c r="M44" s="404">
        <f>M40*M41*M39*G42</f>
        <v>220</v>
      </c>
    </row>
    <row r="45" spans="2:74" x14ac:dyDescent="0.3">
      <c r="B45" s="726" t="s">
        <v>892</v>
      </c>
      <c r="C45" s="771">
        <f>C34*(597-0.56*C44)</f>
        <v>2419.9185200000002</v>
      </c>
      <c r="E45" s="60" t="s">
        <v>715</v>
      </c>
      <c r="F45" s="498"/>
      <c r="G45" s="475">
        <v>5.0000000000000001E-4</v>
      </c>
      <c r="H45" s="316" t="s">
        <v>155</v>
      </c>
      <c r="L45" s="513" t="s">
        <v>608</v>
      </c>
      <c r="M45" s="336">
        <f>M44*M43*M42</f>
        <v>57200</v>
      </c>
    </row>
    <row r="46" spans="2:74" x14ac:dyDescent="0.3">
      <c r="B46" s="726" t="s">
        <v>893</v>
      </c>
      <c r="C46" s="772">
        <f>G28*C45</f>
        <v>197465351.23200005</v>
      </c>
    </row>
    <row r="47" spans="2:74" x14ac:dyDescent="0.3">
      <c r="B47" s="726" t="s">
        <v>894</v>
      </c>
      <c r="C47" s="770">
        <f>C46/(M43*M42*G34*M40*3600)</f>
        <v>10.046059789987792</v>
      </c>
      <c r="BV47" s="299" t="s">
        <v>31</v>
      </c>
    </row>
    <row r="48" spans="2:74" x14ac:dyDescent="0.3">
      <c r="B48" s="769" t="s">
        <v>895</v>
      </c>
      <c r="C48" s="408" t="str">
        <f>IF(C38-C47&gt;0,"YES","NO")</f>
        <v>YES</v>
      </c>
      <c r="BV48" s="27" t="s">
        <v>35</v>
      </c>
    </row>
    <row r="49" spans="74:74" x14ac:dyDescent="0.3">
      <c r="BV49" s="27" t="s">
        <v>39</v>
      </c>
    </row>
    <row r="50" spans="74:74" x14ac:dyDescent="0.3">
      <c r="BV50" s="27" t="s">
        <v>42</v>
      </c>
    </row>
    <row r="51" spans="74:74" x14ac:dyDescent="0.3">
      <c r="BV51" s="27" t="s">
        <v>45</v>
      </c>
    </row>
    <row r="52" spans="74:74" x14ac:dyDescent="0.3">
      <c r="BV52" s="30" t="s">
        <v>48</v>
      </c>
    </row>
    <row r="55" spans="74:74" x14ac:dyDescent="0.3">
      <c r="BV55" t="s">
        <v>81</v>
      </c>
    </row>
    <row r="56" spans="74:74" x14ac:dyDescent="0.3">
      <c r="BV56" t="s">
        <v>69</v>
      </c>
    </row>
  </sheetData>
  <mergeCells count="7">
    <mergeCell ref="W35:W42"/>
    <mergeCell ref="W11:AE11"/>
    <mergeCell ref="Y13:AE13"/>
    <mergeCell ref="W15:W22"/>
    <mergeCell ref="Y23:AE23"/>
    <mergeCell ref="W25:W32"/>
    <mergeCell ref="Y33:AE33"/>
  </mergeCells>
  <conditionalFormatting sqref="Y16:AE22">
    <cfRule type="containsText" dxfId="119" priority="13" operator="containsText" text="NEG IRR">
      <formula>NOT(ISERROR(SEARCH("NEG IRR",Y16)))</formula>
    </cfRule>
    <cfRule type="containsText" dxfId="118" priority="14" operator="containsText" text="ERROR">
      <formula>NOT(ISERROR(SEARCH("ERROR",Y16)))</formula>
    </cfRule>
    <cfRule type="cellIs" dxfId="117" priority="15" operator="between">
      <formula>$AG$16</formula>
      <formula>$AG$17</formula>
    </cfRule>
    <cfRule type="cellIs" dxfId="116" priority="16" operator="greaterThan">
      <formula>$AG$17</formula>
    </cfRule>
    <cfRule type="cellIs" dxfId="115" priority="17" operator="lessThan">
      <formula>$AG$16</formula>
    </cfRule>
  </conditionalFormatting>
  <conditionalFormatting sqref="Y26:AE32">
    <cfRule type="containsText" dxfId="114" priority="8" operator="containsText" text="NEG IRR">
      <formula>NOT(ISERROR(SEARCH("NEG IRR",Y26)))</formula>
    </cfRule>
    <cfRule type="containsText" dxfId="113" priority="9" operator="containsText" text="ERROR">
      <formula>NOT(ISERROR(SEARCH("ERROR",Y26)))</formula>
    </cfRule>
    <cfRule type="cellIs" dxfId="112" priority="10" operator="between">
      <formula>$AG$16</formula>
      <formula>$AG$17</formula>
    </cfRule>
    <cfRule type="cellIs" dxfId="111" priority="11" operator="greaterThan">
      <formula>$AG$17</formula>
    </cfRule>
    <cfRule type="cellIs" dxfId="110" priority="12" operator="lessThan">
      <formula>$AG$16</formula>
    </cfRule>
  </conditionalFormatting>
  <conditionalFormatting sqref="Y36:AE42">
    <cfRule type="containsText" dxfId="109" priority="3" operator="containsText" text="NEG IRR">
      <formula>NOT(ISERROR(SEARCH("NEG IRR",Y36)))</formula>
    </cfRule>
    <cfRule type="containsText" dxfId="108" priority="4" operator="containsText" text="ERROR">
      <formula>NOT(ISERROR(SEARCH("ERROR",Y36)))</formula>
    </cfRule>
    <cfRule type="cellIs" dxfId="107" priority="5" operator="between">
      <formula>$AG$16</formula>
      <formula>$AG$17</formula>
    </cfRule>
    <cfRule type="cellIs" dxfId="106" priority="6" operator="greaterThan">
      <formula>$AG$17</formula>
    </cfRule>
    <cfRule type="cellIs" dxfId="105" priority="7" operator="lessThan">
      <formula>$AG$16</formula>
    </cfRule>
  </conditionalFormatting>
  <conditionalFormatting sqref="C48">
    <cfRule type="containsText" dxfId="104" priority="1" operator="containsText" text="NO">
      <formula>NOT(ISERROR(SEARCH("NO",C48)))</formula>
    </cfRule>
    <cfRule type="containsText" dxfId="103" priority="2" operator="containsText" text="YES">
      <formula>NOT(ISERROR(SEARCH("YES",C48)))</formula>
    </cfRule>
  </conditionalFormatting>
  <dataValidations count="2">
    <dataValidation type="list" allowBlank="1" showInputMessage="1" showErrorMessage="1" sqref="D9" xr:uid="{ABEAD46B-684F-4FDA-B37A-9F66B3F9BE87}">
      <formula1>$BV$47:$BV$52</formula1>
    </dataValidation>
    <dataValidation type="list" allowBlank="1" showInputMessage="1" showErrorMessage="1" sqref="M27:M34" xr:uid="{28C04F48-4B1E-49FD-B1CC-40D192F79137}">
      <formula1>$BV$55:$BV$56</formula1>
    </dataValidation>
  </dataValidations>
  <pageMargins left="0.7" right="0.7" top="0.75" bottom="0.75" header="0.3" footer="0.3"/>
  <pageSetup orientation="portrait" r:id="rId1"/>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62411F-B654-4E2E-8405-96BDA9E37E5D}">
  <sheetPr>
    <tabColor rgb="FF002060"/>
  </sheetPr>
  <dimension ref="B2:BV56"/>
  <sheetViews>
    <sheetView showGridLines="0" zoomScale="80" zoomScaleNormal="80" workbookViewId="0"/>
  </sheetViews>
  <sheetFormatPr defaultRowHeight="14.4" x14ac:dyDescent="0.3"/>
  <cols>
    <col min="1" max="1" width="3.44140625" customWidth="1"/>
    <col min="2" max="2" width="42.6640625" customWidth="1"/>
    <col min="3" max="3" width="14.88671875" customWidth="1"/>
    <col min="5" max="5" width="31" customWidth="1"/>
    <col min="6" max="6" width="22" customWidth="1"/>
    <col min="7" max="7" width="17" customWidth="1"/>
    <col min="8" max="8" width="12.44140625" customWidth="1"/>
    <col min="9" max="9" width="41.5546875" customWidth="1"/>
    <col min="10" max="10" width="11.6640625" customWidth="1"/>
    <col min="11" max="11" width="6.109375" customWidth="1"/>
    <col min="12" max="12" width="36" customWidth="1"/>
    <col min="13" max="13" width="21.6640625" customWidth="1"/>
    <col min="14" max="14" width="20" customWidth="1"/>
    <col min="15" max="15" width="18.6640625" customWidth="1"/>
    <col min="17" max="17" width="14" customWidth="1"/>
    <col min="24" max="24" width="8.5546875" bestFit="1" customWidth="1"/>
    <col min="25" max="27" width="13.109375" bestFit="1" customWidth="1"/>
    <col min="28" max="31" width="15" bestFit="1" customWidth="1"/>
  </cols>
  <sheetData>
    <row r="2" spans="2:33" ht="15" x14ac:dyDescent="0.3">
      <c r="T2" s="369"/>
      <c r="U2" s="365" t="s">
        <v>336</v>
      </c>
    </row>
    <row r="3" spans="2:33" x14ac:dyDescent="0.3">
      <c r="J3" s="398"/>
      <c r="T3" s="368"/>
      <c r="U3" s="366" t="s">
        <v>337</v>
      </c>
    </row>
    <row r="4" spans="2:33" x14ac:dyDescent="0.3">
      <c r="T4" s="368"/>
      <c r="U4" s="366" t="s">
        <v>568</v>
      </c>
    </row>
    <row r="5" spans="2:33" x14ac:dyDescent="0.3">
      <c r="I5" s="321" t="s">
        <v>67</v>
      </c>
      <c r="J5" s="320" t="s">
        <v>34</v>
      </c>
      <c r="T5" s="368"/>
      <c r="U5" s="366" t="s">
        <v>338</v>
      </c>
    </row>
    <row r="6" spans="2:33" x14ac:dyDescent="0.3">
      <c r="B6" s="19" t="s">
        <v>20</v>
      </c>
      <c r="C6" s="20"/>
      <c r="D6" s="21"/>
      <c r="F6" s="590" t="s">
        <v>19</v>
      </c>
      <c r="G6" s="317">
        <v>44197</v>
      </c>
      <c r="I6" s="500" t="s">
        <v>583</v>
      </c>
      <c r="J6" s="13">
        <f>'Spa Prices'!F3</f>
        <v>5.82</v>
      </c>
      <c r="L6" s="422" t="s">
        <v>16</v>
      </c>
      <c r="M6" s="11" t="s">
        <v>17</v>
      </c>
      <c r="N6" s="325" t="s">
        <v>173</v>
      </c>
      <c r="O6" s="12" t="s">
        <v>172</v>
      </c>
      <c r="Q6" s="1" t="s">
        <v>0</v>
      </c>
      <c r="T6" s="371"/>
    </row>
    <row r="7" spans="2:33" x14ac:dyDescent="0.3">
      <c r="B7" s="49" t="s">
        <v>21</v>
      </c>
      <c r="C7" s="22" t="s">
        <v>22</v>
      </c>
      <c r="D7" s="23"/>
      <c r="I7" s="501" t="s">
        <v>584</v>
      </c>
      <c r="J7" s="399">
        <f>'Spa Prices'!F4</f>
        <v>2.91</v>
      </c>
      <c r="L7" s="310" t="s">
        <v>688</v>
      </c>
      <c r="M7" s="332" t="s">
        <v>689</v>
      </c>
      <c r="N7" s="13">
        <v>3.38</v>
      </c>
      <c r="O7" s="504">
        <f>N7*F31*(1+$R$12)</f>
        <v>3380</v>
      </c>
      <c r="Q7" s="2" t="s">
        <v>1</v>
      </c>
      <c r="T7" s="370"/>
    </row>
    <row r="8" spans="2:33" x14ac:dyDescent="0.3">
      <c r="B8" s="509" t="s">
        <v>23</v>
      </c>
      <c r="C8" s="15" t="s">
        <v>511</v>
      </c>
      <c r="D8" s="24"/>
      <c r="F8" s="19" t="s">
        <v>168</v>
      </c>
      <c r="G8" s="26"/>
      <c r="I8" s="501" t="s">
        <v>585</v>
      </c>
      <c r="J8" s="399">
        <f>'Spa Prices'!F5</f>
        <v>11.64</v>
      </c>
      <c r="L8" s="310" t="s">
        <v>25</v>
      </c>
      <c r="M8" s="333" t="s">
        <v>201</v>
      </c>
      <c r="N8" s="363">
        <f>IF(D9="Djibouti",'Data Sources'!C51,IF(D9="Ethiopia",'Data Sources'!D51,IF(D9="Kenya",'Data Sources'!E51,IF(D9="Rwanda",'Data Sources'!F51,IF(D9="Tanzania",'Data Sources'!G51,IF(D9="Uganda",'Data Sources'!H51,0))))))</f>
        <v>0.23322468247723951</v>
      </c>
      <c r="O8" s="505">
        <f>N8*F28*F30*(1+$R$12)</f>
        <v>13811.565696302125</v>
      </c>
      <c r="Q8" s="3" t="s">
        <v>2</v>
      </c>
    </row>
    <row r="9" spans="2:33" x14ac:dyDescent="0.3">
      <c r="B9" s="509" t="s">
        <v>24</v>
      </c>
      <c r="C9" s="22" t="s">
        <v>821</v>
      </c>
      <c r="D9" s="25" t="s">
        <v>31</v>
      </c>
      <c r="F9" s="500" t="s">
        <v>169</v>
      </c>
      <c r="G9" s="303" t="str">
        <f>VLOOKUP(D9,Currency!B8:F13,2,0)</f>
        <v>Dj franc</v>
      </c>
      <c r="I9" s="501" t="s">
        <v>586</v>
      </c>
      <c r="J9" s="399">
        <f>'Spa Prices'!F6</f>
        <v>6.79</v>
      </c>
      <c r="L9" s="310" t="s">
        <v>77</v>
      </c>
      <c r="M9" s="333" t="s">
        <v>18</v>
      </c>
      <c r="N9" s="364">
        <v>0.1</v>
      </c>
      <c r="O9" s="505">
        <f>N9*C29*(1+$R$12)</f>
        <v>88170</v>
      </c>
      <c r="Q9" s="4" t="s">
        <v>3</v>
      </c>
    </row>
    <row r="10" spans="2:33" x14ac:dyDescent="0.3">
      <c r="F10" s="509" t="s">
        <v>170</v>
      </c>
      <c r="G10" s="304" t="str">
        <f>VLOOKUP(D9,Currency!B8:F13,3,0)</f>
        <v>DJF</v>
      </c>
      <c r="I10" s="501" t="s">
        <v>588</v>
      </c>
      <c r="J10" s="399">
        <f>'Spa Prices'!F7</f>
        <v>19.400000000000002</v>
      </c>
      <c r="L10" s="310" t="s">
        <v>183</v>
      </c>
      <c r="M10" s="333" t="s">
        <v>190</v>
      </c>
      <c r="N10" s="363">
        <f>IF(D9="Djibouti",'Data Sources'!C61,IF(D9="Ethiopia",'Data Sources'!D61,IF(D9="Kenya",'Data Sources'!E61,IF(D9="Rwanda",'Data Sources'!F61,IF(D9="Tanzania",'Data Sources'!G61,IF(D9="Uganda",'Data Sources'!H61,0))))))</f>
        <v>0.81956464725937583</v>
      </c>
      <c r="O10" s="505">
        <f>N10*M45*(1+$R$12)</f>
        <v>19413.847364280096</v>
      </c>
    </row>
    <row r="11" spans="2:33" x14ac:dyDescent="0.3">
      <c r="B11" s="71" t="s">
        <v>12</v>
      </c>
      <c r="C11" s="72"/>
      <c r="F11" s="49" t="str">
        <f>"Exchng Rate " &amp; "(" &amp; G10 &amp; "/USD" &amp;")"</f>
        <v>Exchng Rate (DJF/USD)</v>
      </c>
      <c r="G11" s="304">
        <f>VLOOKUP(D9,Currency!B8:F13,4,0)</f>
        <v>177.94</v>
      </c>
      <c r="I11" s="501" t="s">
        <v>587</v>
      </c>
      <c r="J11" s="399">
        <f>'Spa Prices'!F8</f>
        <v>10.185</v>
      </c>
      <c r="L11" s="310" t="s">
        <v>79</v>
      </c>
      <c r="M11" s="333" t="s">
        <v>174</v>
      </c>
      <c r="N11" s="337" t="s">
        <v>203</v>
      </c>
      <c r="O11" s="505">
        <f>O35*(1+$R$12)</f>
        <v>18127.458693941779</v>
      </c>
      <c r="Q11" s="9" t="s">
        <v>13</v>
      </c>
      <c r="R11" s="489">
        <v>0</v>
      </c>
      <c r="W11" s="781" t="s">
        <v>755</v>
      </c>
      <c r="X11" s="782"/>
      <c r="Y11" s="782"/>
      <c r="Z11" s="782"/>
      <c r="AA11" s="782"/>
      <c r="AB11" s="782"/>
      <c r="AC11" s="782"/>
      <c r="AD11" s="782"/>
      <c r="AE11" s="783"/>
    </row>
    <row r="12" spans="2:33" x14ac:dyDescent="0.3">
      <c r="B12" s="1" t="s">
        <v>13</v>
      </c>
      <c r="C12" s="320" t="s">
        <v>14</v>
      </c>
      <c r="I12" s="501" t="s">
        <v>589</v>
      </c>
      <c r="J12" s="48">
        <v>0.2</v>
      </c>
      <c r="L12" s="310" t="s">
        <v>76</v>
      </c>
      <c r="M12" s="333" t="s">
        <v>174</v>
      </c>
      <c r="N12" s="307">
        <f>'Data Sources'!E65</f>
        <v>92.248454607764188</v>
      </c>
      <c r="O12" s="505">
        <f>N12*(1+$R$12)</f>
        <v>92.248454607764188</v>
      </c>
      <c r="Q12" s="9" t="s">
        <v>756</v>
      </c>
      <c r="R12" s="489">
        <v>0</v>
      </c>
      <c r="U12" s="372"/>
    </row>
    <row r="13" spans="2:33" x14ac:dyDescent="0.3">
      <c r="B13" s="331" t="s">
        <v>83</v>
      </c>
      <c r="C13" s="312">
        <f>20000</f>
        <v>20000</v>
      </c>
      <c r="D13" s="107"/>
      <c r="E13" s="53" t="s">
        <v>157</v>
      </c>
      <c r="F13" s="72" t="s">
        <v>158</v>
      </c>
      <c r="G13" s="285" t="s">
        <v>74</v>
      </c>
      <c r="I13" s="501" t="s">
        <v>590</v>
      </c>
      <c r="J13" s="48">
        <v>0.15</v>
      </c>
      <c r="L13" s="310" t="s">
        <v>78</v>
      </c>
      <c r="M13" s="333" t="s">
        <v>174</v>
      </c>
      <c r="N13" s="307">
        <v>0</v>
      </c>
      <c r="O13" s="505">
        <f t="shared" ref="O13" si="0">N13</f>
        <v>0</v>
      </c>
      <c r="Q13" s="9" t="s">
        <v>757</v>
      </c>
      <c r="R13" s="489">
        <v>0</v>
      </c>
      <c r="U13" s="372"/>
      <c r="Y13" s="790" t="s">
        <v>13</v>
      </c>
      <c r="Z13" s="791"/>
      <c r="AA13" s="791"/>
      <c r="AB13" s="791"/>
      <c r="AC13" s="791"/>
      <c r="AD13" s="791"/>
      <c r="AE13" s="792"/>
    </row>
    <row r="14" spans="2:33" x14ac:dyDescent="0.3">
      <c r="B14" s="310" t="s">
        <v>84</v>
      </c>
      <c r="C14" s="307">
        <f>3500*3</f>
        <v>10500</v>
      </c>
      <c r="D14" s="107"/>
      <c r="E14" s="500" t="s">
        <v>159</v>
      </c>
      <c r="F14" s="48">
        <v>0.7</v>
      </c>
      <c r="G14" s="286">
        <f>$C$29*F14</f>
        <v>617190</v>
      </c>
      <c r="I14" s="501" t="s">
        <v>591</v>
      </c>
      <c r="J14" s="48">
        <v>0.2</v>
      </c>
      <c r="L14" s="310" t="s">
        <v>389</v>
      </c>
      <c r="M14" s="333" t="s">
        <v>566</v>
      </c>
      <c r="N14" s="364">
        <v>5.0000000000000001E-3</v>
      </c>
      <c r="O14" s="505">
        <f>N14*Spa_CashFlows!$V$12*(1+$R$12)</f>
        <v>656.9325</v>
      </c>
      <c r="Y14" s="652">
        <f>SUM($C$13:$C$28)*(1+Y$15)</f>
        <v>529020</v>
      </c>
      <c r="Z14" s="653">
        <f t="shared" ref="Z14:AE14" si="1">SUM($C$13:$C$28)*(1+Z$15)</f>
        <v>705360</v>
      </c>
      <c r="AA14" s="653">
        <f t="shared" si="1"/>
        <v>881700</v>
      </c>
      <c r="AB14" s="653">
        <f t="shared" si="1"/>
        <v>1058040</v>
      </c>
      <c r="AC14" s="653">
        <f t="shared" si="1"/>
        <v>1234380</v>
      </c>
      <c r="AD14" s="653">
        <f t="shared" si="1"/>
        <v>1410720</v>
      </c>
      <c r="AE14" s="654">
        <f t="shared" si="1"/>
        <v>1587060</v>
      </c>
    </row>
    <row r="15" spans="2:33" ht="15" customHeight="1" x14ac:dyDescent="0.3">
      <c r="B15" s="310" t="s">
        <v>763</v>
      </c>
      <c r="C15" s="307">
        <v>565000</v>
      </c>
      <c r="D15" s="107"/>
      <c r="E15" s="501" t="s">
        <v>160</v>
      </c>
      <c r="F15" s="48">
        <v>0.3</v>
      </c>
      <c r="G15" s="286">
        <f>$C$29*F15</f>
        <v>264510</v>
      </c>
      <c r="I15" s="501" t="s">
        <v>592</v>
      </c>
      <c r="J15" s="48">
        <v>0.15</v>
      </c>
      <c r="L15" s="310" t="s">
        <v>645</v>
      </c>
      <c r="M15" s="333" t="s">
        <v>566</v>
      </c>
      <c r="N15" s="364">
        <v>5.0000000000000001E-3</v>
      </c>
      <c r="O15" s="505">
        <f>N15*Spa_CashFlows!$V$12*(1+$R$12)</f>
        <v>656.9325</v>
      </c>
      <c r="Q15" s="741" t="s">
        <v>874</v>
      </c>
      <c r="R15" s="742">
        <f>J6*(1+$R$13)</f>
        <v>5.82</v>
      </c>
      <c r="W15" s="778" t="s">
        <v>765</v>
      </c>
      <c r="X15" s="490" t="str">
        <f>Spa_CashFlows!BV4</f>
        <v>NEG IRR</v>
      </c>
      <c r="Y15" s="524">
        <v>-0.4</v>
      </c>
      <c r="Z15" s="524">
        <v>-0.2</v>
      </c>
      <c r="AA15" s="524">
        <v>0</v>
      </c>
      <c r="AB15" s="524">
        <v>0.2</v>
      </c>
      <c r="AC15" s="524">
        <v>0.4</v>
      </c>
      <c r="AD15" s="524">
        <v>0.6</v>
      </c>
      <c r="AE15" s="525">
        <v>0.8</v>
      </c>
    </row>
    <row r="16" spans="2:33" x14ac:dyDescent="0.3">
      <c r="B16" s="310" t="s">
        <v>674</v>
      </c>
      <c r="C16" s="307">
        <v>286200</v>
      </c>
      <c r="D16" s="107"/>
      <c r="E16" s="49" t="s">
        <v>161</v>
      </c>
      <c r="F16" s="48">
        <v>0</v>
      </c>
      <c r="G16" s="286">
        <f>$C$29*F16</f>
        <v>0</v>
      </c>
      <c r="I16" s="501" t="s">
        <v>593</v>
      </c>
      <c r="J16" s="48">
        <v>0.15</v>
      </c>
      <c r="L16" s="310" t="s">
        <v>687</v>
      </c>
      <c r="M16" s="333" t="s">
        <v>567</v>
      </c>
      <c r="N16" s="313">
        <v>2</v>
      </c>
      <c r="O16" s="505">
        <f>N16*10.7639*(1+$R$12)*F35/20</f>
        <v>4305.5599999999995</v>
      </c>
      <c r="Q16" s="741" t="s">
        <v>875</v>
      </c>
      <c r="R16" s="742">
        <f t="shared" ref="R16:R20" si="2">J7*(1+$R$13)</f>
        <v>2.91</v>
      </c>
      <c r="U16" s="487"/>
      <c r="W16" s="779"/>
      <c r="X16" s="492">
        <v>5000</v>
      </c>
      <c r="Y16" s="520" t="str">
        <f t="dataTable" ref="Y16:AE22" dt2D="1" dtr="1" r1="R11" r2="F24"/>
        <v>NEG IRR</v>
      </c>
      <c r="Z16" s="520" t="str">
        <v>NEG IRR</v>
      </c>
      <c r="AA16" s="520" t="str">
        <v>NEG IRR</v>
      </c>
      <c r="AB16" s="520" t="str">
        <v>NEG IRR</v>
      </c>
      <c r="AC16" s="520" t="str">
        <v>NEG IRR</v>
      </c>
      <c r="AD16" s="520" t="str">
        <v>NEG IRR</v>
      </c>
      <c r="AE16" s="521" t="str">
        <v>NEG IRR</v>
      </c>
      <c r="AG16" s="495">
        <v>0.1</v>
      </c>
    </row>
    <row r="17" spans="2:33" x14ac:dyDescent="0.3">
      <c r="B17" s="310" t="s">
        <v>564</v>
      </c>
      <c r="C17" s="358">
        <f>IF(D9="Djibouti",'Data Sources'!C85,IF(D9="Ethiopia",'Data Sources'!D85,IF(D9="Kenya",'Data Sources'!E85,IF(D9="Rwanda",'Data Sources'!F85,IF(D9="Tanzania",'Data Sources'!G85,IF(D9="Uganda",'Data Sources'!H85,0))))))</f>
        <v>0</v>
      </c>
      <c r="D17" s="107"/>
      <c r="E17" s="16" t="s">
        <v>162</v>
      </c>
      <c r="F17" s="289">
        <f>SUM(F14:F16)</f>
        <v>1</v>
      </c>
      <c r="G17" s="288">
        <f>SUM(G14:G16)</f>
        <v>881700</v>
      </c>
      <c r="I17" s="49" t="s">
        <v>594</v>
      </c>
      <c r="J17" s="48">
        <v>0.15</v>
      </c>
      <c r="L17" s="310" t="s">
        <v>4</v>
      </c>
      <c r="M17" s="333" t="s">
        <v>174</v>
      </c>
      <c r="N17" s="307">
        <v>0</v>
      </c>
      <c r="O17" s="505">
        <f t="shared" ref="O17:O22" si="3">N17*(1+$R$12)</f>
        <v>0</v>
      </c>
      <c r="Q17" s="741" t="s">
        <v>876</v>
      </c>
      <c r="R17" s="742">
        <f t="shared" si="2"/>
        <v>11.64</v>
      </c>
      <c r="U17" s="488"/>
      <c r="W17" s="779"/>
      <c r="X17" s="493">
        <f>X16+5000</f>
        <v>10000</v>
      </c>
      <c r="Y17" s="520" t="str">
        <v>NEG IRR</v>
      </c>
      <c r="Z17" s="520" t="str">
        <v>NEG IRR</v>
      </c>
      <c r="AA17" s="520" t="str">
        <v>NEG IRR</v>
      </c>
      <c r="AB17" s="520" t="str">
        <v>NEG IRR</v>
      </c>
      <c r="AC17" s="520" t="str">
        <v>NEG IRR</v>
      </c>
      <c r="AD17" s="520" t="str">
        <v>NEG IRR</v>
      </c>
      <c r="AE17" s="521" t="str">
        <v>NEG IRR</v>
      </c>
      <c r="AG17" s="496">
        <v>0.14990000000000001</v>
      </c>
    </row>
    <row r="18" spans="2:33" x14ac:dyDescent="0.3">
      <c r="B18" s="310" t="s">
        <v>4</v>
      </c>
      <c r="C18" s="307">
        <v>0</v>
      </c>
      <c r="D18" s="107"/>
      <c r="I18" s="499" t="s">
        <v>176</v>
      </c>
      <c r="J18" s="391">
        <v>0.01</v>
      </c>
      <c r="L18" s="310" t="s">
        <v>5</v>
      </c>
      <c r="M18" s="333" t="s">
        <v>174</v>
      </c>
      <c r="N18" s="307">
        <v>0</v>
      </c>
      <c r="O18" s="505">
        <f t="shared" si="3"/>
        <v>0</v>
      </c>
      <c r="Q18" s="741" t="s">
        <v>877</v>
      </c>
      <c r="R18" s="742">
        <f t="shared" si="2"/>
        <v>6.79</v>
      </c>
      <c r="U18" s="487"/>
      <c r="W18" s="779"/>
      <c r="X18" s="493">
        <f t="shared" ref="X18:X22" si="4">X17+5000</f>
        <v>15000</v>
      </c>
      <c r="Y18" s="520">
        <v>-2.0982852581084011E-2</v>
      </c>
      <c r="Z18" s="520">
        <v>-0.13975181891841004</v>
      </c>
      <c r="AA18" s="520" t="str">
        <v>NEG IRR</v>
      </c>
      <c r="AB18" s="520" t="str">
        <v>NEG IRR</v>
      </c>
      <c r="AC18" s="520" t="str">
        <v>NEG IRR</v>
      </c>
      <c r="AD18" s="520" t="str">
        <v>NEG IRR</v>
      </c>
      <c r="AE18" s="521" t="str">
        <v>NEG IRR</v>
      </c>
      <c r="AG18" s="419"/>
    </row>
    <row r="19" spans="2:33" x14ac:dyDescent="0.3">
      <c r="B19" s="310" t="s">
        <v>4</v>
      </c>
      <c r="C19" s="307">
        <v>0</v>
      </c>
      <c r="D19" s="107"/>
      <c r="E19" s="53" t="s">
        <v>164</v>
      </c>
      <c r="F19" s="276"/>
      <c r="L19" s="310" t="s">
        <v>6</v>
      </c>
      <c r="M19" s="333" t="s">
        <v>174</v>
      </c>
      <c r="N19" s="307">
        <v>0</v>
      </c>
      <c r="O19" s="505">
        <f t="shared" si="3"/>
        <v>0</v>
      </c>
      <c r="Q19" s="741" t="s">
        <v>878</v>
      </c>
      <c r="R19" s="742">
        <f t="shared" si="2"/>
        <v>19.400000000000002</v>
      </c>
      <c r="U19" s="487"/>
      <c r="W19" s="779"/>
      <c r="X19" s="493">
        <f t="shared" si="4"/>
        <v>20000</v>
      </c>
      <c r="Y19" s="520">
        <v>0.10570163911829145</v>
      </c>
      <c r="Z19" s="520">
        <v>1.5414885032235759E-2</v>
      </c>
      <c r="AA19" s="520">
        <v>-4.746831632120474E-2</v>
      </c>
      <c r="AB19" s="520">
        <v>-0.13064475027009892</v>
      </c>
      <c r="AC19" s="520" t="str">
        <v>NEG IRR</v>
      </c>
      <c r="AD19" s="520" t="str">
        <v>NEG IRR</v>
      </c>
      <c r="AE19" s="521" t="str">
        <v>NEG IRR</v>
      </c>
    </row>
    <row r="20" spans="2:33" x14ac:dyDescent="0.3">
      <c r="B20" s="310" t="s">
        <v>5</v>
      </c>
      <c r="C20" s="307">
        <v>0</v>
      </c>
      <c r="D20" s="107"/>
      <c r="E20" s="502" t="s">
        <v>182</v>
      </c>
      <c r="F20" s="275"/>
      <c r="G20" s="302">
        <f>IF(D9="Djibouti",Currency!Q8,IF(D9="Ethiopia",Currency!Q9,IF(D9="Kenya",Currency!Q10,IF(D9="Rwanda",Currency!Q11,IF(D9="Tanzania",Currency!Q12,IF(D9="Uganda",Currency!Q13,0))))))</f>
        <v>0.113</v>
      </c>
      <c r="I20" s="16" t="s">
        <v>165</v>
      </c>
      <c r="J20" s="26"/>
      <c r="L20" s="310" t="s">
        <v>7</v>
      </c>
      <c r="M20" s="333" t="s">
        <v>174</v>
      </c>
      <c r="N20" s="307">
        <v>0</v>
      </c>
      <c r="O20" s="505">
        <f t="shared" si="3"/>
        <v>0</v>
      </c>
      <c r="Q20" s="741" t="s">
        <v>879</v>
      </c>
      <c r="R20" s="742">
        <f t="shared" si="2"/>
        <v>10.185</v>
      </c>
      <c r="U20" s="487"/>
      <c r="W20" s="779"/>
      <c r="X20" s="493">
        <f t="shared" si="4"/>
        <v>25000</v>
      </c>
      <c r="Y20" s="520">
        <v>0.23585893571665384</v>
      </c>
      <c r="Z20" s="520">
        <v>0.1078806651151103</v>
      </c>
      <c r="AA20" s="520">
        <v>3.5925628294859902E-2</v>
      </c>
      <c r="AB20" s="520">
        <v>-1.5678941427272552E-2</v>
      </c>
      <c r="AC20" s="520">
        <v>-6.2856053874018158E-2</v>
      </c>
      <c r="AD20" s="520">
        <v>-0.12646145415660837</v>
      </c>
      <c r="AE20" s="521" t="str">
        <v>NEG IRR</v>
      </c>
    </row>
    <row r="21" spans="2:33" x14ac:dyDescent="0.3">
      <c r="B21" s="310" t="s">
        <v>6</v>
      </c>
      <c r="C21" s="307">
        <v>0</v>
      </c>
      <c r="D21" s="107"/>
      <c r="E21" s="503" t="s">
        <v>68</v>
      </c>
      <c r="F21" s="498"/>
      <c r="G21" s="52">
        <v>10</v>
      </c>
      <c r="I21" s="16" t="s">
        <v>166</v>
      </c>
      <c r="J21" s="315">
        <f>IF(D9="Djibouti",'Data Sources'!C54,IF(D9="Ethiopia",'Data Sources'!D54,IF(D9="Kenya",'Data Sources'!E54,IF(D9="Rwanda",'Data Sources'!F54,IF(D9="Tanzania",'Data Sources'!G54,IF(D9="Uganda",'Data Sources'!H54,0))))))</f>
        <v>0.25</v>
      </c>
      <c r="L21" s="310" t="s">
        <v>8</v>
      </c>
      <c r="M21" s="333" t="s">
        <v>174</v>
      </c>
      <c r="N21" s="307">
        <v>0</v>
      </c>
      <c r="O21" s="505">
        <f t="shared" si="3"/>
        <v>0</v>
      </c>
      <c r="U21" s="488"/>
      <c r="W21" s="779"/>
      <c r="X21" s="493">
        <f t="shared" si="4"/>
        <v>30000</v>
      </c>
      <c r="Y21" s="520">
        <v>0.39793437321884761</v>
      </c>
      <c r="Z21" s="520">
        <v>0.20291943839880466</v>
      </c>
      <c r="AA21" s="520">
        <v>0.10919077759807649</v>
      </c>
      <c r="AB21" s="520">
        <v>4.9328916125249478E-2</v>
      </c>
      <c r="AC21" s="520">
        <v>4.5271405913684948E-3</v>
      </c>
      <c r="AD21" s="520">
        <v>-3.2591146992212772E-2</v>
      </c>
      <c r="AE21" s="521">
        <v>-7.239872998712904E-2</v>
      </c>
    </row>
    <row r="22" spans="2:33" x14ac:dyDescent="0.3">
      <c r="B22" s="310" t="s">
        <v>7</v>
      </c>
      <c r="C22" s="307">
        <v>0</v>
      </c>
      <c r="D22" s="107"/>
      <c r="L22" s="323" t="s">
        <v>9</v>
      </c>
      <c r="M22" s="334" t="s">
        <v>174</v>
      </c>
      <c r="N22" s="318">
        <v>0</v>
      </c>
      <c r="O22" s="506">
        <f t="shared" si="3"/>
        <v>0</v>
      </c>
      <c r="U22" s="487"/>
      <c r="W22" s="780"/>
      <c r="X22" s="494">
        <f t="shared" si="4"/>
        <v>35000</v>
      </c>
      <c r="Y22" s="522">
        <v>0.57906271916098073</v>
      </c>
      <c r="Z22" s="522">
        <v>0.31634940777357423</v>
      </c>
      <c r="AA22" s="522">
        <v>0.18405492930064216</v>
      </c>
      <c r="AB22" s="522">
        <v>0.11006534372869115</v>
      </c>
      <c r="AC22" s="522">
        <v>5.8816447121291304E-2</v>
      </c>
      <c r="AD22" s="522">
        <v>1.9021567500727921E-2</v>
      </c>
      <c r="AE22" s="523">
        <v>-1.3946167011951172E-2</v>
      </c>
    </row>
    <row r="23" spans="2:33" x14ac:dyDescent="0.3">
      <c r="B23" s="310" t="s">
        <v>8</v>
      </c>
      <c r="C23" s="307">
        <v>0</v>
      </c>
      <c r="D23" s="107"/>
      <c r="E23" s="277" t="s">
        <v>177</v>
      </c>
      <c r="F23" s="311" t="s">
        <v>195</v>
      </c>
      <c r="G23" s="401" t="s">
        <v>17</v>
      </c>
      <c r="I23" s="56" t="s">
        <v>70</v>
      </c>
      <c r="J23" s="21"/>
      <c r="L23" s="49" t="s">
        <v>175</v>
      </c>
      <c r="M23" s="507"/>
      <c r="N23" s="18">
        <v>0.01</v>
      </c>
      <c r="U23" s="419"/>
      <c r="W23" s="68"/>
      <c r="X23" s="68"/>
      <c r="Y23" s="781" t="s">
        <v>756</v>
      </c>
      <c r="Z23" s="782"/>
      <c r="AA23" s="782"/>
      <c r="AB23" s="782"/>
      <c r="AC23" s="782"/>
      <c r="AD23" s="782"/>
      <c r="AE23" s="783"/>
    </row>
    <row r="24" spans="2:33" x14ac:dyDescent="0.3">
      <c r="B24" s="310" t="s">
        <v>9</v>
      </c>
      <c r="C24" s="307">
        <v>0</v>
      </c>
      <c r="D24" s="107"/>
      <c r="E24" s="510" t="s">
        <v>644</v>
      </c>
      <c r="F24" s="609">
        <v>14000</v>
      </c>
      <c r="G24" s="306" t="s">
        <v>598</v>
      </c>
      <c r="I24" s="16" t="s">
        <v>643</v>
      </c>
      <c r="J24" s="55">
        <v>25</v>
      </c>
      <c r="Y24" s="652">
        <f>SUM($O$7:$O$22)*(1+Y$25)</f>
        <v>89168.727125479054</v>
      </c>
      <c r="Z24" s="653">
        <f t="shared" ref="Z24:AE24" si="5">SUM($O$7:$O$22)*(1+Z$25)</f>
        <v>118891.63616730541</v>
      </c>
      <c r="AA24" s="653">
        <f t="shared" si="5"/>
        <v>148614.54520913176</v>
      </c>
      <c r="AB24" s="653">
        <f t="shared" si="5"/>
        <v>178337.45425095811</v>
      </c>
      <c r="AC24" s="653">
        <f t="shared" si="5"/>
        <v>208060.36329278446</v>
      </c>
      <c r="AD24" s="653">
        <f t="shared" si="5"/>
        <v>237783.27233461081</v>
      </c>
      <c r="AE24" s="654">
        <f t="shared" si="5"/>
        <v>267506.18137643719</v>
      </c>
    </row>
    <row r="25" spans="2:33" ht="15" customHeight="1" x14ac:dyDescent="0.3">
      <c r="B25" s="310" t="s">
        <v>10</v>
      </c>
      <c r="C25" s="307">
        <v>0</v>
      </c>
      <c r="D25" s="107"/>
      <c r="E25" s="511" t="s">
        <v>631</v>
      </c>
      <c r="F25" s="407">
        <v>2800</v>
      </c>
      <c r="G25" s="305" t="s">
        <v>635</v>
      </c>
      <c r="I25" s="508" t="s">
        <v>72</v>
      </c>
      <c r="J25" s="54">
        <f>C29</f>
        <v>881700</v>
      </c>
      <c r="L25" s="19" t="s">
        <v>79</v>
      </c>
      <c r="M25" s="63"/>
      <c r="N25" s="63"/>
      <c r="O25" s="276"/>
      <c r="W25" s="778" t="s">
        <v>765</v>
      </c>
      <c r="X25" s="490" t="str">
        <f>Spa_CashFlows!BV4</f>
        <v>NEG IRR</v>
      </c>
      <c r="Y25" s="524">
        <v>-0.4</v>
      </c>
      <c r="Z25" s="524">
        <v>-0.2</v>
      </c>
      <c r="AA25" s="524">
        <v>0</v>
      </c>
      <c r="AB25" s="524">
        <v>0.2</v>
      </c>
      <c r="AC25" s="524">
        <v>0.4</v>
      </c>
      <c r="AD25" s="524">
        <v>0.6</v>
      </c>
      <c r="AE25" s="525">
        <v>0.8</v>
      </c>
    </row>
    <row r="26" spans="2:33" x14ac:dyDescent="0.3">
      <c r="B26" s="310" t="s">
        <v>11</v>
      </c>
      <c r="C26" s="307">
        <v>0</v>
      </c>
      <c r="D26" s="107"/>
      <c r="E26" s="511" t="s">
        <v>633</v>
      </c>
      <c r="F26" s="407">
        <v>1</v>
      </c>
      <c r="G26" s="305" t="s">
        <v>634</v>
      </c>
      <c r="I26" s="508" t="s">
        <v>73</v>
      </c>
      <c r="J26" s="55">
        <v>0</v>
      </c>
      <c r="L26" s="64"/>
      <c r="M26" s="325" t="s">
        <v>80</v>
      </c>
      <c r="N26" s="72" t="s">
        <v>185</v>
      </c>
      <c r="O26" s="325" t="s">
        <v>185</v>
      </c>
      <c r="W26" s="779"/>
      <c r="X26" s="492">
        <v>5000</v>
      </c>
      <c r="Y26" s="520" t="str">
        <f t="dataTable" ref="Y26:AE32" dt2D="1" dtr="1" r1="R12" r2="F24" ca="1"/>
        <v>NEG IRR</v>
      </c>
      <c r="Z26" s="520" t="str">
        <v>NEG IRR</v>
      </c>
      <c r="AA26" s="520" t="str">
        <v>NEG IRR</v>
      </c>
      <c r="AB26" s="520" t="str">
        <v>NEG IRR</v>
      </c>
      <c r="AC26" s="520" t="str">
        <v>NEG IRR</v>
      </c>
      <c r="AD26" s="520" t="str">
        <v>NEG IRR</v>
      </c>
      <c r="AE26" s="521" t="str">
        <v>NEG IRR</v>
      </c>
    </row>
    <row r="27" spans="2:33" x14ac:dyDescent="0.3">
      <c r="B27" s="310" t="s">
        <v>26</v>
      </c>
      <c r="C27" s="307">
        <v>0</v>
      </c>
      <c r="D27" s="107"/>
      <c r="E27" s="511" t="s">
        <v>654</v>
      </c>
      <c r="F27" s="403">
        <f>F25*F26</f>
        <v>2800</v>
      </c>
      <c r="G27" s="305" t="s">
        <v>655</v>
      </c>
      <c r="L27" s="310" t="s">
        <v>82</v>
      </c>
      <c r="M27" s="327" t="s">
        <v>69</v>
      </c>
      <c r="N27" s="324">
        <f>IF(D9="Djibouti",'Data Sources'!C69,IF(D9="Ethiopia",'Data Sources'!D69,IF(D9="Kenya",'Data Sources'!E69,IF(D9="Rwanda",'Data Sources'!F69,IF(D9="Tanzania",'Data Sources'!G69,IF(D9="Uganda",'Data Sources'!H69,0))))))</f>
        <v>19759.469484095764</v>
      </c>
      <c r="O27" s="67">
        <f>IF(M27="Y",N27,0)</f>
        <v>0</v>
      </c>
      <c r="W27" s="779"/>
      <c r="X27" s="493">
        <f>X26+5000</f>
        <v>10000</v>
      </c>
      <c r="Y27" s="520">
        <v>-0.15005869275820949</v>
      </c>
      <c r="Z27" s="520" t="str">
        <v>NEG IRR</v>
      </c>
      <c r="AA27" s="520" t="str">
        <v>NEG IRR</v>
      </c>
      <c r="AB27" s="520" t="str">
        <v>NEG IRR</v>
      </c>
      <c r="AC27" s="520" t="str">
        <v>NEG IRR</v>
      </c>
      <c r="AD27" s="520" t="str">
        <v>NEG IRR</v>
      </c>
      <c r="AE27" s="521" t="str">
        <v>NEG IRR</v>
      </c>
    </row>
    <row r="28" spans="2:33" x14ac:dyDescent="0.3">
      <c r="B28" s="323" t="s">
        <v>665</v>
      </c>
      <c r="C28" s="318">
        <v>0</v>
      </c>
      <c r="D28" s="107"/>
      <c r="E28" s="511" t="s">
        <v>647</v>
      </c>
      <c r="F28" s="407">
        <v>15</v>
      </c>
      <c r="G28" s="305" t="s">
        <v>648</v>
      </c>
      <c r="L28" s="310" t="s">
        <v>521</v>
      </c>
      <c r="M28" s="328" t="s">
        <v>81</v>
      </c>
      <c r="N28" s="319">
        <f>IF(D9="Djibouti",'Data Sources'!C73,IF(D9="Ethiopia",'Data Sources'!D73,IF(D9="Kenya",'Data Sources'!E73,IF(D9="Rwanda",'Data Sources'!F73,IF(D9="Tanzania",'Data Sources'!G73,IF(D9="Uganda",'Data Sources'!H73,0))))))</f>
        <v>7485.6693267393503</v>
      </c>
      <c r="O28" s="69">
        <f t="shared" ref="O28:O34" si="6">IF(M28="Y",N28,0)</f>
        <v>7485.6693267393503</v>
      </c>
      <c r="W28" s="779"/>
      <c r="X28" s="493">
        <f t="shared" ref="X28:X32" si="7">X27+5000</f>
        <v>15000</v>
      </c>
      <c r="Y28" s="520">
        <v>-1.292892270324586E-3</v>
      </c>
      <c r="Z28" s="520">
        <v>-8.0135864031979032E-2</v>
      </c>
      <c r="AA28" s="520" t="str">
        <v>NEG IRR</v>
      </c>
      <c r="AB28" s="520" t="str">
        <v>NEG IRR</v>
      </c>
      <c r="AC28" s="520" t="str">
        <v>NEG IRR</v>
      </c>
      <c r="AD28" s="520" t="str">
        <v>NEG IRR</v>
      </c>
      <c r="AE28" s="521" t="str">
        <v>NEG IRR</v>
      </c>
    </row>
    <row r="29" spans="2:33" x14ac:dyDescent="0.3">
      <c r="B29" s="9" t="s">
        <v>15</v>
      </c>
      <c r="C29" s="743">
        <f>(SUM(C13:C16)+SUM(C18:C28)+(C17*F35))*(1+$R$11)</f>
        <v>881700</v>
      </c>
      <c r="E29" s="511" t="s">
        <v>649</v>
      </c>
      <c r="F29" s="407">
        <v>1</v>
      </c>
      <c r="G29" s="305" t="s">
        <v>650</v>
      </c>
      <c r="L29" s="310" t="s">
        <v>595</v>
      </c>
      <c r="M29" s="328" t="s">
        <v>81</v>
      </c>
      <c r="N29" s="319">
        <f>IF(D9="Djibouti",'Data Sources'!C77,IF(D9="Ethiopia",'Data Sources'!D77,IF(D9="Kenya",'Data Sources'!E77,IF(D9="Rwanda",'Data Sources'!F77,IF(D9="Tanzania",'Data Sources'!G77,IF(D9="Uganda",'Data Sources'!H77,0))))))</f>
        <v>5320.8946836012137</v>
      </c>
      <c r="O29" s="69">
        <f t="shared" si="6"/>
        <v>5320.8946836012137</v>
      </c>
      <c r="W29" s="779"/>
      <c r="X29" s="493">
        <f t="shared" si="7"/>
        <v>20000</v>
      </c>
      <c r="Y29" s="520">
        <v>7.9624349292130692E-2</v>
      </c>
      <c r="Z29" s="520">
        <v>2.0320071488604041E-2</v>
      </c>
      <c r="AA29" s="520">
        <v>-4.746831632120474E-2</v>
      </c>
      <c r="AB29" s="520" t="str">
        <v>NEG IRR</v>
      </c>
      <c r="AC29" s="520" t="str">
        <v>NEG IRR</v>
      </c>
      <c r="AD29" s="520" t="str">
        <v>NEG IRR</v>
      </c>
      <c r="AE29" s="521" t="str">
        <v>NEG IRR</v>
      </c>
    </row>
    <row r="30" spans="2:33" x14ac:dyDescent="0.3">
      <c r="E30" s="511" t="s">
        <v>646</v>
      </c>
      <c r="F30" s="610">
        <f>F32*F33</f>
        <v>3948</v>
      </c>
      <c r="G30" s="305" t="s">
        <v>545</v>
      </c>
      <c r="L30" s="310" t="s">
        <v>184</v>
      </c>
      <c r="M30" s="328" t="s">
        <v>69</v>
      </c>
      <c r="N30" s="319">
        <v>0</v>
      </c>
      <c r="O30" s="69">
        <f t="shared" si="6"/>
        <v>0</v>
      </c>
      <c r="W30" s="779"/>
      <c r="X30" s="493">
        <f t="shared" si="7"/>
        <v>25000</v>
      </c>
      <c r="Y30" s="520">
        <v>0.15741089074032644</v>
      </c>
      <c r="Z30" s="520">
        <v>9.7067470523321431E-2</v>
      </c>
      <c r="AA30" s="520">
        <v>3.5925628294859902E-2</v>
      </c>
      <c r="AB30" s="520">
        <v>-3.0991857468216977E-2</v>
      </c>
      <c r="AC30" s="520" t="str">
        <v>NEG IRR</v>
      </c>
      <c r="AD30" s="520" t="str">
        <v>NEG IRR</v>
      </c>
      <c r="AE30" s="521" t="str">
        <v>NEG IRR</v>
      </c>
    </row>
    <row r="31" spans="2:33" x14ac:dyDescent="0.3">
      <c r="E31" s="511" t="s">
        <v>632</v>
      </c>
      <c r="F31" s="407">
        <v>1000</v>
      </c>
      <c r="G31" s="305" t="s">
        <v>598</v>
      </c>
      <c r="L31" s="310" t="s">
        <v>386</v>
      </c>
      <c r="M31" s="328" t="s">
        <v>81</v>
      </c>
      <c r="N31" s="319">
        <f>IF(D9="Djibouti",'Data Sources'!C81,IF(D9="Ethiopia",'Data Sources'!D81,IF(D9="Kenya",'Data Sources'!E81,IF(D9="Rwanda",'Data Sources'!F81,IF(D9="Tanzania",'Data Sources'!G81,IF(D9="Uganda",'Data Sources'!H81,0))))))</f>
        <v>5320.8946836012137</v>
      </c>
      <c r="O31" s="69">
        <f t="shared" si="6"/>
        <v>5320.8946836012137</v>
      </c>
      <c r="W31" s="779"/>
      <c r="X31" s="493">
        <f t="shared" si="7"/>
        <v>30000</v>
      </c>
      <c r="Y31" s="520">
        <v>0.24570936830033885</v>
      </c>
      <c r="Z31" s="520">
        <v>0.17328613097374479</v>
      </c>
      <c r="AA31" s="520">
        <v>0.10919077759807649</v>
      </c>
      <c r="AB31" s="520">
        <v>4.6099385412203819E-2</v>
      </c>
      <c r="AC31" s="520">
        <v>-2.2042957508076944E-2</v>
      </c>
      <c r="AD31" s="520" t="str">
        <v>NEG IRR</v>
      </c>
      <c r="AE31" s="521" t="str">
        <v>NEG IRR</v>
      </c>
    </row>
    <row r="32" spans="2:33" x14ac:dyDescent="0.3">
      <c r="E32" s="511" t="s">
        <v>653</v>
      </c>
      <c r="F32" s="403">
        <f>M43*M42</f>
        <v>329</v>
      </c>
      <c r="G32" s="305" t="s">
        <v>601</v>
      </c>
      <c r="L32" s="310" t="s">
        <v>388</v>
      </c>
      <c r="M32" s="328" t="s">
        <v>69</v>
      </c>
      <c r="N32" s="319">
        <v>0</v>
      </c>
      <c r="O32" s="69">
        <f t="shared" si="6"/>
        <v>0</v>
      </c>
      <c r="W32" s="780"/>
      <c r="X32" s="494">
        <f t="shared" si="7"/>
        <v>35000</v>
      </c>
      <c r="Y32" s="522">
        <v>0.34785844635864516</v>
      </c>
      <c r="Z32" s="522">
        <v>0.26111467155563139</v>
      </c>
      <c r="AA32" s="522">
        <v>0.18405492930064216</v>
      </c>
      <c r="AB32" s="522">
        <v>0.11636263635550637</v>
      </c>
      <c r="AC32" s="522">
        <v>5.1041559256917335E-2</v>
      </c>
      <c r="AD32" s="522">
        <v>-1.9301477234928477E-2</v>
      </c>
      <c r="AE32" s="523" t="str">
        <v>NEG IRR</v>
      </c>
    </row>
    <row r="33" spans="5:74" x14ac:dyDescent="0.3">
      <c r="E33" s="511" t="s">
        <v>652</v>
      </c>
      <c r="F33" s="407">
        <v>12</v>
      </c>
      <c r="G33" s="305" t="s">
        <v>545</v>
      </c>
      <c r="L33" s="310" t="s">
        <v>4</v>
      </c>
      <c r="M33" s="328" t="s">
        <v>69</v>
      </c>
      <c r="N33" s="319">
        <v>0</v>
      </c>
      <c r="O33" s="69">
        <f t="shared" si="6"/>
        <v>0</v>
      </c>
      <c r="W33" s="68"/>
      <c r="X33" s="68"/>
      <c r="Y33" s="781" t="s">
        <v>757</v>
      </c>
      <c r="Z33" s="782"/>
      <c r="AA33" s="782"/>
      <c r="AB33" s="782"/>
      <c r="AC33" s="782"/>
      <c r="AD33" s="782"/>
      <c r="AE33" s="783"/>
    </row>
    <row r="34" spans="5:74" x14ac:dyDescent="0.3">
      <c r="E34" s="511" t="s">
        <v>651</v>
      </c>
      <c r="F34" s="406">
        <f>F31*F30/F29</f>
        <v>3948000</v>
      </c>
      <c r="G34" s="305" t="s">
        <v>598</v>
      </c>
      <c r="L34" s="323" t="s">
        <v>5</v>
      </c>
      <c r="M34" s="329" t="s">
        <v>69</v>
      </c>
      <c r="N34" s="319">
        <v>0</v>
      </c>
      <c r="O34" s="70">
        <f t="shared" si="6"/>
        <v>0</v>
      </c>
      <c r="Y34" s="649">
        <f t="shared" ref="Y34:AE34" si="8">AVERAGE($R$15:$R$20)*(1+Y$35)</f>
        <v>5.674500000000001</v>
      </c>
      <c r="Z34" s="650">
        <f t="shared" si="8"/>
        <v>7.5660000000000016</v>
      </c>
      <c r="AA34" s="650">
        <f t="shared" si="8"/>
        <v>9.4575000000000014</v>
      </c>
      <c r="AB34" s="650">
        <f t="shared" si="8"/>
        <v>11.349000000000002</v>
      </c>
      <c r="AC34" s="650">
        <f t="shared" si="8"/>
        <v>13.240500000000001</v>
      </c>
      <c r="AD34" s="650">
        <f t="shared" si="8"/>
        <v>15.132000000000003</v>
      </c>
      <c r="AE34" s="651">
        <f t="shared" si="8"/>
        <v>17.023500000000002</v>
      </c>
    </row>
    <row r="35" spans="5:74" ht="15" customHeight="1" x14ac:dyDescent="0.3">
      <c r="E35" s="513" t="s">
        <v>686</v>
      </c>
      <c r="F35" s="609">
        <v>4000</v>
      </c>
      <c r="G35" s="316" t="s">
        <v>635</v>
      </c>
      <c r="L35" s="16" t="s">
        <v>162</v>
      </c>
      <c r="M35" s="326"/>
      <c r="N35" s="63"/>
      <c r="O35" s="519">
        <f>SUM(O27:O34)</f>
        <v>18127.458693941779</v>
      </c>
      <c r="W35" s="778" t="s">
        <v>765</v>
      </c>
      <c r="X35" s="491" t="str">
        <f>Spa_CashFlows!BV4</f>
        <v>NEG IRR</v>
      </c>
      <c r="Y35" s="524">
        <v>-0.4</v>
      </c>
      <c r="Z35" s="524">
        <v>-0.2</v>
      </c>
      <c r="AA35" s="524">
        <v>0</v>
      </c>
      <c r="AB35" s="524">
        <v>0.2</v>
      </c>
      <c r="AC35" s="524">
        <v>0.4</v>
      </c>
      <c r="AD35" s="524">
        <v>0.6</v>
      </c>
      <c r="AE35" s="525">
        <v>0.8</v>
      </c>
    </row>
    <row r="36" spans="5:74" x14ac:dyDescent="0.3">
      <c r="W36" s="779"/>
      <c r="X36" s="492">
        <v>5000</v>
      </c>
      <c r="Y36" s="520" t="str">
        <f t="dataTable" ref="Y36:AE42" dt2D="1" dtr="1" r1="R13" r2="F24" ca="1"/>
        <v>NEG IRR</v>
      </c>
      <c r="Z36" s="520" t="str">
        <v>NEG IRR</v>
      </c>
      <c r="AA36" s="520" t="str">
        <v>NEG IRR</v>
      </c>
      <c r="AB36" s="520" t="str">
        <v>NEG IRR</v>
      </c>
      <c r="AC36" s="520" t="str">
        <v>NEG IRR</v>
      </c>
      <c r="AD36" s="520" t="str">
        <v>NEG IRR</v>
      </c>
      <c r="AE36" s="521" t="str">
        <v>NEG IRR</v>
      </c>
    </row>
    <row r="37" spans="5:74" x14ac:dyDescent="0.3">
      <c r="L37" s="277" t="s">
        <v>186</v>
      </c>
      <c r="M37" s="278"/>
      <c r="W37" s="779"/>
      <c r="X37" s="493">
        <f>X36+5000</f>
        <v>10000</v>
      </c>
      <c r="Y37" s="520" t="str">
        <v>NEG IRR</v>
      </c>
      <c r="Z37" s="520" t="str">
        <v>NEG IRR</v>
      </c>
      <c r="AA37" s="520" t="str">
        <v>NEG IRR</v>
      </c>
      <c r="AB37" s="520" t="str">
        <v>NEG IRR</v>
      </c>
      <c r="AC37" s="520" t="str">
        <v>NEG IRR</v>
      </c>
      <c r="AD37" s="520" t="str">
        <v>NEG IRR</v>
      </c>
      <c r="AE37" s="521">
        <v>-6.5517173812349561E-2</v>
      </c>
    </row>
    <row r="38" spans="5:74" x14ac:dyDescent="0.3">
      <c r="L38" s="510" t="s">
        <v>685</v>
      </c>
      <c r="M38" s="421">
        <f>(809/968007)/2</f>
        <v>4.1786887904736225E-4</v>
      </c>
      <c r="W38" s="779"/>
      <c r="X38" s="493">
        <f t="shared" ref="X38:X42" si="9">X37+5000</f>
        <v>15000</v>
      </c>
      <c r="Y38" s="520" t="str">
        <v>NEG IRR</v>
      </c>
      <c r="Z38" s="520" t="str">
        <v>NEG IRR</v>
      </c>
      <c r="AA38" s="520" t="str">
        <v>NEG IRR</v>
      </c>
      <c r="AB38" s="520">
        <v>-9.0597500837212408E-2</v>
      </c>
      <c r="AC38" s="520">
        <v>-1.1618764540292426E-2</v>
      </c>
      <c r="AD38" s="520">
        <v>4.2765351665988938E-2</v>
      </c>
      <c r="AE38" s="521">
        <v>9.4129692205125126E-2</v>
      </c>
    </row>
    <row r="39" spans="5:74" x14ac:dyDescent="0.3">
      <c r="I39" s="390"/>
      <c r="L39" s="511" t="s">
        <v>684</v>
      </c>
      <c r="M39" s="396">
        <f>ROUNDUP(M38*F24,0)</f>
        <v>6</v>
      </c>
      <c r="W39" s="779"/>
      <c r="X39" s="493">
        <f t="shared" si="9"/>
        <v>20000</v>
      </c>
      <c r="Y39" s="520" t="str">
        <v>NEG IRR</v>
      </c>
      <c r="Z39" s="520" t="str">
        <v>NEG IRR</v>
      </c>
      <c r="AA39" s="520">
        <v>-4.746831632120474E-2</v>
      </c>
      <c r="AB39" s="520">
        <v>3.0588074653521424E-2</v>
      </c>
      <c r="AC39" s="520">
        <v>9.9185752677326766E-2</v>
      </c>
      <c r="AD39" s="520">
        <v>0.16737247421425749</v>
      </c>
      <c r="AE39" s="521">
        <v>0.24477621774829172</v>
      </c>
    </row>
    <row r="40" spans="5:74" x14ac:dyDescent="0.3">
      <c r="J40" s="390"/>
      <c r="L40" s="511" t="s">
        <v>187</v>
      </c>
      <c r="M40" s="8">
        <v>2</v>
      </c>
      <c r="W40" s="779"/>
      <c r="X40" s="493">
        <f t="shared" si="9"/>
        <v>25000</v>
      </c>
      <c r="Y40" s="520" t="str">
        <v>NEG IRR</v>
      </c>
      <c r="Z40" s="520">
        <v>-6.8439494836901704E-2</v>
      </c>
      <c r="AA40" s="520">
        <v>3.5925628294859902E-2</v>
      </c>
      <c r="AB40" s="520">
        <v>0.12070636246256616</v>
      </c>
      <c r="AC40" s="520">
        <v>0.21062621032604478</v>
      </c>
      <c r="AD40" s="520">
        <v>0.31675295944263637</v>
      </c>
      <c r="AE40" s="521">
        <v>0.43644900037998968</v>
      </c>
    </row>
    <row r="41" spans="5:74" x14ac:dyDescent="0.3">
      <c r="I41" s="390"/>
      <c r="L41" s="512" t="s">
        <v>188</v>
      </c>
      <c r="M41" s="8">
        <v>6</v>
      </c>
      <c r="W41" s="779"/>
      <c r="X41" s="493">
        <f t="shared" si="9"/>
        <v>30000</v>
      </c>
      <c r="Y41" s="520" t="str">
        <v>NEG IRR</v>
      </c>
      <c r="Z41" s="520">
        <v>5.5656545265623247E-3</v>
      </c>
      <c r="AA41" s="520">
        <v>0.10919077759807649</v>
      </c>
      <c r="AB41" s="520">
        <v>0.21658942263094949</v>
      </c>
      <c r="AC41" s="520">
        <v>0.3469113119235967</v>
      </c>
      <c r="AD41" s="520">
        <v>0.4943496878774063</v>
      </c>
      <c r="AE41" s="521">
        <v>0.64903572800447695</v>
      </c>
    </row>
    <row r="42" spans="5:74" x14ac:dyDescent="0.3">
      <c r="I42" s="354"/>
      <c r="L42" s="511" t="s">
        <v>569</v>
      </c>
      <c r="M42" s="397">
        <v>7</v>
      </c>
      <c r="W42" s="780"/>
      <c r="X42" s="494">
        <f t="shared" si="9"/>
        <v>35000</v>
      </c>
      <c r="Y42" s="522">
        <v>-8.2246536899308831E-2</v>
      </c>
      <c r="Z42" s="522">
        <v>6.3729520891328439E-2</v>
      </c>
      <c r="AA42" s="522">
        <v>0.18405492930064216</v>
      </c>
      <c r="AB42" s="522">
        <v>0.33068653536977322</v>
      </c>
      <c r="AC42" s="522">
        <v>0.50206146954768394</v>
      </c>
      <c r="AD42" s="522">
        <v>0.68304351577237221</v>
      </c>
      <c r="AE42" s="523">
        <v>0.86666170360825379</v>
      </c>
    </row>
    <row r="43" spans="5:74" x14ac:dyDescent="0.3">
      <c r="I43" s="354"/>
      <c r="L43" s="511" t="s">
        <v>570</v>
      </c>
      <c r="M43" s="397">
        <v>47</v>
      </c>
    </row>
    <row r="44" spans="5:74" x14ac:dyDescent="0.3">
      <c r="L44" s="511" t="s">
        <v>189</v>
      </c>
      <c r="M44" s="335">
        <f>M40*M41*M39</f>
        <v>72</v>
      </c>
    </row>
    <row r="45" spans="5:74" x14ac:dyDescent="0.3">
      <c r="L45" s="513" t="s">
        <v>206</v>
      </c>
      <c r="M45" s="336">
        <f>M44*M43*M42</f>
        <v>23688</v>
      </c>
    </row>
    <row r="47" spans="5:74" x14ac:dyDescent="0.3">
      <c r="BV47" s="608" t="s">
        <v>31</v>
      </c>
    </row>
    <row r="48" spans="5:74" x14ac:dyDescent="0.3">
      <c r="BV48" s="608" t="s">
        <v>35</v>
      </c>
    </row>
    <row r="49" spans="9:74" x14ac:dyDescent="0.3">
      <c r="I49" s="354"/>
      <c r="BV49" s="608" t="s">
        <v>39</v>
      </c>
    </row>
    <row r="50" spans="9:74" x14ac:dyDescent="0.3">
      <c r="I50" s="354"/>
      <c r="BV50" s="608" t="s">
        <v>42</v>
      </c>
    </row>
    <row r="51" spans="9:74" x14ac:dyDescent="0.3">
      <c r="I51" s="354"/>
      <c r="BV51" s="608" t="s">
        <v>45</v>
      </c>
    </row>
    <row r="52" spans="9:74" x14ac:dyDescent="0.3">
      <c r="BV52" s="608" t="s">
        <v>48</v>
      </c>
    </row>
    <row r="55" spans="9:74" x14ac:dyDescent="0.3">
      <c r="BV55" t="s">
        <v>81</v>
      </c>
    </row>
    <row r="56" spans="9:74" x14ac:dyDescent="0.3">
      <c r="BV56" t="s">
        <v>69</v>
      </c>
    </row>
  </sheetData>
  <mergeCells count="7">
    <mergeCell ref="W11:AE11"/>
    <mergeCell ref="Y13:AE13"/>
    <mergeCell ref="W15:W22"/>
    <mergeCell ref="W25:W32"/>
    <mergeCell ref="W35:W42"/>
    <mergeCell ref="Y23:AE23"/>
    <mergeCell ref="Y33:AE33"/>
  </mergeCells>
  <conditionalFormatting sqref="Y16:AE22">
    <cfRule type="containsText" dxfId="102" priority="11" operator="containsText" text="NEG IRR">
      <formula>NOT(ISERROR(SEARCH("NEG IRR",Y16)))</formula>
    </cfRule>
    <cfRule type="containsText" dxfId="101" priority="12" operator="containsText" text="ERROR">
      <formula>NOT(ISERROR(SEARCH("ERROR",Y16)))</formula>
    </cfRule>
    <cfRule type="cellIs" dxfId="100" priority="13" operator="between">
      <formula>$AG$16</formula>
      <formula>$AG$17</formula>
    </cfRule>
    <cfRule type="cellIs" dxfId="99" priority="14" operator="greaterThan">
      <formula>$AG$17</formula>
    </cfRule>
    <cfRule type="cellIs" dxfId="98" priority="15" operator="lessThan">
      <formula>$AG$16</formula>
    </cfRule>
  </conditionalFormatting>
  <conditionalFormatting sqref="Y26:AE32">
    <cfRule type="containsText" dxfId="97" priority="6" operator="containsText" text="NEG IRR">
      <formula>NOT(ISERROR(SEARCH("NEG IRR",Y26)))</formula>
    </cfRule>
    <cfRule type="containsText" dxfId="96" priority="7" operator="containsText" text="ERROR">
      <formula>NOT(ISERROR(SEARCH("ERROR",Y26)))</formula>
    </cfRule>
    <cfRule type="cellIs" dxfId="95" priority="8" operator="between">
      <formula>$AG$16</formula>
      <formula>$AG$17</formula>
    </cfRule>
    <cfRule type="cellIs" dxfId="94" priority="9" operator="greaterThan">
      <formula>$AG$17</formula>
    </cfRule>
    <cfRule type="cellIs" dxfId="93" priority="10" operator="lessThan">
      <formula>$AG$16</formula>
    </cfRule>
  </conditionalFormatting>
  <conditionalFormatting sqref="Y36:AE42">
    <cfRule type="containsText" dxfId="92" priority="1" operator="containsText" text="NEG IRR">
      <formula>NOT(ISERROR(SEARCH("NEG IRR",Y36)))</formula>
    </cfRule>
    <cfRule type="containsText" dxfId="91" priority="2" operator="containsText" text="ERROR">
      <formula>NOT(ISERROR(SEARCH("ERROR",Y36)))</formula>
    </cfRule>
    <cfRule type="cellIs" dxfId="90" priority="3" operator="between">
      <formula>$AG$16</formula>
      <formula>$AG$17</formula>
    </cfRule>
    <cfRule type="cellIs" dxfId="89" priority="4" operator="greaterThan">
      <formula>$AG$17</formula>
    </cfRule>
    <cfRule type="cellIs" dxfId="88" priority="5" operator="lessThan">
      <formula>$AG$16</formula>
    </cfRule>
  </conditionalFormatting>
  <dataValidations count="2">
    <dataValidation type="list" allowBlank="1" showInputMessage="1" showErrorMessage="1" sqref="M27:M34" xr:uid="{397F5534-A5E0-4AAA-BBF3-D0724D0400C5}">
      <formula1>$BV$55:$BV$56</formula1>
    </dataValidation>
    <dataValidation type="list" allowBlank="1" showInputMessage="1" showErrorMessage="1" sqref="D9" xr:uid="{CAA14E73-8C1C-4507-8D22-B6C2360AAB6F}">
      <formula1>$BV$47:$BV$52</formula1>
    </dataValidation>
  </dataValidations>
  <hyperlinks>
    <hyperlink ref="U3" r:id="rId1" xr:uid="{B620D604-1168-4646-9749-87B3CCCC234B}"/>
    <hyperlink ref="U4" r:id="rId2" xr:uid="{C3C5FE33-4467-4129-9190-7F79A9F613E5}"/>
    <hyperlink ref="U5" r:id="rId3" xr:uid="{0E1A32C4-69CD-4949-90F2-19CC9DDC6919}"/>
  </hyperlinks>
  <pageMargins left="0.7" right="0.7" top="0.75" bottom="0.75" header="0.3" footer="0.3"/>
  <pageSetup orientation="portrait" r:id="rId4"/>
  <drawing r:id="rId5"/>
  <legacyDrawing r:id="rId6"/>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B035EB-F477-43AB-ACBA-9CFBB9466E03}">
  <sheetPr>
    <tabColor theme="5" tint="-0.249977111117893"/>
  </sheetPr>
  <dimension ref="B2:BW56"/>
  <sheetViews>
    <sheetView showGridLines="0" zoomScale="80" zoomScaleNormal="80" workbookViewId="0"/>
  </sheetViews>
  <sheetFormatPr defaultRowHeight="14.4" x14ac:dyDescent="0.3"/>
  <cols>
    <col min="1" max="1" width="3.44140625" customWidth="1"/>
    <col min="2" max="2" width="41.6640625" customWidth="1"/>
    <col min="3" max="3" width="18.6640625" customWidth="1"/>
    <col min="5" max="5" width="20" customWidth="1"/>
    <col min="6" max="6" width="25.88671875" customWidth="1"/>
    <col min="7" max="7" width="17" customWidth="1"/>
    <col min="8" max="8" width="14.109375" customWidth="1"/>
    <col min="9" max="9" width="32.44140625" customWidth="1"/>
    <col min="10" max="10" width="11.6640625" customWidth="1"/>
    <col min="11" max="11" width="6.109375" customWidth="1"/>
    <col min="12" max="12" width="45.88671875" customWidth="1"/>
    <col min="13" max="13" width="21.6640625" customWidth="1"/>
    <col min="14" max="14" width="20" customWidth="1"/>
    <col min="15" max="15" width="18.6640625" customWidth="1"/>
    <col min="17" max="17" width="14" customWidth="1"/>
    <col min="23" max="23" width="11.109375" customWidth="1"/>
    <col min="24" max="24" width="12" customWidth="1"/>
    <col min="25" max="26" width="15" bestFit="1" customWidth="1"/>
    <col min="27" max="27" width="18.6640625" customWidth="1"/>
    <col min="28" max="28" width="17.33203125" customWidth="1"/>
    <col min="29" max="32" width="15" bestFit="1" customWidth="1"/>
  </cols>
  <sheetData>
    <row r="2" spans="2:29" x14ac:dyDescent="0.3">
      <c r="L2" s="528"/>
      <c r="M2" s="793" t="s">
        <v>790</v>
      </c>
      <c r="N2" s="794"/>
      <c r="O2" s="795"/>
    </row>
    <row r="3" spans="2:29" x14ac:dyDescent="0.3">
      <c r="L3" s="528"/>
      <c r="M3" s="529" t="s">
        <v>767</v>
      </c>
      <c r="N3" s="529" t="s">
        <v>768</v>
      </c>
      <c r="O3" s="529" t="s">
        <v>769</v>
      </c>
      <c r="Y3" s="617" t="s">
        <v>788</v>
      </c>
      <c r="Z3" s="1" t="s">
        <v>789</v>
      </c>
      <c r="AA3" s="1" t="s">
        <v>846</v>
      </c>
      <c r="AB3" s="1" t="s">
        <v>852</v>
      </c>
    </row>
    <row r="4" spans="2:29" x14ac:dyDescent="0.3">
      <c r="L4" s="530" t="s">
        <v>791</v>
      </c>
      <c r="M4" s="534">
        <v>1722.8979591836733</v>
      </c>
      <c r="N4" s="534">
        <v>1722.8979591836733</v>
      </c>
      <c r="O4" s="534">
        <v>1722.8979591836733</v>
      </c>
      <c r="W4" s="796" t="s">
        <v>13</v>
      </c>
      <c r="X4" s="797"/>
      <c r="Y4" s="627">
        <f>Tea_Retro_CashFlows!AP4</f>
        <v>4.8384766942850943</v>
      </c>
      <c r="Z4" s="635">
        <f>Tea_Retro_CashFlows!AU4</f>
        <v>1</v>
      </c>
      <c r="AA4" s="628">
        <f>N28</f>
        <v>272662.15528481675</v>
      </c>
      <c r="AB4" s="636">
        <f>N29</f>
        <v>0.33006372955216634</v>
      </c>
      <c r="AC4" s="495">
        <v>0.1</v>
      </c>
    </row>
    <row r="5" spans="2:29" x14ac:dyDescent="0.3">
      <c r="L5" s="533" t="s">
        <v>599</v>
      </c>
      <c r="M5" s="536">
        <v>600</v>
      </c>
      <c r="N5" s="536">
        <v>600</v>
      </c>
      <c r="O5" s="536">
        <v>600</v>
      </c>
      <c r="P5" s="107"/>
      <c r="W5" s="567">
        <f>SUM($C$13:$C$28)*(1+$X5)</f>
        <v>118500</v>
      </c>
      <c r="X5" s="570">
        <v>0</v>
      </c>
      <c r="Y5" s="622">
        <f t="dataTable" ref="Y5:AB15" dt2D="0" dtr="0" r1="R11"/>
        <v>4.8384766942850943</v>
      </c>
      <c r="Z5" s="624">
        <v>1</v>
      </c>
      <c r="AA5" s="632">
        <v>272662.15528481675</v>
      </c>
      <c r="AB5" s="453">
        <v>0.33006372955216634</v>
      </c>
      <c r="AC5" s="496">
        <v>0.14990000000000001</v>
      </c>
    </row>
    <row r="6" spans="2:29" x14ac:dyDescent="0.3">
      <c r="B6" s="19" t="s">
        <v>20</v>
      </c>
      <c r="C6" s="20"/>
      <c r="D6" s="21"/>
      <c r="F6" s="590" t="s">
        <v>19</v>
      </c>
      <c r="G6" s="317">
        <v>44197</v>
      </c>
      <c r="I6" s="16" t="s">
        <v>165</v>
      </c>
      <c r="J6" s="26"/>
      <c r="L6" s="533" t="s">
        <v>792</v>
      </c>
      <c r="M6" s="538">
        <f>M4*M5</f>
        <v>1033738.7755102039</v>
      </c>
      <c r="N6" s="539">
        <f>N4*N5</f>
        <v>1033738.7755102039</v>
      </c>
      <c r="O6" s="539">
        <f>O4*O5</f>
        <v>1033738.7755102039</v>
      </c>
      <c r="P6" s="107"/>
      <c r="Q6" s="1" t="s">
        <v>0</v>
      </c>
      <c r="W6" s="568">
        <f t="shared" ref="W6:W15" si="0">SUM($C$13:$C$28)*(1+$X6)</f>
        <v>355500</v>
      </c>
      <c r="X6" s="571">
        <f>X5+200%</f>
        <v>2</v>
      </c>
      <c r="Y6" s="622">
        <v>1.1755905006159444</v>
      </c>
      <c r="Z6" s="625">
        <v>1</v>
      </c>
      <c r="AA6" s="633">
        <v>239482.15528481675</v>
      </c>
      <c r="AB6" s="630">
        <v>0.28989858622634918</v>
      </c>
    </row>
    <row r="7" spans="2:29" x14ac:dyDescent="0.3">
      <c r="B7" s="49" t="s">
        <v>21</v>
      </c>
      <c r="C7" s="22" t="s">
        <v>22</v>
      </c>
      <c r="D7" s="23"/>
      <c r="I7" s="16" t="s">
        <v>166</v>
      </c>
      <c r="J7" s="315">
        <f>IF(D9="Djibouti",'Data Sources'!C54,IF(D9="Ethiopia",'Data Sources'!D54,IF(D9="Kenya",'Data Sources'!E54,IF(D9="Rwanda",'Data Sources'!F54,IF(D9="Tanzania",'Data Sources'!G54,IF(D9="Uganda",'Data Sources'!H54,0))))))</f>
        <v>0.3</v>
      </c>
      <c r="K7" s="107"/>
      <c r="L7" s="533" t="s">
        <v>793</v>
      </c>
      <c r="M7" s="541">
        <f>G31</f>
        <v>2067477.5510204078</v>
      </c>
      <c r="N7" s="541">
        <f>G31</f>
        <v>2067477.5510204078</v>
      </c>
      <c r="O7" s="541">
        <f>G31</f>
        <v>2067477.5510204078</v>
      </c>
      <c r="P7" s="107"/>
      <c r="Q7" s="2" t="s">
        <v>1</v>
      </c>
      <c r="S7" s="354"/>
      <c r="W7" s="568">
        <f t="shared" si="0"/>
        <v>592500</v>
      </c>
      <c r="X7" s="571">
        <f t="shared" ref="X7:X14" si="1">X6+200%</f>
        <v>4</v>
      </c>
      <c r="Y7" s="622">
        <v>0.52469778006934908</v>
      </c>
      <c r="Z7" s="625">
        <v>2</v>
      </c>
      <c r="AA7" s="633">
        <v>206302.15528481675</v>
      </c>
      <c r="AB7" s="630">
        <v>0.24973344290053201</v>
      </c>
      <c r="AC7" s="573">
        <v>10</v>
      </c>
    </row>
    <row r="8" spans="2:29" x14ac:dyDescent="0.3">
      <c r="B8" s="509" t="s">
        <v>23</v>
      </c>
      <c r="C8" s="15" t="s">
        <v>662</v>
      </c>
      <c r="D8" s="24"/>
      <c r="F8" s="19" t="s">
        <v>168</v>
      </c>
      <c r="G8" s="26"/>
      <c r="K8" s="107"/>
      <c r="L8" s="533" t="s">
        <v>597</v>
      </c>
      <c r="M8" s="542">
        <f>ROUNDUP(M7/M6,0)</f>
        <v>2</v>
      </c>
      <c r="N8" s="543">
        <f>ROUNDUP(N7/N6,0)</f>
        <v>2</v>
      </c>
      <c r="O8" s="543">
        <f>ROUNDUP(O7/O6,0)</f>
        <v>2</v>
      </c>
      <c r="P8" s="107"/>
      <c r="Q8" s="3" t="s">
        <v>2</v>
      </c>
      <c r="S8" s="354"/>
      <c r="W8" s="568">
        <f t="shared" si="0"/>
        <v>829500</v>
      </c>
      <c r="X8" s="571">
        <f t="shared" si="1"/>
        <v>6</v>
      </c>
      <c r="Y8" s="622">
        <v>0.28596665384159659</v>
      </c>
      <c r="Z8" s="625">
        <v>4</v>
      </c>
      <c r="AA8" s="633">
        <v>173122.15528481675</v>
      </c>
      <c r="AB8" s="630">
        <v>0.20956829957471484</v>
      </c>
      <c r="AC8" s="573">
        <v>15</v>
      </c>
    </row>
    <row r="9" spans="2:29" x14ac:dyDescent="0.3">
      <c r="B9" s="509" t="s">
        <v>24</v>
      </c>
      <c r="C9" s="22" t="s">
        <v>396</v>
      </c>
      <c r="D9" s="25" t="s">
        <v>45</v>
      </c>
      <c r="F9" s="500" t="s">
        <v>169</v>
      </c>
      <c r="G9" s="303" t="str">
        <f>VLOOKUP(D9,Currency!B8:F13,2,0)</f>
        <v>T Shilling</v>
      </c>
      <c r="I9" s="56" t="s">
        <v>70</v>
      </c>
      <c r="J9" s="21"/>
      <c r="L9" s="533" t="s">
        <v>856</v>
      </c>
      <c r="M9" s="585">
        <v>20000</v>
      </c>
      <c r="N9" s="585">
        <v>30000</v>
      </c>
      <c r="O9" s="532">
        <f>C29</f>
        <v>118500</v>
      </c>
      <c r="P9" s="107"/>
      <c r="Q9" s="4" t="s">
        <v>3</v>
      </c>
      <c r="S9" s="354"/>
      <c r="W9" s="568">
        <f t="shared" si="0"/>
        <v>1066500</v>
      </c>
      <c r="X9" s="571">
        <f t="shared" si="1"/>
        <v>8</v>
      </c>
      <c r="Y9" s="622">
        <v>0.16734498177167412</v>
      </c>
      <c r="Z9" s="625">
        <v>8</v>
      </c>
      <c r="AA9" s="633">
        <v>139942.15528481675</v>
      </c>
      <c r="AB9" s="630">
        <v>0.16940315624889771</v>
      </c>
    </row>
    <row r="10" spans="2:29" x14ac:dyDescent="0.3">
      <c r="F10" s="509" t="s">
        <v>170</v>
      </c>
      <c r="G10" s="304" t="str">
        <f>VLOOKUP(D9,Currency!B8:F13,3,0)</f>
        <v>TZS</v>
      </c>
      <c r="I10" s="16" t="s">
        <v>192</v>
      </c>
      <c r="J10" s="55">
        <v>25</v>
      </c>
      <c r="L10" s="544" t="s">
        <v>814</v>
      </c>
      <c r="M10" s="604">
        <v>20</v>
      </c>
      <c r="N10" s="604">
        <v>20</v>
      </c>
      <c r="O10" s="605">
        <v>25</v>
      </c>
      <c r="P10" s="107"/>
      <c r="W10" s="568">
        <f t="shared" si="0"/>
        <v>1303500</v>
      </c>
      <c r="X10" s="571">
        <f t="shared" si="1"/>
        <v>10</v>
      </c>
      <c r="Y10" s="622">
        <v>9.3823858806689975E-2</v>
      </c>
      <c r="Z10" s="625">
        <v>13</v>
      </c>
      <c r="AA10" s="633">
        <v>106762.15528481675</v>
      </c>
      <c r="AB10" s="630">
        <v>0.12923801292308054</v>
      </c>
    </row>
    <row r="11" spans="2:29" x14ac:dyDescent="0.3">
      <c r="B11" s="561" t="s">
        <v>12</v>
      </c>
      <c r="C11" s="562"/>
      <c r="F11" s="49" t="str">
        <f>"Exchng Rate " &amp; "(" &amp; G10 &amp; "/USD" &amp;")"</f>
        <v>Exchng Rate (TZS/USD)</v>
      </c>
      <c r="G11" s="304">
        <f>VLOOKUP(D9,Currency!B8:F13,4,0)</f>
        <v>2309.06</v>
      </c>
      <c r="I11" s="508" t="s">
        <v>72</v>
      </c>
      <c r="J11" s="54">
        <f>C29</f>
        <v>118500</v>
      </c>
      <c r="L11" s="545" t="s">
        <v>815</v>
      </c>
      <c r="M11" s="606">
        <f>(M9*M8)/M10</f>
        <v>2000</v>
      </c>
      <c r="N11" s="606">
        <f>(N9*N8)/N10</f>
        <v>3000</v>
      </c>
      <c r="O11" s="606">
        <f>O9/O10</f>
        <v>4740</v>
      </c>
      <c r="P11" s="107"/>
      <c r="Q11" s="9" t="s">
        <v>13</v>
      </c>
      <c r="R11" s="489">
        <v>0</v>
      </c>
      <c r="W11" s="568">
        <f t="shared" si="0"/>
        <v>1540500</v>
      </c>
      <c r="X11" s="571">
        <f t="shared" si="1"/>
        <v>12</v>
      </c>
      <c r="Y11" s="622">
        <v>3.5664361843862791E-2</v>
      </c>
      <c r="Z11" s="625">
        <v>18</v>
      </c>
      <c r="AA11" s="633">
        <v>73582.155284816748</v>
      </c>
      <c r="AB11" s="630">
        <v>8.907286959726339E-2</v>
      </c>
    </row>
    <row r="12" spans="2:29" x14ac:dyDescent="0.3">
      <c r="B12" s="1" t="s">
        <v>13</v>
      </c>
      <c r="C12" s="562" t="s">
        <v>14</v>
      </c>
      <c r="I12" s="508" t="s">
        <v>73</v>
      </c>
      <c r="J12" s="55">
        <v>0</v>
      </c>
      <c r="L12" s="530" t="s">
        <v>794</v>
      </c>
      <c r="M12" s="586">
        <v>5.5</v>
      </c>
      <c r="N12" s="547">
        <v>5.5</v>
      </c>
      <c r="O12" s="541">
        <v>0</v>
      </c>
      <c r="P12" s="107"/>
      <c r="W12" s="568">
        <f t="shared" si="0"/>
        <v>1777500</v>
      </c>
      <c r="X12" s="571">
        <f t="shared" si="1"/>
        <v>14</v>
      </c>
      <c r="Y12" s="622">
        <v>-2.9712721512803686E-2</v>
      </c>
      <c r="Z12" s="625" t="str">
        <v>NONE</v>
      </c>
      <c r="AA12" s="633">
        <v>40402.155284816748</v>
      </c>
      <c r="AB12" s="630">
        <v>4.8907726271446225E-2</v>
      </c>
    </row>
    <row r="13" spans="2:29" x14ac:dyDescent="0.3">
      <c r="B13" s="331" t="s">
        <v>83</v>
      </c>
      <c r="C13" s="312">
        <f>20000*G43</f>
        <v>40000</v>
      </c>
      <c r="D13" s="107"/>
      <c r="E13" s="53" t="s">
        <v>157</v>
      </c>
      <c r="F13" s="562" t="s">
        <v>158</v>
      </c>
      <c r="G13" s="285" t="s">
        <v>74</v>
      </c>
      <c r="L13" s="544" t="s">
        <v>795</v>
      </c>
      <c r="M13" s="548">
        <v>0.08</v>
      </c>
      <c r="N13" s="549">
        <v>1.7999999999999999E-2</v>
      </c>
      <c r="O13" s="549">
        <v>0</v>
      </c>
      <c r="P13" s="107"/>
      <c r="W13" s="568">
        <f t="shared" si="0"/>
        <v>2014500</v>
      </c>
      <c r="X13" s="571">
        <f t="shared" si="1"/>
        <v>16</v>
      </c>
      <c r="Y13" s="622">
        <v>-0.14890006251949206</v>
      </c>
      <c r="Z13" s="625" t="str">
        <v>NONE</v>
      </c>
      <c r="AA13" s="633">
        <v>7222.1552848167485</v>
      </c>
      <c r="AB13" s="630">
        <v>8.7425829456290703E-3</v>
      </c>
    </row>
    <row r="14" spans="2:29" x14ac:dyDescent="0.3">
      <c r="B14" s="310" t="s">
        <v>84</v>
      </c>
      <c r="C14" s="307">
        <v>3500</v>
      </c>
      <c r="D14" s="107"/>
      <c r="E14" s="500" t="s">
        <v>159</v>
      </c>
      <c r="F14" s="48">
        <v>0.7</v>
      </c>
      <c r="G14" s="286">
        <f>$C$29*F14</f>
        <v>82950</v>
      </c>
      <c r="K14" s="107"/>
      <c r="L14" s="545" t="s">
        <v>776</v>
      </c>
      <c r="M14" s="550">
        <f>M7*M12*M13</f>
        <v>909690.12244897953</v>
      </c>
      <c r="N14" s="550">
        <f>N7*N12*N13</f>
        <v>204680.27755102038</v>
      </c>
      <c r="O14" s="550">
        <f>O7*O12*O13</f>
        <v>0</v>
      </c>
      <c r="P14" s="107"/>
      <c r="W14" s="568">
        <f t="shared" si="0"/>
        <v>2251500</v>
      </c>
      <c r="X14" s="571">
        <f t="shared" si="1"/>
        <v>18</v>
      </c>
      <c r="Y14" s="622" t="str">
        <v>NEG IRR</v>
      </c>
      <c r="Z14" s="625" t="str">
        <v>NONE</v>
      </c>
      <c r="AA14" s="633">
        <v>-25957.844715183252</v>
      </c>
      <c r="AB14" s="630">
        <v>-3.1422560380188085E-2</v>
      </c>
    </row>
    <row r="15" spans="2:29" ht="15" customHeight="1" x14ac:dyDescent="0.3">
      <c r="B15" s="310" t="s">
        <v>85</v>
      </c>
      <c r="C15" s="307">
        <v>30000</v>
      </c>
      <c r="D15" s="107"/>
      <c r="E15" s="501" t="s">
        <v>160</v>
      </c>
      <c r="F15" s="48">
        <v>0.3</v>
      </c>
      <c r="G15" s="286">
        <f>$C$29*F15</f>
        <v>35550</v>
      </c>
      <c r="L15" s="530" t="s">
        <v>777</v>
      </c>
      <c r="M15" s="551">
        <v>1</v>
      </c>
      <c r="N15" s="552">
        <v>1</v>
      </c>
      <c r="O15" s="552">
        <v>1</v>
      </c>
      <c r="P15" s="107"/>
      <c r="W15" s="569">
        <f t="shared" si="0"/>
        <v>2488500</v>
      </c>
      <c r="X15" s="572">
        <f>X14+200%</f>
        <v>20</v>
      </c>
      <c r="Y15" s="623" t="str">
        <v>NEG IRR</v>
      </c>
      <c r="Z15" s="626" t="str">
        <v>NONE</v>
      </c>
      <c r="AA15" s="634">
        <v>-59137.844715183252</v>
      </c>
      <c r="AB15" s="631">
        <v>-7.1587703706005243E-2</v>
      </c>
    </row>
    <row r="16" spans="2:29" x14ac:dyDescent="0.3">
      <c r="B16" s="310" t="s">
        <v>87</v>
      </c>
      <c r="C16" s="307">
        <v>45000</v>
      </c>
      <c r="D16" s="107"/>
      <c r="E16" s="49" t="s">
        <v>161</v>
      </c>
      <c r="F16" s="48">
        <v>0</v>
      </c>
      <c r="G16" s="286">
        <f>$C$29*F16</f>
        <v>0</v>
      </c>
      <c r="L16" s="533" t="s">
        <v>778</v>
      </c>
      <c r="M16" s="548">
        <v>0.15</v>
      </c>
      <c r="N16" s="548">
        <v>0.15</v>
      </c>
      <c r="O16" s="548">
        <v>0.15</v>
      </c>
    </row>
    <row r="17" spans="2:23" x14ac:dyDescent="0.3">
      <c r="B17" s="310" t="s">
        <v>4</v>
      </c>
      <c r="C17" s="307">
        <v>0</v>
      </c>
      <c r="D17" s="107"/>
      <c r="E17" s="16" t="s">
        <v>162</v>
      </c>
      <c r="F17" s="400">
        <f>SUM(F14:F16)</f>
        <v>1</v>
      </c>
      <c r="G17" s="10">
        <f>SUM(G14:G16)</f>
        <v>118500</v>
      </c>
      <c r="L17" s="553" t="s">
        <v>779</v>
      </c>
      <c r="M17" s="554">
        <f>M7*M15*M16</f>
        <v>310121.63265306118</v>
      </c>
      <c r="N17" s="554">
        <f t="shared" ref="N17:O17" si="2">N7*N15*N16</f>
        <v>310121.63265306118</v>
      </c>
      <c r="O17" s="554">
        <f t="shared" si="2"/>
        <v>310121.63265306118</v>
      </c>
      <c r="W17" s="656" t="s">
        <v>847</v>
      </c>
    </row>
    <row r="18" spans="2:23" x14ac:dyDescent="0.3">
      <c r="B18" s="310" t="s">
        <v>5</v>
      </c>
      <c r="C18" s="307">
        <v>0</v>
      </c>
      <c r="D18" s="107"/>
      <c r="L18" s="530" t="s">
        <v>857</v>
      </c>
      <c r="M18" s="551">
        <v>30</v>
      </c>
      <c r="N18" s="552">
        <v>40</v>
      </c>
      <c r="O18" s="552">
        <v>30</v>
      </c>
    </row>
    <row r="19" spans="2:23" x14ac:dyDescent="0.3">
      <c r="B19" s="310" t="s">
        <v>6</v>
      </c>
      <c r="C19" s="307">
        <v>0</v>
      </c>
      <c r="D19" s="107"/>
      <c r="E19" s="53" t="s">
        <v>164</v>
      </c>
      <c r="F19" s="276"/>
      <c r="L19" s="533" t="s">
        <v>858</v>
      </c>
      <c r="M19" s="640">
        <f>M18*M8</f>
        <v>60</v>
      </c>
      <c r="N19" s="641">
        <f>N18*N8</f>
        <v>80</v>
      </c>
      <c r="O19" s="641">
        <f>O18*O8</f>
        <v>60</v>
      </c>
    </row>
    <row r="20" spans="2:23" x14ac:dyDescent="0.3">
      <c r="B20" s="310" t="s">
        <v>7</v>
      </c>
      <c r="C20" s="307">
        <v>0</v>
      </c>
      <c r="D20" s="107"/>
      <c r="E20" s="502" t="s">
        <v>182</v>
      </c>
      <c r="F20" s="275"/>
      <c r="G20" s="302">
        <f>IF(D9="Djibouti",Currency!Q8,IF(D9="Ethiopia",Currency!Q9,IF(D9="Kenya",Currency!Q10,IF(D9="Rwanda",Currency!Q11,IF(D9="Tanzania",Currency!Q12,IF(D9="Uganda",Currency!Q13,0))))))</f>
        <v>0.16900000000000001</v>
      </c>
      <c r="L20" s="533" t="s">
        <v>320</v>
      </c>
      <c r="M20" s="585">
        <v>0.62976564778163702</v>
      </c>
      <c r="N20" s="585">
        <v>0.62976564778163702</v>
      </c>
      <c r="O20" s="585">
        <v>0.62976564778163702</v>
      </c>
    </row>
    <row r="21" spans="2:23" x14ac:dyDescent="0.3">
      <c r="B21" s="310" t="s">
        <v>8</v>
      </c>
      <c r="C21" s="307">
        <v>0</v>
      </c>
      <c r="D21" s="107"/>
      <c r="E21" s="503" t="s">
        <v>68</v>
      </c>
      <c r="F21" s="498"/>
      <c r="G21" s="52">
        <v>10</v>
      </c>
      <c r="L21" s="544" t="s">
        <v>600</v>
      </c>
      <c r="M21" s="642">
        <v>300</v>
      </c>
      <c r="N21" s="642">
        <v>300</v>
      </c>
      <c r="O21" s="642">
        <v>300</v>
      </c>
    </row>
    <row r="22" spans="2:23" x14ac:dyDescent="0.3">
      <c r="B22" s="310" t="s">
        <v>9</v>
      </c>
      <c r="C22" s="307">
        <v>0</v>
      </c>
      <c r="D22" s="107"/>
      <c r="L22" s="643" t="s">
        <v>855</v>
      </c>
      <c r="M22" s="550">
        <f>M19*M20*M21*20</f>
        <v>226715.63320138931</v>
      </c>
      <c r="N22" s="550">
        <f>N19*N20*N21*20</f>
        <v>302287.51093518577</v>
      </c>
      <c r="O22" s="550">
        <f>O19*O20*O21*20</f>
        <v>226715.63320138931</v>
      </c>
    </row>
    <row r="23" spans="2:23" x14ac:dyDescent="0.3">
      <c r="B23" s="310" t="s">
        <v>10</v>
      </c>
      <c r="C23" s="307">
        <v>0</v>
      </c>
      <c r="D23" s="107"/>
      <c r="L23" s="555" t="s">
        <v>780</v>
      </c>
      <c r="M23" s="556">
        <v>0.1</v>
      </c>
      <c r="N23" s="556">
        <v>0.1</v>
      </c>
      <c r="O23" s="556">
        <v>0.1</v>
      </c>
    </row>
    <row r="24" spans="2:23" x14ac:dyDescent="0.3">
      <c r="B24" s="310" t="s">
        <v>11</v>
      </c>
      <c r="C24" s="307">
        <v>0</v>
      </c>
      <c r="D24" s="107"/>
      <c r="E24" s="277" t="s">
        <v>177</v>
      </c>
      <c r="F24" s="66"/>
      <c r="G24" s="311" t="s">
        <v>195</v>
      </c>
      <c r="H24" s="401" t="s">
        <v>17</v>
      </c>
      <c r="L24" s="557" t="s">
        <v>781</v>
      </c>
      <c r="M24" s="550">
        <f>M23*M9*M8</f>
        <v>4000</v>
      </c>
      <c r="N24" s="550">
        <f>N23*N9*N8</f>
        <v>6000</v>
      </c>
      <c r="O24" s="550">
        <f>O23*O9</f>
        <v>11850</v>
      </c>
    </row>
    <row r="25" spans="2:23" ht="15" customHeight="1" x14ac:dyDescent="0.3">
      <c r="B25" s="310" t="s">
        <v>26</v>
      </c>
      <c r="C25" s="307">
        <v>0</v>
      </c>
      <c r="D25" s="107"/>
      <c r="E25" s="65" t="s">
        <v>372</v>
      </c>
      <c r="F25" s="357"/>
      <c r="G25" s="574">
        <f>'Data Sources'!J18</f>
        <v>12000000</v>
      </c>
      <c r="H25" s="306" t="s">
        <v>196</v>
      </c>
      <c r="L25" s="557" t="s">
        <v>859</v>
      </c>
      <c r="M25" s="644">
        <v>0</v>
      </c>
      <c r="N25" s="644">
        <v>0</v>
      </c>
      <c r="O25" s="644">
        <v>0</v>
      </c>
    </row>
    <row r="26" spans="2:23" x14ac:dyDescent="0.3">
      <c r="B26" s="310" t="s">
        <v>665</v>
      </c>
      <c r="C26" s="307">
        <v>0</v>
      </c>
      <c r="D26" s="107"/>
      <c r="E26" s="61" t="s">
        <v>373</v>
      </c>
      <c r="F26" s="275"/>
      <c r="G26" s="575">
        <v>0.83</v>
      </c>
      <c r="H26" s="305" t="s">
        <v>155</v>
      </c>
      <c r="L26" s="557" t="s">
        <v>860</v>
      </c>
      <c r="M26" s="644">
        <v>0</v>
      </c>
      <c r="N26" s="644">
        <v>0</v>
      </c>
      <c r="O26" s="644">
        <v>0</v>
      </c>
    </row>
    <row r="27" spans="2:23" ht="15" thickBot="1" x14ac:dyDescent="0.35">
      <c r="B27" s="310" t="s">
        <v>666</v>
      </c>
      <c r="C27" s="307">
        <v>0</v>
      </c>
      <c r="D27" s="107"/>
      <c r="E27" s="61" t="s">
        <v>374</v>
      </c>
      <c r="F27" s="275"/>
      <c r="G27" s="575">
        <v>0.02</v>
      </c>
      <c r="H27" s="305" t="s">
        <v>155</v>
      </c>
      <c r="L27" s="558" t="s">
        <v>782</v>
      </c>
      <c r="M27" s="559">
        <f>M11+M14+M17+M22+M24+M25+M26</f>
        <v>1452527.3883034301</v>
      </c>
      <c r="N27" s="559">
        <f t="shared" ref="N27:O27" si="3">N11+N14+N17+N22+N24+N25+N26</f>
        <v>826089.42113926727</v>
      </c>
      <c r="O27" s="559">
        <f t="shared" si="3"/>
        <v>553427.26585445052</v>
      </c>
    </row>
    <row r="28" spans="2:23" ht="15" thickTop="1" x14ac:dyDescent="0.3">
      <c r="B28" s="323" t="s">
        <v>762</v>
      </c>
      <c r="C28" s="318">
        <v>0</v>
      </c>
      <c r="D28" s="107"/>
      <c r="E28" s="61" t="s">
        <v>198</v>
      </c>
      <c r="F28" s="275"/>
      <c r="G28" s="576">
        <f>G25*(G26-G27)*100/(100-100*G27)</f>
        <v>9918367.3469387759</v>
      </c>
      <c r="H28" s="305" t="s">
        <v>196</v>
      </c>
      <c r="L28" s="618" t="s">
        <v>845</v>
      </c>
      <c r="M28" s="645">
        <f>M27-O27</f>
        <v>899100.12244897953</v>
      </c>
      <c r="N28" s="645">
        <f>N27-O27</f>
        <v>272662.15528481675</v>
      </c>
      <c r="O28" s="646"/>
    </row>
    <row r="29" spans="2:23" x14ac:dyDescent="0.3">
      <c r="B29" s="9" t="s">
        <v>15</v>
      </c>
      <c r="C29" s="10">
        <f>SUM(C13:C28)*(1+$R$11)</f>
        <v>118500</v>
      </c>
      <c r="E29" s="61" t="s">
        <v>375</v>
      </c>
      <c r="F29" s="275"/>
      <c r="G29" s="577">
        <f>G25-G28</f>
        <v>2081632.6530612241</v>
      </c>
      <c r="H29" s="305" t="s">
        <v>196</v>
      </c>
      <c r="L29" s="619" t="s">
        <v>851</v>
      </c>
      <c r="M29" s="647">
        <f>M28/M27</f>
        <v>0.61899013381024059</v>
      </c>
      <c r="N29" s="647">
        <f>N28/N27</f>
        <v>0.33006372955216634</v>
      </c>
      <c r="O29" s="648"/>
    </row>
    <row r="30" spans="2:23" x14ac:dyDescent="0.3">
      <c r="E30" s="61" t="s">
        <v>629</v>
      </c>
      <c r="F30" s="275"/>
      <c r="G30" s="578">
        <v>6.7999999999999996E-3</v>
      </c>
      <c r="H30" s="305" t="s">
        <v>155</v>
      </c>
    </row>
    <row r="31" spans="2:23" x14ac:dyDescent="0.3">
      <c r="B31" s="356" t="s">
        <v>880</v>
      </c>
      <c r="E31" s="61" t="s">
        <v>630</v>
      </c>
      <c r="F31" s="275"/>
      <c r="G31" s="577">
        <f>(1-G30)*G29</f>
        <v>2067477.5510204078</v>
      </c>
      <c r="H31" s="305" t="s">
        <v>196</v>
      </c>
    </row>
    <row r="32" spans="2:23" x14ac:dyDescent="0.3">
      <c r="B32" s="766" t="s">
        <v>881</v>
      </c>
      <c r="C32" s="767">
        <v>6.0000000000000001E-3</v>
      </c>
      <c r="E32" s="61" t="s">
        <v>199</v>
      </c>
      <c r="F32" s="275"/>
      <c r="G32" s="579">
        <v>1</v>
      </c>
      <c r="H32" s="305" t="s">
        <v>200</v>
      </c>
    </row>
    <row r="33" spans="2:75" x14ac:dyDescent="0.3">
      <c r="B33" s="726" t="s">
        <v>882</v>
      </c>
      <c r="C33" s="407">
        <v>1000</v>
      </c>
      <c r="E33" s="61" t="s">
        <v>667</v>
      </c>
      <c r="F33" s="275"/>
      <c r="G33" s="579">
        <v>10</v>
      </c>
      <c r="H33" s="305" t="s">
        <v>547</v>
      </c>
    </row>
    <row r="34" spans="2:75" x14ac:dyDescent="0.3">
      <c r="B34" s="726" t="s">
        <v>883</v>
      </c>
      <c r="C34" s="767">
        <v>4.1870000000000003</v>
      </c>
      <c r="E34" s="61" t="s">
        <v>555</v>
      </c>
      <c r="F34" s="275"/>
      <c r="G34" s="580">
        <f>G40*G39*G33</f>
        <v>6000</v>
      </c>
      <c r="H34" s="305" t="s">
        <v>545</v>
      </c>
    </row>
    <row r="35" spans="2:75" ht="15" customHeight="1" x14ac:dyDescent="0.3">
      <c r="B35" s="726" t="s">
        <v>884</v>
      </c>
      <c r="C35" s="407">
        <v>160</v>
      </c>
      <c r="E35" s="61" t="s">
        <v>663</v>
      </c>
      <c r="F35" s="275"/>
      <c r="G35" s="581">
        <v>10000</v>
      </c>
      <c r="H35" s="305" t="s">
        <v>548</v>
      </c>
    </row>
    <row r="36" spans="2:75" x14ac:dyDescent="0.3">
      <c r="B36" s="726" t="s">
        <v>885</v>
      </c>
      <c r="C36" s="407">
        <v>100</v>
      </c>
      <c r="E36" s="61" t="s">
        <v>612</v>
      </c>
      <c r="F36" s="275"/>
      <c r="G36" s="582">
        <v>2</v>
      </c>
      <c r="H36" s="305" t="s">
        <v>787</v>
      </c>
    </row>
    <row r="37" spans="2:75" x14ac:dyDescent="0.3">
      <c r="B37" s="726" t="s">
        <v>886</v>
      </c>
      <c r="C37" s="768">
        <f>C35-C36</f>
        <v>60</v>
      </c>
      <c r="E37" s="61" t="s">
        <v>205</v>
      </c>
      <c r="F37" s="275"/>
      <c r="G37" s="582">
        <v>6</v>
      </c>
      <c r="H37" s="305" t="s">
        <v>783</v>
      </c>
    </row>
    <row r="38" spans="2:75" x14ac:dyDescent="0.3">
      <c r="B38" s="769" t="s">
        <v>887</v>
      </c>
      <c r="C38" s="403">
        <f>C32*C33*C34*C37</f>
        <v>1507.32</v>
      </c>
      <c r="E38" s="61" t="s">
        <v>204</v>
      </c>
      <c r="F38" s="275"/>
      <c r="G38" s="582">
        <v>50</v>
      </c>
      <c r="H38" s="305" t="s">
        <v>784</v>
      </c>
    </row>
    <row r="39" spans="2:75" x14ac:dyDescent="0.3">
      <c r="E39" s="61" t="s">
        <v>600</v>
      </c>
      <c r="F39" s="275"/>
      <c r="G39" s="583">
        <f>G37*G38</f>
        <v>300</v>
      </c>
      <c r="H39" s="305" t="s">
        <v>601</v>
      </c>
      <c r="I39" s="390"/>
    </row>
    <row r="40" spans="2:75" x14ac:dyDescent="0.3">
      <c r="E40" s="61" t="s">
        <v>602</v>
      </c>
      <c r="F40" s="275"/>
      <c r="G40" s="581">
        <v>2</v>
      </c>
      <c r="H40" s="305" t="s">
        <v>603</v>
      </c>
    </row>
    <row r="41" spans="2:75" x14ac:dyDescent="0.3">
      <c r="B41" s="356" t="s">
        <v>900</v>
      </c>
      <c r="E41" s="61" t="s">
        <v>599</v>
      </c>
      <c r="F41" s="275"/>
      <c r="G41" s="583">
        <f>G39*G40</f>
        <v>600</v>
      </c>
      <c r="H41" s="305" t="s">
        <v>546</v>
      </c>
    </row>
    <row r="42" spans="2:75" x14ac:dyDescent="0.3">
      <c r="B42" s="766" t="s">
        <v>889</v>
      </c>
      <c r="C42" s="407">
        <f>AVERAGE(18,25)</f>
        <v>21.5</v>
      </c>
      <c r="E42" s="61" t="s">
        <v>664</v>
      </c>
      <c r="F42" s="275"/>
      <c r="G42" s="576">
        <f>G41*G35</f>
        <v>6000000</v>
      </c>
      <c r="H42" s="305" t="s">
        <v>196</v>
      </c>
      <c r="I42" s="390"/>
    </row>
    <row r="43" spans="2:75" x14ac:dyDescent="0.3">
      <c r="B43" s="726" t="s">
        <v>890</v>
      </c>
      <c r="C43" s="407">
        <v>100</v>
      </c>
      <c r="D43" s="354"/>
      <c r="E43" s="60" t="s">
        <v>597</v>
      </c>
      <c r="F43" s="498"/>
      <c r="G43" s="584">
        <f>ROUNDUP(G25/G42,0)</f>
        <v>2</v>
      </c>
      <c r="H43" s="316" t="s">
        <v>598</v>
      </c>
    </row>
    <row r="44" spans="2:75" x14ac:dyDescent="0.3">
      <c r="B44" s="726" t="s">
        <v>891</v>
      </c>
      <c r="C44" s="770">
        <f>AVERAGE(C42:C43)</f>
        <v>60.75</v>
      </c>
    </row>
    <row r="45" spans="2:75" x14ac:dyDescent="0.3">
      <c r="B45" s="726" t="s">
        <v>892</v>
      </c>
      <c r="C45" s="771">
        <f>C34*(597-0.56*C44)</f>
        <v>2357.1972600000004</v>
      </c>
    </row>
    <row r="46" spans="2:75" x14ac:dyDescent="0.3">
      <c r="B46" s="726" t="s">
        <v>893</v>
      </c>
      <c r="C46" s="772">
        <f>G28*C45</f>
        <v>23379548333.877556</v>
      </c>
    </row>
    <row r="47" spans="2:75" x14ac:dyDescent="0.3">
      <c r="B47" s="726" t="s">
        <v>894</v>
      </c>
      <c r="C47" s="770">
        <f>C46/(G38*G37*G33*G36*3600)</f>
        <v>1082.3864969387757</v>
      </c>
      <c r="BW47" s="299" t="s">
        <v>31</v>
      </c>
    </row>
    <row r="48" spans="2:75" x14ac:dyDescent="0.3">
      <c r="B48" s="769" t="s">
        <v>895</v>
      </c>
      <c r="C48" s="408" t="str">
        <f>IF(C38-C47&gt;0,"YES","NO")</f>
        <v>YES</v>
      </c>
      <c r="BW48" s="27" t="s">
        <v>35</v>
      </c>
    </row>
    <row r="49" spans="75:75" x14ac:dyDescent="0.3">
      <c r="BW49" s="27" t="s">
        <v>39</v>
      </c>
    </row>
    <row r="50" spans="75:75" x14ac:dyDescent="0.3">
      <c r="BW50" s="27" t="s">
        <v>42</v>
      </c>
    </row>
    <row r="51" spans="75:75" x14ac:dyDescent="0.3">
      <c r="BW51" s="27" t="s">
        <v>45</v>
      </c>
    </row>
    <row r="52" spans="75:75" x14ac:dyDescent="0.3">
      <c r="BW52" s="30" t="s">
        <v>48</v>
      </c>
    </row>
    <row r="55" spans="75:75" x14ac:dyDescent="0.3">
      <c r="BW55" t="s">
        <v>81</v>
      </c>
    </row>
    <row r="56" spans="75:75" x14ac:dyDescent="0.3">
      <c r="BW56" t="s">
        <v>69</v>
      </c>
    </row>
  </sheetData>
  <mergeCells count="2">
    <mergeCell ref="M2:O2"/>
    <mergeCell ref="W4:X4"/>
  </mergeCells>
  <conditionalFormatting sqref="Z5:Z15">
    <cfRule type="cellIs" dxfId="87" priority="16" operator="between">
      <formula>$AC$7</formula>
      <formula>$AC$8</formula>
    </cfRule>
    <cfRule type="cellIs" dxfId="86" priority="17" operator="greaterThan">
      <formula>$AC$8</formula>
    </cfRule>
    <cfRule type="cellIs" dxfId="85" priority="18" operator="lessThan">
      <formula>$AC$7</formula>
    </cfRule>
  </conditionalFormatting>
  <conditionalFormatting sqref="Y5:Y15">
    <cfRule type="containsText" dxfId="84" priority="11" operator="containsText" text="NEG IRR">
      <formula>NOT(ISERROR(SEARCH("NEG IRR",Y5)))</formula>
    </cfRule>
    <cfRule type="containsText" dxfId="83" priority="12" operator="containsText" text="ERROR">
      <formula>NOT(ISERROR(SEARCH("ERROR",Y5)))</formula>
    </cfRule>
    <cfRule type="cellIs" dxfId="82" priority="13" operator="between">
      <formula>$AC$4</formula>
      <formula>$AC$5</formula>
    </cfRule>
    <cfRule type="cellIs" dxfId="81" priority="14" operator="greaterThan">
      <formula>$AC$5</formula>
    </cfRule>
    <cfRule type="cellIs" dxfId="80" priority="15" operator="lessThan">
      <formula>$AC$4</formula>
    </cfRule>
  </conditionalFormatting>
  <conditionalFormatting sqref="AA5:AA15">
    <cfRule type="cellIs" dxfId="79" priority="9" operator="lessThan">
      <formula>0</formula>
    </cfRule>
    <cfRule type="cellIs" dxfId="78" priority="10" operator="greaterThan">
      <formula>0</formula>
    </cfRule>
  </conditionalFormatting>
  <conditionalFormatting sqref="AB5:AB15">
    <cfRule type="cellIs" dxfId="77" priority="7" operator="lessThan">
      <formula>0</formula>
    </cfRule>
    <cfRule type="cellIs" dxfId="76" priority="8" operator="greaterThan">
      <formula>0</formula>
    </cfRule>
  </conditionalFormatting>
  <conditionalFormatting sqref="M28:N28">
    <cfRule type="cellIs" dxfId="75" priority="5" operator="lessThan">
      <formula>0</formula>
    </cfRule>
    <cfRule type="cellIs" dxfId="74" priority="6" operator="greaterThan">
      <formula>0</formula>
    </cfRule>
  </conditionalFormatting>
  <conditionalFormatting sqref="M29:N29">
    <cfRule type="cellIs" dxfId="73" priority="3" operator="lessThan">
      <formula>0</formula>
    </cfRule>
    <cfRule type="cellIs" dxfId="72" priority="4" operator="greaterThan">
      <formula>0</formula>
    </cfRule>
  </conditionalFormatting>
  <conditionalFormatting sqref="C48">
    <cfRule type="containsText" dxfId="71" priority="1" operator="containsText" text="NO">
      <formula>NOT(ISERROR(SEARCH("NO",C48)))</formula>
    </cfRule>
    <cfRule type="containsText" dxfId="70" priority="2" operator="containsText" text="YES">
      <formula>NOT(ISERROR(SEARCH("YES",C48)))</formula>
    </cfRule>
  </conditionalFormatting>
  <dataValidations count="1">
    <dataValidation type="list" allowBlank="1" showInputMessage="1" showErrorMessage="1" sqref="D9" xr:uid="{7075DF3C-762E-4ADC-9ECC-A70AB8654016}">
      <formula1>$BW$47:$BW$52</formula1>
    </dataValidation>
  </dataValidations>
  <pageMargins left="0.7" right="0.7" top="0.75" bottom="0.75" header="0.3" footer="0.3"/>
  <pageSetup orientation="portrait" r:id="rId1"/>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9ACEAA-597B-4B79-935B-E4FB030E46F9}">
  <sheetPr>
    <tabColor rgb="FFFFC000"/>
  </sheetPr>
  <dimension ref="B2:BW56"/>
  <sheetViews>
    <sheetView showGridLines="0" zoomScale="80" zoomScaleNormal="80" workbookViewId="0"/>
  </sheetViews>
  <sheetFormatPr defaultRowHeight="14.4" x14ac:dyDescent="0.3"/>
  <cols>
    <col min="1" max="1" width="3.44140625" customWidth="1"/>
    <col min="2" max="2" width="41.6640625" customWidth="1"/>
    <col min="3" max="3" width="18.6640625" customWidth="1"/>
    <col min="5" max="5" width="20" customWidth="1"/>
    <col min="6" max="6" width="25.88671875" customWidth="1"/>
    <col min="7" max="7" width="17" customWidth="1"/>
    <col min="8" max="8" width="14.109375" customWidth="1"/>
    <col min="9" max="9" width="32.44140625" customWidth="1"/>
    <col min="10" max="10" width="11.6640625" customWidth="1"/>
    <col min="11" max="11" width="6.109375" customWidth="1"/>
    <col min="12" max="12" width="45.88671875" customWidth="1"/>
    <col min="13" max="13" width="21.6640625" customWidth="1"/>
    <col min="14" max="14" width="20" customWidth="1"/>
    <col min="15" max="15" width="18.6640625" customWidth="1"/>
    <col min="17" max="17" width="14" customWidth="1"/>
    <col min="23" max="23" width="11.33203125" bestFit="1" customWidth="1"/>
    <col min="24" max="24" width="12" customWidth="1"/>
    <col min="25" max="25" width="14.88671875" customWidth="1"/>
    <col min="26" max="26" width="15.44140625" customWidth="1"/>
    <col min="27" max="27" width="18.6640625" customWidth="1"/>
    <col min="28" max="28" width="17.109375" customWidth="1"/>
    <col min="29" max="32" width="15" bestFit="1" customWidth="1"/>
  </cols>
  <sheetData>
    <row r="2" spans="2:29" x14ac:dyDescent="0.3">
      <c r="L2" s="528"/>
      <c r="M2" s="793" t="s">
        <v>766</v>
      </c>
      <c r="N2" s="794"/>
      <c r="O2" s="795"/>
      <c r="S2" s="369"/>
    </row>
    <row r="3" spans="2:29" x14ac:dyDescent="0.3">
      <c r="L3" s="528"/>
      <c r="M3" s="529" t="s">
        <v>767</v>
      </c>
      <c r="N3" s="529" t="s">
        <v>768</v>
      </c>
      <c r="O3" s="529" t="s">
        <v>769</v>
      </c>
      <c r="S3" s="368"/>
      <c r="Y3" s="617" t="s">
        <v>788</v>
      </c>
      <c r="Z3" s="1" t="s">
        <v>789</v>
      </c>
      <c r="AA3" s="1" t="s">
        <v>846</v>
      </c>
      <c r="AB3" s="1" t="s">
        <v>852</v>
      </c>
    </row>
    <row r="4" spans="2:29" x14ac:dyDescent="0.3">
      <c r="L4" s="530" t="s">
        <v>770</v>
      </c>
      <c r="M4" s="531">
        <f>5000*M11</f>
        <v>70000</v>
      </c>
      <c r="N4" s="532">
        <f>5750*N11</f>
        <v>63250</v>
      </c>
      <c r="O4" s="532">
        <f>C29</f>
        <v>488500</v>
      </c>
      <c r="P4" s="107"/>
      <c r="S4" s="368"/>
      <c r="W4" s="796" t="s">
        <v>13</v>
      </c>
      <c r="X4" s="797"/>
      <c r="Y4" s="627">
        <f>Tob_Retro_CashFlows!AP4</f>
        <v>0.59319828331326141</v>
      </c>
      <c r="Z4" s="635">
        <f>Tob_Retro_CashFlows!AU4</f>
        <v>2</v>
      </c>
      <c r="AA4" s="628">
        <f>M22</f>
        <v>191453.09590392769</v>
      </c>
      <c r="AB4" s="636">
        <f>M23</f>
        <v>0.65425747172302717</v>
      </c>
      <c r="AC4" s="495">
        <v>0.1</v>
      </c>
    </row>
    <row r="5" spans="2:29" x14ac:dyDescent="0.3">
      <c r="L5" s="57" t="s">
        <v>814</v>
      </c>
      <c r="M5" s="609">
        <v>20</v>
      </c>
      <c r="N5" s="358">
        <v>20</v>
      </c>
      <c r="O5" s="358">
        <v>25</v>
      </c>
      <c r="P5" s="107"/>
      <c r="S5" s="368"/>
      <c r="W5" s="567">
        <f t="shared" ref="W5:W15" si="0">SUM($C$13:$C$28)*(1+$X5)</f>
        <v>293100</v>
      </c>
      <c r="X5" s="570">
        <v>-0.4</v>
      </c>
      <c r="Y5" s="622">
        <f t="dataTable" ref="Y5:AB15" dt2D="0" dtr="0" r1="R11"/>
        <v>1.4233792136049961</v>
      </c>
      <c r="Z5" s="624">
        <v>1</v>
      </c>
      <c r="AA5" s="632">
        <v>218809.09590392769</v>
      </c>
      <c r="AB5" s="453">
        <v>0.7477418173897924</v>
      </c>
      <c r="AC5" s="496">
        <v>0.14990000000000001</v>
      </c>
    </row>
    <row r="6" spans="2:29" x14ac:dyDescent="0.3">
      <c r="B6" s="19" t="s">
        <v>20</v>
      </c>
      <c r="C6" s="20"/>
      <c r="D6" s="21"/>
      <c r="F6" s="590" t="s">
        <v>19</v>
      </c>
      <c r="G6" s="317">
        <v>44197</v>
      </c>
      <c r="I6" s="16" t="s">
        <v>165</v>
      </c>
      <c r="J6" s="26"/>
      <c r="L6" s="533" t="s">
        <v>796</v>
      </c>
      <c r="M6" s="560">
        <v>0.8</v>
      </c>
      <c r="N6" s="556">
        <v>0.2</v>
      </c>
      <c r="O6" s="556">
        <v>1</v>
      </c>
      <c r="P6" s="107"/>
      <c r="Q6" s="1" t="s">
        <v>0</v>
      </c>
      <c r="S6" s="371"/>
      <c r="W6" s="568">
        <f t="shared" si="0"/>
        <v>488500</v>
      </c>
      <c r="X6" s="571">
        <f>X5+40%</f>
        <v>0</v>
      </c>
      <c r="Y6" s="622">
        <v>0.59319828331326141</v>
      </c>
      <c r="Z6" s="625">
        <v>2</v>
      </c>
      <c r="AA6" s="633">
        <v>191453.09590392769</v>
      </c>
      <c r="AB6" s="630">
        <v>0.65425747172302717</v>
      </c>
    </row>
    <row r="7" spans="2:29" x14ac:dyDescent="0.3">
      <c r="B7" s="49" t="s">
        <v>21</v>
      </c>
      <c r="C7" s="22" t="s">
        <v>22</v>
      </c>
      <c r="D7" s="23"/>
      <c r="I7" s="16" t="s">
        <v>166</v>
      </c>
      <c r="J7" s="315">
        <f>IF(D9="Djibouti",'Data Sources'!C54,IF(D9="Ethiopia",'Data Sources'!D54,IF(D9="Kenya",'Data Sources'!E54,IF(D9="Rwanda",'Data Sources'!F54,IF(D9="Tanzania",'Data Sources'!G54,IF(D9="Uganda",'Data Sources'!H54,0))))))</f>
        <v>0.3</v>
      </c>
      <c r="L7" s="533" t="s">
        <v>771</v>
      </c>
      <c r="M7" s="534">
        <v>1200</v>
      </c>
      <c r="N7" s="534">
        <v>400</v>
      </c>
      <c r="O7" s="535">
        <v>1200</v>
      </c>
      <c r="P7" s="107"/>
      <c r="Q7" s="2" t="s">
        <v>1</v>
      </c>
      <c r="S7" s="370"/>
      <c r="W7" s="568">
        <f t="shared" si="0"/>
        <v>683900</v>
      </c>
      <c r="X7" s="571">
        <f t="shared" ref="X7:X15" si="1">X6+40%</f>
        <v>0.4</v>
      </c>
      <c r="Y7" s="622">
        <v>0.26098496666169524</v>
      </c>
      <c r="Z7" s="625">
        <v>5</v>
      </c>
      <c r="AA7" s="633">
        <v>164097.09590392769</v>
      </c>
      <c r="AB7" s="630">
        <v>0.56077312605626195</v>
      </c>
      <c r="AC7" s="573">
        <v>10</v>
      </c>
    </row>
    <row r="8" spans="2:29" x14ac:dyDescent="0.3">
      <c r="B8" s="509" t="s">
        <v>23</v>
      </c>
      <c r="C8" s="15" t="s">
        <v>657</v>
      </c>
      <c r="D8" s="24"/>
      <c r="F8" s="19" t="s">
        <v>168</v>
      </c>
      <c r="G8" s="26"/>
      <c r="L8" s="533" t="s">
        <v>671</v>
      </c>
      <c r="M8" s="536">
        <v>36.4</v>
      </c>
      <c r="N8" s="537">
        <v>36.4</v>
      </c>
      <c r="O8" s="537">
        <v>36.4</v>
      </c>
      <c r="P8" s="107"/>
      <c r="Q8" s="3" t="s">
        <v>2</v>
      </c>
      <c r="S8" s="354"/>
      <c r="W8" s="568">
        <f t="shared" si="0"/>
        <v>879300</v>
      </c>
      <c r="X8" s="571">
        <f t="shared" si="1"/>
        <v>0.8</v>
      </c>
      <c r="Y8" s="622">
        <v>0.12052601384231854</v>
      </c>
      <c r="Z8" s="625">
        <v>13</v>
      </c>
      <c r="AA8" s="633">
        <v>136741.09590392769</v>
      </c>
      <c r="AB8" s="630">
        <v>0.46728878038949673</v>
      </c>
      <c r="AC8" s="573">
        <v>15</v>
      </c>
    </row>
    <row r="9" spans="2:29" x14ac:dyDescent="0.3">
      <c r="B9" s="509" t="s">
        <v>24</v>
      </c>
      <c r="C9" s="22" t="s">
        <v>391</v>
      </c>
      <c r="D9" s="25" t="s">
        <v>35</v>
      </c>
      <c r="F9" s="500" t="s">
        <v>169</v>
      </c>
      <c r="G9" s="303" t="str">
        <f>VLOOKUP(D9,Currency!B8:F13,2,0)</f>
        <v>Birr</v>
      </c>
      <c r="I9" s="56" t="s">
        <v>70</v>
      </c>
      <c r="J9" s="21"/>
      <c r="L9" s="533" t="s">
        <v>772</v>
      </c>
      <c r="M9" s="538">
        <f>M7*M8</f>
        <v>43680</v>
      </c>
      <c r="N9" s="539">
        <f>N7*N8</f>
        <v>14560</v>
      </c>
      <c r="O9" s="539">
        <f>O7*O8</f>
        <v>43680</v>
      </c>
      <c r="P9" s="107"/>
      <c r="Q9" s="4" t="s">
        <v>3</v>
      </c>
      <c r="S9" s="354"/>
      <c r="W9" s="568">
        <f t="shared" si="0"/>
        <v>1074700</v>
      </c>
      <c r="X9" s="571">
        <f t="shared" si="1"/>
        <v>1.2000000000000002</v>
      </c>
      <c r="Y9" s="622">
        <v>4.24806169121974E-2</v>
      </c>
      <c r="Z9" s="625">
        <v>19</v>
      </c>
      <c r="AA9" s="633">
        <v>109385.09590392769</v>
      </c>
      <c r="AB9" s="630">
        <v>0.3738044347227315</v>
      </c>
    </row>
    <row r="10" spans="2:29" x14ac:dyDescent="0.3">
      <c r="F10" s="509" t="s">
        <v>170</v>
      </c>
      <c r="G10" s="304" t="str">
        <f>VLOOKUP(D9,Currency!B8:F13,3,0)</f>
        <v>ETB</v>
      </c>
      <c r="I10" s="16" t="s">
        <v>192</v>
      </c>
      <c r="J10" s="55">
        <v>25</v>
      </c>
      <c r="L10" s="533" t="s">
        <v>773</v>
      </c>
      <c r="M10" s="540">
        <f>G31*M6</f>
        <v>599468.57142857171</v>
      </c>
      <c r="N10" s="541">
        <f>G31*N6</f>
        <v>149867.14285714293</v>
      </c>
      <c r="O10" s="541">
        <f>G31*O6</f>
        <v>749335.71428571455</v>
      </c>
      <c r="P10" s="107"/>
      <c r="W10" s="568">
        <f t="shared" si="0"/>
        <v>1270100</v>
      </c>
      <c r="X10" s="571">
        <f t="shared" si="1"/>
        <v>1.6</v>
      </c>
      <c r="Y10" s="622">
        <v>-1.2459585762184644E-2</v>
      </c>
      <c r="Z10" s="625" t="str">
        <v>NONE</v>
      </c>
      <c r="AA10" s="633">
        <v>82029.095903927693</v>
      </c>
      <c r="AB10" s="630">
        <v>0.28032008905596623</v>
      </c>
    </row>
    <row r="11" spans="2:29" x14ac:dyDescent="0.3">
      <c r="B11" s="526" t="s">
        <v>12</v>
      </c>
      <c r="C11" s="527"/>
      <c r="F11" s="49" t="str">
        <f>"Exchng Rate " &amp; "(" &amp; G10 &amp; "/USD" &amp;")"</f>
        <v>Exchng Rate (ETB/USD)</v>
      </c>
      <c r="G11" s="304">
        <f>VLOOKUP(D9,Currency!B8:F13,4,0)</f>
        <v>37.1</v>
      </c>
      <c r="I11" s="508" t="s">
        <v>72</v>
      </c>
      <c r="J11" s="54">
        <f>C29</f>
        <v>488500</v>
      </c>
      <c r="L11" s="544" t="s">
        <v>673</v>
      </c>
      <c r="M11" s="542">
        <f>ROUNDUP(M10/M9,0)</f>
        <v>14</v>
      </c>
      <c r="N11" s="543">
        <f>ROUNDUP(N10/N9,0)</f>
        <v>11</v>
      </c>
      <c r="O11" s="543">
        <f>ROUNDUP(O10/O9,0)</f>
        <v>18</v>
      </c>
      <c r="P11" s="107"/>
      <c r="Q11" s="9" t="s">
        <v>13</v>
      </c>
      <c r="R11" s="489">
        <v>0</v>
      </c>
      <c r="W11" s="568">
        <f t="shared" si="0"/>
        <v>1465500</v>
      </c>
      <c r="X11" s="571">
        <f t="shared" si="1"/>
        <v>2</v>
      </c>
      <c r="Y11" s="622">
        <v>-5.8281659782591921E-2</v>
      </c>
      <c r="Z11" s="625" t="str">
        <v>NONE</v>
      </c>
      <c r="AA11" s="633">
        <v>54673.095903927693</v>
      </c>
      <c r="AB11" s="630">
        <v>0.186835743389201</v>
      </c>
    </row>
    <row r="12" spans="2:29" x14ac:dyDescent="0.3">
      <c r="B12" s="1" t="s">
        <v>13</v>
      </c>
      <c r="C12" s="527" t="s">
        <v>14</v>
      </c>
      <c r="I12" s="508" t="s">
        <v>73</v>
      </c>
      <c r="J12" s="55">
        <v>0</v>
      </c>
      <c r="L12" s="638" t="s">
        <v>815</v>
      </c>
      <c r="M12" s="639">
        <f>M4/M5</f>
        <v>3500</v>
      </c>
      <c r="N12" s="639">
        <f t="shared" ref="N12:O12" si="2">N4/N5</f>
        <v>3162.5</v>
      </c>
      <c r="O12" s="639">
        <f t="shared" si="2"/>
        <v>19540</v>
      </c>
      <c r="P12" s="107"/>
      <c r="W12" s="568">
        <f t="shared" si="0"/>
        <v>1660900</v>
      </c>
      <c r="X12" s="571">
        <f t="shared" si="1"/>
        <v>2.4</v>
      </c>
      <c r="Y12" s="622">
        <v>-0.12090337309570842</v>
      </c>
      <c r="Z12" s="625" t="str">
        <v>NONE</v>
      </c>
      <c r="AA12" s="633">
        <v>27317.095903927693</v>
      </c>
      <c r="AB12" s="630">
        <v>9.335139772243578E-2</v>
      </c>
    </row>
    <row r="13" spans="2:29" x14ac:dyDescent="0.3">
      <c r="B13" s="331" t="s">
        <v>83</v>
      </c>
      <c r="C13" s="312">
        <f>20000*G43</f>
        <v>360000</v>
      </c>
      <c r="D13" s="107"/>
      <c r="E13" s="53" t="s">
        <v>157</v>
      </c>
      <c r="F13" s="527" t="s">
        <v>158</v>
      </c>
      <c r="G13" s="285" t="s">
        <v>74</v>
      </c>
      <c r="L13" s="530" t="s">
        <v>774</v>
      </c>
      <c r="M13" s="546">
        <v>0.5</v>
      </c>
      <c r="N13" s="547">
        <v>0.01</v>
      </c>
      <c r="O13" s="541">
        <v>0</v>
      </c>
      <c r="P13" s="107"/>
      <c r="W13" s="568">
        <f t="shared" si="0"/>
        <v>1856300</v>
      </c>
      <c r="X13" s="571">
        <f t="shared" si="1"/>
        <v>2.8</v>
      </c>
      <c r="Y13" s="622" t="str">
        <v>NEG IRR</v>
      </c>
      <c r="Z13" s="625" t="str">
        <v>NONE</v>
      </c>
      <c r="AA13" s="633">
        <v>-38.904096072306857</v>
      </c>
      <c r="AB13" s="630">
        <v>-1.3294794432945525E-4</v>
      </c>
    </row>
    <row r="14" spans="2:29" x14ac:dyDescent="0.3">
      <c r="B14" s="310" t="s">
        <v>84</v>
      </c>
      <c r="C14" s="307">
        <v>3500</v>
      </c>
      <c r="D14" s="107"/>
      <c r="E14" s="500" t="s">
        <v>159</v>
      </c>
      <c r="F14" s="48">
        <v>0.7</v>
      </c>
      <c r="G14" s="286">
        <f>$C$29*F14</f>
        <v>341950</v>
      </c>
      <c r="K14" s="107"/>
      <c r="L14" s="544" t="s">
        <v>775</v>
      </c>
      <c r="M14" s="548">
        <f>23/37.1</f>
        <v>0.61994609164420478</v>
      </c>
      <c r="N14" s="549">
        <f>1500/37.1</f>
        <v>40.431266846361183</v>
      </c>
      <c r="O14" s="549">
        <v>0</v>
      </c>
      <c r="P14" s="107"/>
      <c r="W14" s="568">
        <f t="shared" si="0"/>
        <v>2051699.9999999998</v>
      </c>
      <c r="X14" s="571">
        <f t="shared" si="1"/>
        <v>3.1999999999999997</v>
      </c>
      <c r="Y14" s="622" t="str">
        <v>NEG IRR</v>
      </c>
      <c r="Z14" s="625" t="str">
        <v>NONE</v>
      </c>
      <c r="AA14" s="633">
        <v>-27394.904096072307</v>
      </c>
      <c r="AB14" s="630">
        <v>-9.3617293611094693E-2</v>
      </c>
    </row>
    <row r="15" spans="2:29" ht="15" customHeight="1" x14ac:dyDescent="0.3">
      <c r="B15" s="310" t="s">
        <v>85</v>
      </c>
      <c r="C15" s="307">
        <v>30000</v>
      </c>
      <c r="D15" s="107"/>
      <c r="E15" s="501" t="s">
        <v>160</v>
      </c>
      <c r="F15" s="48">
        <v>0.3</v>
      </c>
      <c r="G15" s="286">
        <f>$C$29*F15</f>
        <v>146550</v>
      </c>
      <c r="L15" s="545" t="s">
        <v>776</v>
      </c>
      <c r="M15" s="550">
        <f>M10*M13*M14</f>
        <v>185819.09896033892</v>
      </c>
      <c r="N15" s="550">
        <f>N10*N13*N14</f>
        <v>60593.184443588776</v>
      </c>
      <c r="O15" s="550">
        <f>O10*O13*O14</f>
        <v>0</v>
      </c>
      <c r="P15" s="107"/>
      <c r="W15" s="569">
        <f t="shared" si="0"/>
        <v>2247100</v>
      </c>
      <c r="X15" s="572">
        <f t="shared" si="1"/>
        <v>3.5999999999999996</v>
      </c>
      <c r="Y15" s="623" t="str">
        <v>NEG IRR</v>
      </c>
      <c r="Z15" s="626" t="str">
        <v>NONE</v>
      </c>
      <c r="AA15" s="634">
        <v>-54750.904096072307</v>
      </c>
      <c r="AB15" s="631">
        <v>-0.18710163927785992</v>
      </c>
    </row>
    <row r="16" spans="2:29" x14ac:dyDescent="0.3">
      <c r="B16" s="310" t="s">
        <v>87</v>
      </c>
      <c r="C16" s="307">
        <v>45000</v>
      </c>
      <c r="D16" s="107"/>
      <c r="E16" s="49" t="s">
        <v>161</v>
      </c>
      <c r="F16" s="48">
        <v>0</v>
      </c>
      <c r="G16" s="286">
        <f>$C$29*F16</f>
        <v>0</v>
      </c>
      <c r="L16" s="530" t="s">
        <v>777</v>
      </c>
      <c r="M16" s="551">
        <v>0.875</v>
      </c>
      <c r="N16" s="552">
        <v>0</v>
      </c>
      <c r="O16" s="552">
        <v>0.875</v>
      </c>
      <c r="P16" s="107"/>
    </row>
    <row r="17" spans="2:16" x14ac:dyDescent="0.3">
      <c r="B17" s="310" t="s">
        <v>853</v>
      </c>
      <c r="C17" s="307">
        <v>50000</v>
      </c>
      <c r="D17" s="107"/>
      <c r="E17" s="16" t="s">
        <v>162</v>
      </c>
      <c r="F17" s="400">
        <f>SUM(F14:F16)</f>
        <v>1</v>
      </c>
      <c r="G17" s="10">
        <f>SUM(G14:G16)</f>
        <v>488500</v>
      </c>
      <c r="L17" s="533" t="s">
        <v>778</v>
      </c>
      <c r="M17" s="548">
        <v>0.05</v>
      </c>
      <c r="N17" s="548">
        <v>0.05</v>
      </c>
      <c r="O17" s="548">
        <v>0.05</v>
      </c>
      <c r="P17" s="107"/>
    </row>
    <row r="18" spans="2:16" x14ac:dyDescent="0.3">
      <c r="B18" s="310" t="s">
        <v>4</v>
      </c>
      <c r="C18" s="307">
        <v>0</v>
      </c>
      <c r="D18" s="107"/>
      <c r="L18" s="553" t="s">
        <v>779</v>
      </c>
      <c r="M18" s="554">
        <f>M10*M16*M17</f>
        <v>26226.750000000015</v>
      </c>
      <c r="N18" s="550">
        <f>N10*N16*N17</f>
        <v>0</v>
      </c>
      <c r="O18" s="550">
        <f>O10*O16*O17</f>
        <v>32783.437500000015</v>
      </c>
      <c r="P18" s="107"/>
    </row>
    <row r="19" spans="2:16" x14ac:dyDescent="0.3">
      <c r="B19" s="310" t="s">
        <v>5</v>
      </c>
      <c r="C19" s="307">
        <v>0</v>
      </c>
      <c r="D19" s="107"/>
      <c r="E19" s="53" t="s">
        <v>164</v>
      </c>
      <c r="F19" s="276"/>
      <c r="L19" s="555" t="s">
        <v>780</v>
      </c>
      <c r="M19" s="556">
        <v>0.1</v>
      </c>
      <c r="N19" s="556">
        <v>0.1</v>
      </c>
      <c r="O19" s="556">
        <v>0.1</v>
      </c>
      <c r="P19" s="107"/>
    </row>
    <row r="20" spans="2:16" x14ac:dyDescent="0.3">
      <c r="B20" s="310" t="s">
        <v>6</v>
      </c>
      <c r="C20" s="307">
        <v>0</v>
      </c>
      <c r="D20" s="107"/>
      <c r="E20" s="502" t="s">
        <v>182</v>
      </c>
      <c r="F20" s="275"/>
      <c r="G20" s="302">
        <f>IF(D9="Djibouti",Currency!Q8,IF(D9="Ethiopia",Currency!Q9,IF(D9="Kenya",Currency!Q10,IF(D9="Rwanda",Currency!Q11,IF(D9="Tanzania",Currency!Q12,IF(D9="Uganda",Currency!Q13,0))))))</f>
        <v>0.14499999999999999</v>
      </c>
      <c r="L20" s="557" t="s">
        <v>781</v>
      </c>
      <c r="M20" s="550">
        <f>M19*M4</f>
        <v>7000</v>
      </c>
      <c r="N20" s="550">
        <f>N19*N4</f>
        <v>6325</v>
      </c>
      <c r="O20" s="550">
        <f>O19*O4</f>
        <v>48850</v>
      </c>
    </row>
    <row r="21" spans="2:16" ht="15" thickBot="1" x14ac:dyDescent="0.35">
      <c r="B21" s="310" t="s">
        <v>7</v>
      </c>
      <c r="C21" s="307">
        <v>0</v>
      </c>
      <c r="D21" s="107"/>
      <c r="E21" s="503" t="s">
        <v>68</v>
      </c>
      <c r="F21" s="498"/>
      <c r="G21" s="52">
        <v>10</v>
      </c>
      <c r="L21" s="558" t="s">
        <v>782</v>
      </c>
      <c r="M21" s="559">
        <f>M15+M18+M20+M12</f>
        <v>222545.84896033892</v>
      </c>
      <c r="N21" s="559">
        <f t="shared" ref="N21:O21" si="3">N15+N18+N20+N12</f>
        <v>70080.684443588776</v>
      </c>
      <c r="O21" s="559">
        <f t="shared" si="3"/>
        <v>101173.43750000001</v>
      </c>
    </row>
    <row r="22" spans="2:16" ht="15" thickTop="1" x14ac:dyDescent="0.3">
      <c r="B22" s="310" t="s">
        <v>8</v>
      </c>
      <c r="C22" s="307">
        <v>0</v>
      </c>
      <c r="D22" s="107"/>
      <c r="L22" s="618" t="s">
        <v>845</v>
      </c>
      <c r="M22" s="798">
        <f>(M21+N21)-O21</f>
        <v>191453.09590392769</v>
      </c>
      <c r="N22" s="799"/>
    </row>
    <row r="23" spans="2:16" x14ac:dyDescent="0.3">
      <c r="B23" s="310" t="s">
        <v>9</v>
      </c>
      <c r="C23" s="307">
        <v>0</v>
      </c>
      <c r="D23" s="107"/>
      <c r="L23" s="619" t="s">
        <v>851</v>
      </c>
      <c r="M23" s="800">
        <f>M22/(M21+N21)</f>
        <v>0.65425747172302717</v>
      </c>
      <c r="N23" s="801"/>
    </row>
    <row r="24" spans="2:16" x14ac:dyDescent="0.3">
      <c r="B24" s="310" t="s">
        <v>10</v>
      </c>
      <c r="C24" s="307">
        <v>0</v>
      </c>
      <c r="D24" s="107"/>
      <c r="E24" s="277" t="s">
        <v>177</v>
      </c>
      <c r="F24" s="66"/>
      <c r="G24" s="311" t="s">
        <v>195</v>
      </c>
      <c r="H24" s="401" t="s">
        <v>17</v>
      </c>
    </row>
    <row r="25" spans="2:16" ht="15" customHeight="1" x14ac:dyDescent="0.3">
      <c r="B25" s="310" t="s">
        <v>11</v>
      </c>
      <c r="C25" s="307">
        <v>0</v>
      </c>
      <c r="D25" s="107"/>
      <c r="E25" s="65" t="s">
        <v>368</v>
      </c>
      <c r="F25" s="357"/>
      <c r="G25" s="416">
        <v>2890000</v>
      </c>
      <c r="H25" s="306" t="s">
        <v>196</v>
      </c>
      <c r="I25" s="418"/>
      <c r="L25" s="656" t="s">
        <v>864</v>
      </c>
    </row>
    <row r="26" spans="2:16" x14ac:dyDescent="0.3">
      <c r="B26" s="310" t="s">
        <v>26</v>
      </c>
      <c r="C26" s="307">
        <v>0</v>
      </c>
      <c r="D26" s="107"/>
      <c r="E26" s="61" t="s">
        <v>369</v>
      </c>
      <c r="F26" s="275"/>
      <c r="G26" s="565">
        <v>0.78</v>
      </c>
      <c r="H26" s="305" t="s">
        <v>155</v>
      </c>
    </row>
    <row r="27" spans="2:16" x14ac:dyDescent="0.3">
      <c r="B27" s="310" t="s">
        <v>665</v>
      </c>
      <c r="C27" s="307">
        <v>0</v>
      </c>
      <c r="D27" s="107"/>
      <c r="E27" s="61" t="s">
        <v>370</v>
      </c>
      <c r="F27" s="275"/>
      <c r="G27" s="565">
        <v>0.16</v>
      </c>
      <c r="H27" s="305" t="s">
        <v>155</v>
      </c>
    </row>
    <row r="28" spans="2:16" x14ac:dyDescent="0.3">
      <c r="B28" s="323" t="s">
        <v>666</v>
      </c>
      <c r="C28" s="318">
        <v>0</v>
      </c>
      <c r="D28" s="107"/>
      <c r="E28" s="61" t="s">
        <v>198</v>
      </c>
      <c r="F28" s="275"/>
      <c r="G28" s="409">
        <f>G25*(G26-G27)*100/(100-100*G27)</f>
        <v>2133095.2380952379</v>
      </c>
      <c r="H28" s="305" t="s">
        <v>196</v>
      </c>
    </row>
    <row r="29" spans="2:16" x14ac:dyDescent="0.3">
      <c r="B29" s="9" t="s">
        <v>15</v>
      </c>
      <c r="C29" s="10">
        <f>SUM(C13:C28)*(1+$R$11)</f>
        <v>488500</v>
      </c>
      <c r="E29" s="61" t="s">
        <v>371</v>
      </c>
      <c r="F29" s="275"/>
      <c r="G29" s="410">
        <f>G25-G28</f>
        <v>756904.76190476213</v>
      </c>
      <c r="H29" s="305" t="s">
        <v>196</v>
      </c>
    </row>
    <row r="30" spans="2:16" x14ac:dyDescent="0.3">
      <c r="E30" s="61" t="s">
        <v>658</v>
      </c>
      <c r="F30" s="275"/>
      <c r="G30" s="472">
        <v>0.01</v>
      </c>
      <c r="H30" s="305" t="s">
        <v>155</v>
      </c>
    </row>
    <row r="31" spans="2:16" x14ac:dyDescent="0.3">
      <c r="B31" s="356" t="s">
        <v>880</v>
      </c>
      <c r="E31" s="61" t="s">
        <v>659</v>
      </c>
      <c r="F31" s="275"/>
      <c r="G31" s="410">
        <f>(1-G30)*G29</f>
        <v>749335.71428571455</v>
      </c>
      <c r="H31" s="305" t="s">
        <v>196</v>
      </c>
    </row>
    <row r="32" spans="2:16" x14ac:dyDescent="0.3">
      <c r="B32" s="766" t="s">
        <v>881</v>
      </c>
      <c r="C32" s="767">
        <v>6.0000000000000001E-3</v>
      </c>
      <c r="E32" s="61" t="s">
        <v>199</v>
      </c>
      <c r="F32" s="275"/>
      <c r="G32" s="566">
        <v>0.875</v>
      </c>
      <c r="H32" s="305" t="s">
        <v>200</v>
      </c>
    </row>
    <row r="33" spans="2:75" x14ac:dyDescent="0.3">
      <c r="B33" s="726" t="s">
        <v>882</v>
      </c>
      <c r="C33" s="407">
        <v>1000</v>
      </c>
      <c r="E33" s="61" t="s">
        <v>660</v>
      </c>
      <c r="F33" s="275"/>
      <c r="G33" s="412">
        <v>140</v>
      </c>
      <c r="H33" s="305" t="s">
        <v>547</v>
      </c>
      <c r="I33" s="354"/>
    </row>
    <row r="34" spans="2:75" x14ac:dyDescent="0.3">
      <c r="B34" s="726" t="s">
        <v>883</v>
      </c>
      <c r="C34" s="767">
        <v>4.1870000000000003</v>
      </c>
      <c r="E34" s="61" t="s">
        <v>555</v>
      </c>
      <c r="F34" s="275"/>
      <c r="G34" s="413">
        <f>G40*G39*G33</f>
        <v>5096</v>
      </c>
      <c r="H34" s="305" t="s">
        <v>545</v>
      </c>
    </row>
    <row r="35" spans="2:75" ht="15" customHeight="1" x14ac:dyDescent="0.3">
      <c r="B35" s="726" t="s">
        <v>884</v>
      </c>
      <c r="C35" s="407">
        <v>160</v>
      </c>
      <c r="E35" s="61" t="s">
        <v>668</v>
      </c>
      <c r="F35" s="275"/>
      <c r="G35" s="412">
        <v>4630</v>
      </c>
      <c r="H35" s="305" t="s">
        <v>548</v>
      </c>
    </row>
    <row r="36" spans="2:75" x14ac:dyDescent="0.3">
      <c r="B36" s="726" t="s">
        <v>885</v>
      </c>
      <c r="C36" s="407">
        <v>100</v>
      </c>
      <c r="E36" s="61" t="s">
        <v>785</v>
      </c>
      <c r="F36" s="275"/>
      <c r="G36" s="563">
        <v>7</v>
      </c>
      <c r="H36" s="305" t="s">
        <v>783</v>
      </c>
    </row>
    <row r="37" spans="2:75" x14ac:dyDescent="0.3">
      <c r="B37" s="726" t="s">
        <v>886</v>
      </c>
      <c r="C37" s="768">
        <f>C35-C36</f>
        <v>60</v>
      </c>
      <c r="E37" s="61" t="s">
        <v>785</v>
      </c>
      <c r="F37" s="275"/>
      <c r="G37" s="564">
        <f>52*7/12</f>
        <v>30.333333333333332</v>
      </c>
      <c r="H37" s="305" t="s">
        <v>784</v>
      </c>
    </row>
    <row r="38" spans="2:75" x14ac:dyDescent="0.3">
      <c r="B38" s="769" t="s">
        <v>887</v>
      </c>
      <c r="C38" s="403">
        <f>C32*C33*C34*C37</f>
        <v>1507.32</v>
      </c>
      <c r="E38" s="61" t="s">
        <v>786</v>
      </c>
      <c r="F38" s="275"/>
      <c r="G38" s="566">
        <f>G40</f>
        <v>0.17142857142857143</v>
      </c>
      <c r="H38" s="305" t="s">
        <v>787</v>
      </c>
      <c r="I38" s="390"/>
    </row>
    <row r="39" spans="2:75" x14ac:dyDescent="0.3">
      <c r="E39" s="61" t="s">
        <v>669</v>
      </c>
      <c r="F39" s="275"/>
      <c r="G39" s="414">
        <f>G36*G37</f>
        <v>212.33333333333331</v>
      </c>
      <c r="H39" s="305" t="s">
        <v>601</v>
      </c>
      <c r="I39" s="390"/>
    </row>
    <row r="40" spans="2:75" x14ac:dyDescent="0.3">
      <c r="E40" s="61" t="s">
        <v>670</v>
      </c>
      <c r="F40" s="275"/>
      <c r="G40" s="412">
        <f>24/140</f>
        <v>0.17142857142857143</v>
      </c>
      <c r="H40" s="305" t="s">
        <v>603</v>
      </c>
      <c r="I40" s="390"/>
    </row>
    <row r="41" spans="2:75" x14ac:dyDescent="0.3">
      <c r="B41" s="356" t="s">
        <v>901</v>
      </c>
      <c r="E41" s="61" t="s">
        <v>671</v>
      </c>
      <c r="F41" s="275"/>
      <c r="G41" s="414">
        <f>G39*G40</f>
        <v>36.4</v>
      </c>
      <c r="H41" s="305" t="s">
        <v>546</v>
      </c>
    </row>
    <row r="42" spans="2:75" x14ac:dyDescent="0.3">
      <c r="B42" s="766" t="s">
        <v>889</v>
      </c>
      <c r="C42" s="407">
        <f>AVERAGE(20,30)</f>
        <v>25</v>
      </c>
      <c r="E42" s="61" t="s">
        <v>672</v>
      </c>
      <c r="F42" s="275"/>
      <c r="G42" s="409">
        <f>G41*G35</f>
        <v>168532</v>
      </c>
      <c r="H42" s="305" t="s">
        <v>196</v>
      </c>
      <c r="I42" s="390"/>
    </row>
    <row r="43" spans="2:75" x14ac:dyDescent="0.3">
      <c r="B43" s="726" t="s">
        <v>890</v>
      </c>
      <c r="C43" s="773">
        <v>50</v>
      </c>
      <c r="E43" s="60" t="s">
        <v>673</v>
      </c>
      <c r="F43" s="498"/>
      <c r="G43" s="415">
        <f>ROUNDUP(G25/G42,0)</f>
        <v>18</v>
      </c>
      <c r="H43" s="316" t="s">
        <v>598</v>
      </c>
    </row>
    <row r="44" spans="2:75" x14ac:dyDescent="0.3">
      <c r="B44" s="726" t="s">
        <v>891</v>
      </c>
      <c r="C44" s="774">
        <f>AVERAGE(C42:C43)</f>
        <v>37.5</v>
      </c>
    </row>
    <row r="45" spans="2:75" x14ac:dyDescent="0.3">
      <c r="B45" s="726" t="s">
        <v>892</v>
      </c>
      <c r="C45" s="771">
        <f>C34*(597-0.56*C44)</f>
        <v>2411.712</v>
      </c>
    </row>
    <row r="46" spans="2:75" x14ac:dyDescent="0.3">
      <c r="B46" s="726" t="s">
        <v>893</v>
      </c>
      <c r="C46" s="772">
        <f>G28*C45</f>
        <v>5144411382.8571424</v>
      </c>
    </row>
    <row r="47" spans="2:75" x14ac:dyDescent="0.3">
      <c r="B47" s="726" t="s">
        <v>894</v>
      </c>
      <c r="C47" s="770">
        <f>C46/(G37*G36*G33*G38*3600)</f>
        <v>280.41663302683708</v>
      </c>
      <c r="E47" s="390"/>
      <c r="BW47" s="299" t="s">
        <v>31</v>
      </c>
    </row>
    <row r="48" spans="2:75" x14ac:dyDescent="0.3">
      <c r="B48" s="769" t="s">
        <v>895</v>
      </c>
      <c r="C48" s="408" t="str">
        <f>IF(C38-C47&gt;0,"YES","NO")</f>
        <v>YES</v>
      </c>
      <c r="BW48" s="27" t="s">
        <v>35</v>
      </c>
    </row>
    <row r="49" spans="75:75" x14ac:dyDescent="0.3">
      <c r="BW49" s="27" t="s">
        <v>39</v>
      </c>
    </row>
    <row r="50" spans="75:75" x14ac:dyDescent="0.3">
      <c r="BW50" s="27" t="s">
        <v>42</v>
      </c>
    </row>
    <row r="51" spans="75:75" x14ac:dyDescent="0.3">
      <c r="BW51" s="27" t="s">
        <v>45</v>
      </c>
    </row>
    <row r="52" spans="75:75" x14ac:dyDescent="0.3">
      <c r="BW52" s="30" t="s">
        <v>48</v>
      </c>
    </row>
    <row r="55" spans="75:75" x14ac:dyDescent="0.3">
      <c r="BW55" t="s">
        <v>81</v>
      </c>
    </row>
    <row r="56" spans="75:75" x14ac:dyDescent="0.3">
      <c r="BW56" t="s">
        <v>69</v>
      </c>
    </row>
  </sheetData>
  <mergeCells count="4">
    <mergeCell ref="M22:N22"/>
    <mergeCell ref="M23:N23"/>
    <mergeCell ref="M2:O2"/>
    <mergeCell ref="W4:X4"/>
  </mergeCells>
  <conditionalFormatting sqref="M22">
    <cfRule type="cellIs" dxfId="69" priority="17" operator="lessThan">
      <formula>0</formula>
    </cfRule>
    <cfRule type="cellIs" dxfId="68" priority="18" operator="greaterThan">
      <formula>0</formula>
    </cfRule>
  </conditionalFormatting>
  <conditionalFormatting sqref="M23">
    <cfRule type="cellIs" dxfId="67" priority="15" operator="lessThan">
      <formula>0</formula>
    </cfRule>
    <cfRule type="cellIs" dxfId="66" priority="16" operator="greaterThan">
      <formula>0</formula>
    </cfRule>
  </conditionalFormatting>
  <conditionalFormatting sqref="Z5:Z15">
    <cfRule type="cellIs" dxfId="65" priority="12" operator="between">
      <formula>$AC$7</formula>
      <formula>$AC$8</formula>
    </cfRule>
    <cfRule type="cellIs" dxfId="64" priority="13" operator="greaterThan">
      <formula>$AC$8</formula>
    </cfRule>
    <cfRule type="cellIs" dxfId="63" priority="14" operator="lessThan">
      <formula>$AC$7</formula>
    </cfRule>
  </conditionalFormatting>
  <conditionalFormatting sqref="Y5:Y15">
    <cfRule type="containsText" dxfId="62" priority="7" operator="containsText" text="NEG IRR">
      <formula>NOT(ISERROR(SEARCH("NEG IRR",Y5)))</formula>
    </cfRule>
    <cfRule type="containsText" dxfId="61" priority="8" operator="containsText" text="ERROR">
      <formula>NOT(ISERROR(SEARCH("ERROR",Y5)))</formula>
    </cfRule>
    <cfRule type="cellIs" dxfId="60" priority="9" operator="between">
      <formula>$AC$4</formula>
      <formula>$AC$5</formula>
    </cfRule>
    <cfRule type="cellIs" dxfId="59" priority="10" operator="greaterThan">
      <formula>$AC$5</formula>
    </cfRule>
    <cfRule type="cellIs" dxfId="58" priority="11" operator="lessThan">
      <formula>$AC$4</formula>
    </cfRule>
  </conditionalFormatting>
  <conditionalFormatting sqref="AA5:AA15">
    <cfRule type="cellIs" dxfId="57" priority="5" operator="lessThan">
      <formula>0</formula>
    </cfRule>
    <cfRule type="cellIs" dxfId="56" priority="6" operator="greaterThan">
      <formula>0</formula>
    </cfRule>
  </conditionalFormatting>
  <conditionalFormatting sqref="AB5:AB15">
    <cfRule type="cellIs" dxfId="55" priority="3" operator="lessThan">
      <formula>0</formula>
    </cfRule>
    <cfRule type="cellIs" dxfId="54" priority="4" operator="greaterThan">
      <formula>0</formula>
    </cfRule>
  </conditionalFormatting>
  <conditionalFormatting sqref="C48">
    <cfRule type="containsText" dxfId="53" priority="1" operator="containsText" text="NO">
      <formula>NOT(ISERROR(SEARCH("NO",C48)))</formula>
    </cfRule>
    <cfRule type="containsText" dxfId="52" priority="2" operator="containsText" text="YES">
      <formula>NOT(ISERROR(SEARCH("YES",C48)))</formula>
    </cfRule>
  </conditionalFormatting>
  <dataValidations count="1">
    <dataValidation type="list" allowBlank="1" showInputMessage="1" showErrorMessage="1" sqref="D9" xr:uid="{7E9813AF-5F45-4FB7-B331-57424D9DDC7C}">
      <formula1>$BW$47:$BW$52</formula1>
    </dataValidation>
  </dataValidations>
  <pageMargins left="0.7" right="0.7" top="0.75" bottom="0.75" header="0.3" footer="0.3"/>
  <pageSetup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31</vt:i4>
      </vt:variant>
    </vt:vector>
  </HeadingPairs>
  <TitlesOfParts>
    <vt:vector size="31" baseType="lpstr">
      <vt:lpstr>Summary</vt:lpstr>
      <vt:lpstr>Fish_Inputs</vt:lpstr>
      <vt:lpstr>Fruit_Inputs</vt:lpstr>
      <vt:lpstr>Veg_Inputs</vt:lpstr>
      <vt:lpstr>Rice_Inputs</vt:lpstr>
      <vt:lpstr>Pyre_Inputs</vt:lpstr>
      <vt:lpstr>Spas_Inputs</vt:lpstr>
      <vt:lpstr>Tea_Retrofit</vt:lpstr>
      <vt:lpstr>Tobacco_Retrofit</vt:lpstr>
      <vt:lpstr>Milk_Retrofit</vt:lpstr>
      <vt:lpstr>Hatchery_Retrofit</vt:lpstr>
      <vt:lpstr>Greenhouse_Retrofit</vt:lpstr>
      <vt:lpstr>Tea_Retro_CashFlows</vt:lpstr>
      <vt:lpstr>Tob_Retro_CashFlows</vt:lpstr>
      <vt:lpstr>Milk_Retro_CashFlows</vt:lpstr>
      <vt:lpstr>Greenhouse_Retro_CashFlows</vt:lpstr>
      <vt:lpstr>Hatchery_Retro_CashFlows</vt:lpstr>
      <vt:lpstr>Fish_CashFlows</vt:lpstr>
      <vt:lpstr>Fruit_CashFlows</vt:lpstr>
      <vt:lpstr>Veg_CashFlows</vt:lpstr>
      <vt:lpstr>Rice_CashFlows</vt:lpstr>
      <vt:lpstr>Pyre_CashFlows</vt:lpstr>
      <vt:lpstr>Spa_CashFlows</vt:lpstr>
      <vt:lpstr>Debt_Calc</vt:lpstr>
      <vt:lpstr>Deprec</vt:lpstr>
      <vt:lpstr>Currency</vt:lpstr>
      <vt:lpstr>Data Sources</vt:lpstr>
      <vt:lpstr> Nairobi Fruit_Veg Prices</vt:lpstr>
      <vt:lpstr>Export Prices</vt:lpstr>
      <vt:lpstr>Rwanda Prices</vt:lpstr>
      <vt:lpstr>Spa Prices</vt:lpstr>
    </vt:vector>
  </TitlesOfParts>
  <Company>Grizli777</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Koye</dc:creator>
  <cp:lastModifiedBy> Judith Mugambi</cp:lastModifiedBy>
  <dcterms:created xsi:type="dcterms:W3CDTF">2020-02-05T09:09:10Z</dcterms:created>
  <dcterms:modified xsi:type="dcterms:W3CDTF">2021-07-08T10:32:21Z</dcterms:modified>
</cp:coreProperties>
</file>